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85" windowWidth="15600" windowHeight="10920" activeTab="0"/>
  </bookViews>
  <sheets>
    <sheet name="1pr. pajamos" sheetId="1" r:id="rId1"/>
    <sheet name="1 pr.asignavimai" sheetId="2" r:id="rId2"/>
    <sheet name="2pr." sheetId="3" r:id="rId3"/>
    <sheet name="3pr." sheetId="4" r:id="rId4"/>
    <sheet name="4pr." sheetId="5" r:id="rId5"/>
    <sheet name="5 pr." sheetId="6" r:id="rId6"/>
  </sheets>
  <definedNames>
    <definedName name="_xlnm._FilterDatabase" localSheetId="1" hidden="1">'1 pr.asignavimai'!$B$2:$B$141</definedName>
    <definedName name="_xlnm._FilterDatabase" localSheetId="2" hidden="1">'2pr.'!$C$1:$C$58</definedName>
    <definedName name="_xlnm.Print_Titles" localSheetId="1">'1 pr.asignavimai'!$3:$7</definedName>
    <definedName name="_xlnm.Print_Titles" localSheetId="0">'1pr. pajamos'!$8:$9</definedName>
    <definedName name="_xlnm.Print_Titles" localSheetId="2">'2pr.'!$9:$13</definedName>
    <definedName name="_xlnm.Print_Titles" localSheetId="4">'4pr.'!$8:$11</definedName>
  </definedNames>
  <calcPr fullCalcOnLoad="1" fullPrecision="0"/>
</workbook>
</file>

<file path=xl/sharedStrings.xml><?xml version="1.0" encoding="utf-8"?>
<sst xmlns="http://schemas.openxmlformats.org/spreadsheetml/2006/main" count="562" uniqueCount="367">
  <si>
    <t xml:space="preserve"> Klaipėdos miesto savivaldybės tarybos</t>
  </si>
  <si>
    <t>Eil. Nr.</t>
  </si>
  <si>
    <t>2</t>
  </si>
  <si>
    <t>4</t>
  </si>
  <si>
    <t>Savivaldybės administracija</t>
  </si>
  <si>
    <t>Klaipėdos miesto skęstančiųjų gelbėjimo tarnyba</t>
  </si>
  <si>
    <t>Neįgaliųjų  centras „Klaipėdos lakštutė“</t>
  </si>
  <si>
    <t>Klaipėdos miesto sporto centras</t>
  </si>
  <si>
    <t>Klaipėdos kultūrų komunikacijų centras</t>
  </si>
  <si>
    <t>Iš viso</t>
  </si>
  <si>
    <t>Miesto ūkio departamentas</t>
  </si>
  <si>
    <t>Ugdymo ir kultūros departamentas</t>
  </si>
  <si>
    <t>Socialinių reikalų departamentas</t>
  </si>
  <si>
    <t>(tūkst. Lt)</t>
  </si>
  <si>
    <t>iš jų:</t>
  </si>
  <si>
    <t>6</t>
  </si>
  <si>
    <t>PAJAMOS</t>
  </si>
  <si>
    <t>Pavadinimas</t>
  </si>
  <si>
    <t xml:space="preserve">Gyventojų pajamų mokestis </t>
  </si>
  <si>
    <t>Žemės mokestis</t>
  </si>
  <si>
    <t>Paveldimo turto mokestis</t>
  </si>
  <si>
    <t>Nekilnojamojo turto mokestis</t>
  </si>
  <si>
    <t>Mokestis už aplinkos teršimą</t>
  </si>
  <si>
    <t>Valstybės rinkliavos</t>
  </si>
  <si>
    <t>Vietinės rinkliavos</t>
  </si>
  <si>
    <t>Einamiesiems tikslams</t>
  </si>
  <si>
    <t>Kapitalui formuoti</t>
  </si>
  <si>
    <t>Mokinio krepšeliui finansuoti</t>
  </si>
  <si>
    <t xml:space="preserve">Palūkanos už depozitus </t>
  </si>
  <si>
    <t>Dividendai</t>
  </si>
  <si>
    <t xml:space="preserve">Nuomos mokestis už valstybinę žemę ir valstybinio vidaus vandenų fondo vandens telkinius </t>
  </si>
  <si>
    <t>Pajamos už prekes ir paslaugas</t>
  </si>
  <si>
    <t>Pajamos už patalpų nuomą</t>
  </si>
  <si>
    <t>Įmokos už išlaikymą švietimo, socialinės apsaugos ir kitose įstaigose</t>
  </si>
  <si>
    <t>Pajamos iš baudų ir konfiskacijos</t>
  </si>
  <si>
    <t>Pajamos už leidimų ir kitų dokumentų išdavimą</t>
  </si>
  <si>
    <t>Kitos pajamos</t>
  </si>
  <si>
    <t>Kitos neišvardintos pajamos</t>
  </si>
  <si>
    <t>Žemė</t>
  </si>
  <si>
    <t>Pastatai ir statiniai</t>
  </si>
  <si>
    <t>Asignavimų valdytojas / programos pavadinimas</t>
  </si>
  <si>
    <t>išlaidoms</t>
  </si>
  <si>
    <t>turtui įsigyti</t>
  </si>
  <si>
    <t>iš jų darbo užmokes-čiui</t>
  </si>
  <si>
    <t>Savivaldybės kontrolės ir audito  tarnyba</t>
  </si>
  <si>
    <t>Savivaldybės valdymo  programa</t>
  </si>
  <si>
    <t>Gyvenamosios vietos deklaravimas</t>
  </si>
  <si>
    <t>Archyvinių dokumentų tvarkymas</t>
  </si>
  <si>
    <t>Jaunimo teisių apsauga</t>
  </si>
  <si>
    <t>Pirminės teisinės pagalbos teikimas</t>
  </si>
  <si>
    <t>Civilinės būklės aktų registravimas</t>
  </si>
  <si>
    <t>Gyventojų registro tvarkymas ir duomenų valstybės registrui teikimas</t>
  </si>
  <si>
    <t>Valstybinės kalbos vartojimo ir taisyklingumo kontrolė</t>
  </si>
  <si>
    <t>Civilinės saugos organizavimas</t>
  </si>
  <si>
    <t xml:space="preserve">Socialinių paslaugų administravimas </t>
  </si>
  <si>
    <t>Socialinėms išmokoms ir kompensacijoms skaičiuoti ir mokėti administravimas</t>
  </si>
  <si>
    <t>Socialinės paramos mokiniams administravimas</t>
  </si>
  <si>
    <t>Investicijų ir ekonomikos departamentas</t>
  </si>
  <si>
    <t xml:space="preserve">Aplinkos apsaugos programa </t>
  </si>
  <si>
    <t>Aplinkos apsaugos rėmimo specialioji programa</t>
  </si>
  <si>
    <t>Žemės ūkio funkcijoms vykdyti</t>
  </si>
  <si>
    <t>Urbanistinės plėtros departamentas</t>
  </si>
  <si>
    <t xml:space="preserve">Miesto infrastruktūros objektų priežiūros ir modernizavimo programa </t>
  </si>
  <si>
    <t>Aplinkos apsaugos programa</t>
  </si>
  <si>
    <t>Ugdymo proceso užtikrinimo programa</t>
  </si>
  <si>
    <t xml:space="preserve">Miesto kultūrinio savitumo puoselėjimo bei kultūrinių paslaugų gerinimo programa </t>
  </si>
  <si>
    <t>Kūno kultūros ir sporto plėtros programa</t>
  </si>
  <si>
    <t>Socialinės atskirties mažinimo programa</t>
  </si>
  <si>
    <t>Visuomenės sveikatos rėmimo specialioji programa</t>
  </si>
  <si>
    <t xml:space="preserve">Socialinės paslaugos </t>
  </si>
  <si>
    <t>Socialinėms išmokoms ir kompensacijoms mokėti</t>
  </si>
  <si>
    <t>Socialinė parama mokiniams</t>
  </si>
  <si>
    <t xml:space="preserve">Iš viso </t>
  </si>
  <si>
    <t xml:space="preserve">Mokesčiai už valstybinius gamtos išteklius </t>
  </si>
  <si>
    <t>(tūkst.Lt)</t>
  </si>
  <si>
    <t>Turtui įsigyti</t>
  </si>
  <si>
    <t>Miesto urbanistinio planavimo programa</t>
  </si>
  <si>
    <t>Subalansuoto turizmo skatinimo ir vystymo programa</t>
  </si>
  <si>
    <t>Miesto kultūrinio savitumo puoselėjimo bei kultūrinių paslaugų gerinimo programa</t>
  </si>
  <si>
    <t>Susisiekimo sistemos priežiūros ir plėtros programa</t>
  </si>
  <si>
    <t>Miesto infrastruktūros objektų priežiūros ir modernizavimo pograma</t>
  </si>
  <si>
    <r>
      <t>Subalansuoto turizmo skatinimo ir vystymo programa</t>
    </r>
    <r>
      <rPr>
        <sz val="12"/>
        <rFont val="Times New Roman"/>
        <family val="1"/>
      </rPr>
      <t xml:space="preserve"> </t>
    </r>
  </si>
  <si>
    <t xml:space="preserve">Ugdymo proceso užtikrinimo programa </t>
  </si>
  <si>
    <r>
      <t>Susisiekimo sistemos priežiūros ir plėtros programa</t>
    </r>
    <r>
      <rPr>
        <sz val="12"/>
        <rFont val="Times New Roman"/>
        <family val="1"/>
      </rPr>
      <t xml:space="preserve"> </t>
    </r>
  </si>
  <si>
    <t xml:space="preserve">Socialinės atskirties mažinimo programa </t>
  </si>
  <si>
    <r>
      <t>Susisiekimo sistemos priežiūros ir plėtros programa</t>
    </r>
    <r>
      <rPr>
        <sz val="12"/>
        <rFont val="Times New Roman"/>
        <family val="1"/>
      </rPr>
      <t xml:space="preserve"> (savivaldybės biudžeto lėšos)</t>
    </r>
  </si>
  <si>
    <t>Savivaldybės tarybos aptarnavimas (savivaldybės biudžeto lėšos)</t>
  </si>
  <si>
    <t>Savivaldybės sekretoriato aptarnavimas (savivaldybės biudžeto lėšos)</t>
  </si>
  <si>
    <t>Savivaldybės administracijos veiklos užtikrinimas ir kitų priemonių vykdymas (savivaldybės biudžeto lėšos)</t>
  </si>
  <si>
    <t>Savivaldybės valdymo  programa (asignavimų valdytojo pajamų įmokos)</t>
  </si>
  <si>
    <t xml:space="preserve">Subalansuoto turizmo skatinimo ir vystymo programa (paskolų lėšos) </t>
  </si>
  <si>
    <t>Subalansuoto turizmo skatinimo ir vystymo programa (savivaldybės biudžeto lėšos)</t>
  </si>
  <si>
    <t>Ugdymo proceso užtikrinimo programa (savivaldybės biudžeto lėšos)</t>
  </si>
  <si>
    <t xml:space="preserve">Ugdymo proceso užtikrinimo programa (paskolų lėšos) </t>
  </si>
  <si>
    <t>Susisiekimo sistemos priežiūros ir plėtros programa (savivaldybės biudžeto lėšos)</t>
  </si>
  <si>
    <t xml:space="preserve">Susisiekimo sistemos priežiūros ir plėtros programa (paskolų lėšos) </t>
  </si>
  <si>
    <t>Aplinkos apsaugos programa (savivaldybės biudžeto lėšos)</t>
  </si>
  <si>
    <r>
      <t xml:space="preserve">Miesto urbanistinio planavimo programa </t>
    </r>
    <r>
      <rPr>
        <sz val="12"/>
        <rFont val="Times New Roman"/>
        <family val="1"/>
      </rPr>
      <t xml:space="preserve">(savivaldybės biudžeto lėšos) </t>
    </r>
  </si>
  <si>
    <t>Miesto infrastruktūros objektų priežiūros ir modernizavimo programa (savivaldybės biudžeto lėšos)</t>
  </si>
  <si>
    <t>Miesto infrastruktūros objektų priežiūros ir modernizavimo programa (asignavimų valdytojo pajamų įmokos)</t>
  </si>
  <si>
    <r>
      <t xml:space="preserve">Ugdymo proceso užtikrinimo programa </t>
    </r>
    <r>
      <rPr>
        <sz val="12"/>
        <rFont val="Times New Roman"/>
        <family val="1"/>
      </rPr>
      <t>(savivaldybės biudžeto lėšos)</t>
    </r>
  </si>
  <si>
    <t>Ugdymo proceso užtikrinimo programa  (savivaldybės biudžeto lėšos)</t>
  </si>
  <si>
    <t>Ugdymo proceso užtikrinimo programa (asignavimų valdytojo pajamų įmokos)</t>
  </si>
  <si>
    <t>Miesto kultūrinio savitumo puoselėjimo bei kultūrinių paslaugų gerinimo programa (savivaldybės biudžeto lėšos)</t>
  </si>
  <si>
    <t>Miesto kultūrinio savitumo puoselėjimo bei kultūrinių paslaugų gerinimo programa (asignavimų valdytojo pajamų įmokos)</t>
  </si>
  <si>
    <t>Kūno kultūros ir sporto plėtros programa (savivaldybės biudžeto lėšos)</t>
  </si>
  <si>
    <t>Kūno kultūros ir sporto plėtros programa (asignavimų valdytojo pajamų įmokos)</t>
  </si>
  <si>
    <t>Socialinės atskirties mažinimo programa (asignavimų valdytojo pajamų įmokos)</t>
  </si>
  <si>
    <t>Socialinės atskirties mažinimo programa (savivaldybės biudžeto lėšos)</t>
  </si>
  <si>
    <t>Visuomenės sveikatos rėmimo specialioji programa (savivaldybės biudžeto lėšos)</t>
  </si>
  <si>
    <t>Iš viso programai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</si>
  <si>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</si>
  <si>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</si>
  <si>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</si>
  <si>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</si>
  <si>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</si>
  <si>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</si>
  <si>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</si>
  <si>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</si>
  <si>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</si>
  <si>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</si>
  <si>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</si>
  <si>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</si>
  <si>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</si>
  <si>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Subalansuoto turizmo skatinimo ir vystymo programa </t>
  </si>
  <si>
    <t xml:space="preserve">Susisiekimo sistemos priežiūros ir plėtros programa </t>
  </si>
  <si>
    <t xml:space="preserve">Kūno kultūros ir sporto plėtros programa </t>
  </si>
  <si>
    <t xml:space="preserve"> 4 priedas</t>
  </si>
  <si>
    <t>Asignavimų valdytojo / įstaigos pavadinimas</t>
  </si>
  <si>
    <t>Išlaidos turtui įsigyti</t>
  </si>
  <si>
    <t>Programos pavadinimas</t>
  </si>
  <si>
    <t>Asignavimų valdytojas</t>
  </si>
  <si>
    <t>Klaipėdos „Gintaro“ sporto centras</t>
  </si>
  <si>
    <t>Klaipėdos futbolo sporto mokykla</t>
  </si>
  <si>
    <t>Klaipėdos kūno kultūros ir rekreacijos centras</t>
  </si>
  <si>
    <t>Klaipėdos miesto savivaldybės viešoji biblioteka</t>
  </si>
  <si>
    <t>Klaipėdos miesto savivaldybės Mažosios Lietuvos istorijos muziejus</t>
  </si>
  <si>
    <t>Klaipėdos miesto savivaldybės etnokultūros centras</t>
  </si>
  <si>
    <t>Klaipėdos miesto savivaldybės koncertinė įstaiga Klaipėdos koncertų salė</t>
  </si>
  <si>
    <t>Klaipėdos miesto savivaldybės kultūros centras Žvejų rūmai</t>
  </si>
  <si>
    <t>Klaipėdos Vytauto Didžiojo gimnazija</t>
  </si>
  <si>
    <t>Klaipėdos „Žaliakalnio“ gimnazija</t>
  </si>
  <si>
    <t>Klaipėdos „Žemynos“ gimnazija</t>
  </si>
  <si>
    <t>Klaipėdos Baltijos gimnazija</t>
  </si>
  <si>
    <t>Klaipėdos „Varpo“ gimnazija</t>
  </si>
  <si>
    <t>Klaipėdos Vydūno vidurinė mokykla</t>
  </si>
  <si>
    <t>Klaipėdos Hermano Zudermano gimnazija</t>
  </si>
  <si>
    <t>Klaipėdos Maksimo Gorkio pagrindinė mokykla</t>
  </si>
  <si>
    <t>Klaipėdos „Vyturio“ pagrindinė mokykla</t>
  </si>
  <si>
    <t>Klaipėdos „Pajūrio“ pagrindinė mokykla</t>
  </si>
  <si>
    <t>Klaipėdos „Saulėtekio“ pagrindinė mokykla</t>
  </si>
  <si>
    <t>Klaipėdos Vitės pagrindinė mokykla</t>
  </si>
  <si>
    <t>Klaipėdos Andrejaus  Rubliovo pagrindinė mokykla</t>
  </si>
  <si>
    <t xml:space="preserve">Klaipėdos „Gilijos“ pradinė mokykla </t>
  </si>
  <si>
    <t>Klaipėdos „Santarvės“ pagrindinė mokykla</t>
  </si>
  <si>
    <t>Klaipėdos Gedminų pagrindinė mokykla</t>
  </si>
  <si>
    <t>Klaipėdos Ievos Simonaitytės  pagrindinė mokykla</t>
  </si>
  <si>
    <t>Klaipėdos Salio Šemerio suaugusiųjų gimnazija</t>
  </si>
  <si>
    <t>Klaipėdos „Šaltinėlio“ mokykla-darželis</t>
  </si>
  <si>
    <t>Klaipėdos lopšelis-darželis „Du gaideliai“</t>
  </si>
  <si>
    <t>Klaipėdos „Nykštuko“ mokykla-darželis</t>
  </si>
  <si>
    <t>Klaipėdos „Varpelio“ mokykla-darželis</t>
  </si>
  <si>
    <t>Klaipėdos „Saulutės“ mokykla-darželis</t>
  </si>
  <si>
    <t>Klaipėdos „Inkarėlio“ mokykla-darželis</t>
  </si>
  <si>
    <t>Klaipėdos „Pakalnutės“ mokykla-darželis</t>
  </si>
  <si>
    <t>Klaipėdos lopšelis-darželis „Berželis“</t>
  </si>
  <si>
    <t>Klaipėdos lopšelis-darželis „Švyturėlis“</t>
  </si>
  <si>
    <t>Klaipėdos lopšelis-darželis „Čiauškutė“</t>
  </si>
  <si>
    <t>Klaipėdos lopšelis-darželis „Sakalėlis“</t>
  </si>
  <si>
    <t>Klaipėdos lopšelis-darželis „Pagrandukas“</t>
  </si>
  <si>
    <t>Klaipėdos lopšelis-darželis „Žiburėlis“</t>
  </si>
  <si>
    <t>Klaipėdos lopšelis-darželis„Šermukšnėlė“</t>
  </si>
  <si>
    <t>Klaipėdos lopšelis-darželis „Puriena“</t>
  </si>
  <si>
    <t>Klaipėdos lopšelis-darželis „Radastėlė“</t>
  </si>
  <si>
    <t>Klaipėdos lopšelis-darželis „Liepaitė“</t>
  </si>
  <si>
    <t>Klaipėdos lopšelis-darželis „Boružėlė“</t>
  </si>
  <si>
    <t>Klaipėdos lopšelis-darželis „Kregždutė“</t>
  </si>
  <si>
    <t>Klaipėdos lopšelis-darželis „Vėrinėlis“</t>
  </si>
  <si>
    <t>Klaipėdos lopšelis-darželis „Putinėlis“</t>
  </si>
  <si>
    <t>Klaipėdos lopšelis-darželis „Želmenėlis“</t>
  </si>
  <si>
    <t>Klaipėdos lopšelis-darželis „Obelėlė“</t>
  </si>
  <si>
    <t>Klaipėdos lopšelis-darželis „Klevelis“</t>
  </si>
  <si>
    <t>Klaipėdos lopšelis-darželis „Žilvitis“</t>
  </si>
  <si>
    <t>Klaipėdos lopšelis-darželis „Rūta“</t>
  </si>
  <si>
    <t>Klaipėdos lopšelis-darželis „Žuvėdra“</t>
  </si>
  <si>
    <t>Klaipėdos lopšelis-darželis „Pingvinukas“</t>
  </si>
  <si>
    <t>Klaipėdos lopšelis-darželis „Traukinukas“</t>
  </si>
  <si>
    <t>Klaipėdos lopšelis-darželis „Svirpliukas“</t>
  </si>
  <si>
    <t>Klaipėdos lopšelis-darželis „Volungėlė“</t>
  </si>
  <si>
    <t>Klaipėdos lopšelis-darželis „Dobiliukas“</t>
  </si>
  <si>
    <t>Klaipėdos lopšelis-darželis „Linelis“</t>
  </si>
  <si>
    <t>Klaipėdos lopšelis-darželis „Žiogelis“</t>
  </si>
  <si>
    <t>Klaipėdos lopšelis-darželis „Aušrinė“</t>
  </si>
  <si>
    <t>Klaipėdos lopšelis-darželis „Atžalynas“</t>
  </si>
  <si>
    <t>Klaipėdos lopšelis-darželis „Žemuogėlė“</t>
  </si>
  <si>
    <t>Klaipėdos lopšelis-darželis „Alksniukas“</t>
  </si>
  <si>
    <t>Klaipėdos lopšelis-darželis „Pumpurėlis“</t>
  </si>
  <si>
    <t>Klaipėdos lopšelis-darželis „Papartėlis“</t>
  </si>
  <si>
    <t>Klaipėdos lopšelis-darželis „Aitvarėlis“</t>
  </si>
  <si>
    <t>Klaipėdos lopšelis-darželis „Bangelė“</t>
  </si>
  <si>
    <t>Klaipėdos lopšelis-darželis „Ąžuoliukas“</t>
  </si>
  <si>
    <t>Klaipėdos  lopšelis-darželis „Vyturėlis“</t>
  </si>
  <si>
    <t>Klaipėdos darželis „Gintarėlis“</t>
  </si>
  <si>
    <t>Klaipėdos Marijos Montessori mokykla-darželis</t>
  </si>
  <si>
    <t>Klaipėdos „Versmės“ specialioji mokykla-darželis</t>
  </si>
  <si>
    <t>Klaipėdos lopšelis-darželis „Bitutė“</t>
  </si>
  <si>
    <t>Klaipėdos Juozo Karoso muzikos mokykla</t>
  </si>
  <si>
    <t>Klaipėdos Adomo Brako dailės mokykla</t>
  </si>
  <si>
    <t>Klaipėdos Jeronimo Kačinsko muzikos mokykla</t>
  </si>
  <si>
    <t>Klaipėdos moksleivių saviraiškos centras</t>
  </si>
  <si>
    <t>Klaipėdos regos ugdymo centras</t>
  </si>
  <si>
    <t>Klaipėdos pedagogų švietimo ir kultūros centras</t>
  </si>
  <si>
    <t>Klaipėdos jaunimo centras</t>
  </si>
  <si>
    <t>Klaipėdos pedagoginė psichologinė tarnyba</t>
  </si>
  <si>
    <t xml:space="preserve">Klaipėdos vaikų laisvalaikio centras </t>
  </si>
  <si>
    <t>Klaipėdos miesto globos namai</t>
  </si>
  <si>
    <t>Klaipėdos miesto nakvynės namai</t>
  </si>
  <si>
    <t>Klaipėdos vaikų globos namai „Smiltelė“</t>
  </si>
  <si>
    <t>Klaipėdos vaikų globos namai „Rytas“</t>
  </si>
  <si>
    <t>Klaipėdos priklausomybės ligų centras</t>
  </si>
  <si>
    <t>Klaipėdos miesto socialinės paramos centras</t>
  </si>
  <si>
    <t>Klaipėdos „Ąžuolyno“ gimnazija</t>
  </si>
  <si>
    <t>Klaipėdos Simono Dacho  progimnazija</t>
  </si>
  <si>
    <t>Klaipėdos Prano Mašioto  progimnazija</t>
  </si>
  <si>
    <t>Klaipėdos „Versmės“ progimnazija</t>
  </si>
  <si>
    <t>Klaipėdos „Smeltės“ progimnazija</t>
  </si>
  <si>
    <t>Klaipėdos Martyno Mažvydo  progimnazija</t>
  </si>
  <si>
    <t>Klaipėdos Tauralaukio progimnazija</t>
  </si>
  <si>
    <t>Klaipėdos „Gabijos“ progimnazija</t>
  </si>
  <si>
    <t>Klaipėdos „Viesulo“ sporto centras</t>
  </si>
  <si>
    <t>Klaipėdos Vlado Knašiaus krepšinio mokykla</t>
  </si>
  <si>
    <r>
      <t>Jaunimo politikos plėtros programa</t>
    </r>
    <r>
      <rPr>
        <sz val="12"/>
        <rFont val="Times New Roman"/>
        <family val="1"/>
      </rPr>
      <t xml:space="preserve"> (savivaldybės biudžeto lėšos)</t>
    </r>
  </si>
  <si>
    <t>Vaikų ir jaunimo teisių apsauga</t>
  </si>
  <si>
    <t>Socialinėms išmokoms ir kompensacijoms skaičiuoti ir mokėti</t>
  </si>
  <si>
    <t xml:space="preserve">Dalyvavimas rengiant ir vykdant mobilizaciją </t>
  </si>
  <si>
    <t>Darbo rinkos politikos priemonių ir gyventojų užimtumo programų rengimas ir įgyvendinimas</t>
  </si>
  <si>
    <t>Darbo rinkos politikos priemonių ir gyventojų užimtumo programų rengimo ir įgyvendinimo administravimas</t>
  </si>
  <si>
    <t>Valstybinės žemės ir kito valstybės turto valdymas, naudojimas ir disponavimas juo patikėjimo teise</t>
  </si>
  <si>
    <t>Duomenų teikimas Suteiktos valstybės pagalbos registrui</t>
  </si>
  <si>
    <t>Vaikų teisių apsauga</t>
  </si>
  <si>
    <r>
      <rPr>
        <b/>
        <sz val="12"/>
        <rFont val="Times New Roman"/>
        <family val="1"/>
      </rPr>
      <t>Miesto infrastruktūros objektų priežiūros ir modernizavimo programa</t>
    </r>
    <r>
      <rPr>
        <sz val="12"/>
        <rFont val="Times New Roman"/>
        <family val="1"/>
      </rPr>
      <t xml:space="preserve"> (savivaldybės biudžeto lėšos)</t>
    </r>
  </si>
  <si>
    <r>
      <rPr>
        <b/>
        <sz val="12"/>
        <rFont val="Times New Roman"/>
        <family val="1"/>
      </rPr>
      <t>Susisiekimo sistemos priežiūros ir plėtros programa</t>
    </r>
    <r>
      <rPr>
        <sz val="12"/>
        <rFont val="Times New Roman"/>
        <family val="1"/>
      </rPr>
      <t xml:space="preserve"> (savivaldybės biudžeto lėšos)</t>
    </r>
  </si>
  <si>
    <r>
      <t>Savivaldybės kontrolės ir audito  tarnybos veiklos programa</t>
    </r>
    <r>
      <rPr>
        <sz val="12"/>
        <rFont val="Times New Roman"/>
        <family val="1"/>
      </rPr>
      <t xml:space="preserve"> (savivaldybės biudžeto lėšos)</t>
    </r>
  </si>
  <si>
    <t>Savivaldybės kontrolės ir audito  tarnybos veiklos programa</t>
  </si>
  <si>
    <t>Jaunimo politikos plėtros programa</t>
  </si>
  <si>
    <t>1.</t>
  </si>
  <si>
    <t>2.</t>
  </si>
  <si>
    <r>
      <t>Miesto infrastruktūros objektų priežiūros ir modernizavimo programa</t>
    </r>
    <r>
      <rPr>
        <sz val="12"/>
        <rFont val="Times New Roman"/>
        <family val="1"/>
      </rPr>
      <t xml:space="preserve"> </t>
    </r>
  </si>
  <si>
    <t xml:space="preserve">Miesto infrastruktūros objektų priežiūros ir modernizavimo programa (paskolų lėšos) </t>
  </si>
  <si>
    <t>Sveikatos apsaugos programa</t>
  </si>
  <si>
    <t>Sveikatos apsaugos programa (savivaldybės biudžeto lėšos)</t>
  </si>
  <si>
    <t>Sveikatos apsaugos programa (asignavimų valdytojo pajamų įmokos)</t>
  </si>
  <si>
    <t>Sveikatos apsaugos  programa</t>
  </si>
  <si>
    <t>Socialinės atskirties mažinimo programa (paskolų lėšos)</t>
  </si>
  <si>
    <t xml:space="preserve">Miesto kultūrinio savitumo puoselėjimo bei kultūrinių paslaugų gerinimo programa (paskolų lėšos) </t>
  </si>
  <si>
    <r>
      <t xml:space="preserve">Ugdymo proceso užtikrinimo programa </t>
    </r>
    <r>
      <rPr>
        <sz val="12"/>
        <rFont val="Times New Roman"/>
        <family val="1"/>
      </rPr>
      <t>(specialiosios tikslinės dotacijos mokinio krepšeliui finansuoti lėšos)</t>
    </r>
  </si>
  <si>
    <r>
      <t xml:space="preserve">Socialinės atskirties mažinimo programa </t>
    </r>
    <r>
      <rPr>
        <sz val="12"/>
        <rFont val="Times New Roman"/>
        <family val="1"/>
      </rPr>
      <t>(savivaldybės biudžeto lėšos)</t>
    </r>
  </si>
  <si>
    <t>Socialinės atskirties mažinimo programa (lėšos, gautos iš valstybės biudžeto pagal tarpusavio atsiskaitymus)</t>
  </si>
  <si>
    <t xml:space="preserve">Patvirtintas planas </t>
  </si>
  <si>
    <t>Siūlomas keitimas 2012-06</t>
  </si>
  <si>
    <t>Projektas 2012-06</t>
  </si>
  <si>
    <t xml:space="preserve">                       (Klaipėdos miesto savivaldybės tarybos</t>
  </si>
  <si>
    <t>Siūlomas keitimas 2012-11</t>
  </si>
  <si>
    <t>3 priedas</t>
  </si>
  <si>
    <t xml:space="preserve">Kūno kultūros ir sporto plėtros programa (savivaldybės biudžeto lėšos) </t>
  </si>
  <si>
    <t>Patikslintas planas</t>
  </si>
  <si>
    <t>Plano įvykdymas</t>
  </si>
  <si>
    <t>Rezultatas (pasikeitimas +, -)</t>
  </si>
  <si>
    <t>Įvykdyta procentais</t>
  </si>
  <si>
    <t>Kitos ilgalaikio turto realizavimo pajamos</t>
  </si>
  <si>
    <t>Klaipėdos miesto savivaldybės tarybos</t>
  </si>
  <si>
    <t>1 priedas</t>
  </si>
  <si>
    <t xml:space="preserve">Patikslin-tas planas </t>
  </si>
  <si>
    <t>Įvykdyta</t>
  </si>
  <si>
    <t>Rezultatas (pasikeiti-mas +,-)</t>
  </si>
  <si>
    <t>iš jų</t>
  </si>
  <si>
    <t>Patikslin-tas planas</t>
  </si>
  <si>
    <t>iš jų darbo užmokesčiui</t>
  </si>
  <si>
    <t>Patiks-lintas planas</t>
  </si>
  <si>
    <t xml:space="preserve">Patikslintas planas </t>
  </si>
  <si>
    <t>Rezulta-tas (pasikei-timas +,-)</t>
  </si>
  <si>
    <t>2 priedas</t>
  </si>
  <si>
    <t xml:space="preserve"> </t>
  </si>
  <si>
    <t xml:space="preserve">Įmokos už išlaikymą švietimo, socialinės apsaugos ir kitose įstaigose </t>
  </si>
  <si>
    <t xml:space="preserve">Pajamos už prekes ir paslaugas </t>
  </si>
  <si>
    <t xml:space="preserve">Pajamos už patalpų nuomą </t>
  </si>
  <si>
    <t>Rezultatas (pasikeiti-mas +, -)</t>
  </si>
  <si>
    <t>Klaipėdos Liudviko Stulpino progimnazija</t>
  </si>
  <si>
    <t>Klaipėdos lopšelis-darželis „Pušaitė“</t>
  </si>
  <si>
    <t>Klaipėdos lopšelis-darželis „Eglutė“</t>
  </si>
  <si>
    <t>Klaipėdos lopšelis-darželis „Giliukas“</t>
  </si>
  <si>
    <t>ASIGNAVIMŲ PANAUDOJIMAS</t>
  </si>
  <si>
    <t>Rezulta-tas (pasikeiti-mas +,-)</t>
  </si>
  <si>
    <t>Įvykdy-ta</t>
  </si>
  <si>
    <t>Įvykdyta procen-tais</t>
  </si>
  <si>
    <t>Įvyk-dyta pro-centais</t>
  </si>
  <si>
    <t>8</t>
  </si>
  <si>
    <t>10</t>
  </si>
  <si>
    <t>12</t>
  </si>
  <si>
    <t>Rezulta-tas (pasikeiti-mas +, -)</t>
  </si>
  <si>
    <t>14</t>
  </si>
  <si>
    <t>Klaipėdos „Aitvaro“ gimnazija</t>
  </si>
  <si>
    <t>Klaipėdos „Verdenės“ progimnazija</t>
  </si>
  <si>
    <t>2014 m.                        d. sprendimo Nr. T2-</t>
  </si>
  <si>
    <t xml:space="preserve"> KLAIPĖDOS MIESTO SAVIVALDYBĖS 2013 METŲ BIUDŽETO ĮVYKDYMO ATASKAITA</t>
  </si>
  <si>
    <t>MOKESČIAI (2+...+8)</t>
  </si>
  <si>
    <t>DOTACIJOS (10+13+42)</t>
  </si>
  <si>
    <t>Europos Sąjungos finansinės paramos lėšos (11+12)</t>
  </si>
  <si>
    <t>Specialios tikslinės dotacijos (14+32+36+37+41)</t>
  </si>
  <si>
    <t>Valstybinėms (valstybės perduotoms savivaldybėms) funkcijoms atlikti (15+...+31)</t>
  </si>
  <si>
    <t>Piliečių prašymams atkurti nuosavybės teises į išlikusį nekilnojamąjį turtą nagrinėti ir sprendimams dėl nuosavybės teisių atkūrimo priimti</t>
  </si>
  <si>
    <t>Valstybės kapitalo investicijų programoje numatytiems projektams finansuoti (33+34+35)</t>
  </si>
  <si>
    <t>Klaipėdos miesto baseino (50 m) su sveikatingumo centru statyba</t>
  </si>
  <si>
    <t>VšĮ Klaipėdos universitetinės ligoninės centrinio korpuso operacinės rekonstravimas</t>
  </si>
  <si>
    <t>Savivaldybėms perduotoms įstaigoms išlaikyti (38+39+40)</t>
  </si>
  <si>
    <t>švietimo (be mokinio krepšelio)</t>
  </si>
  <si>
    <t>socialinės apsaugos</t>
  </si>
  <si>
    <t>sveikatos</t>
  </si>
  <si>
    <t>Savivaldybių mokykloms (klasėms), turinčioms specialiųjų ugdymosi poreikio mokinių, finansuoti</t>
  </si>
  <si>
    <t>Kitos dotacijos ir lėšos iš kitų valdymo lygių (43)</t>
  </si>
  <si>
    <t>Lėšos, gautos iš valstybės biudžeto pagal tarpusavio atsiskaitymus</t>
  </si>
  <si>
    <t>KITOS PAJAMOS (45+...+55)</t>
  </si>
  <si>
    <t>MATERIALIOJO IR NEMATERIALIOJO TURTO REALIZAVIMO PAJAMOS (57)</t>
  </si>
  <si>
    <t>IŠ KITŲ SAVIVALDYBIŲ GAUTOS MOKINIO KREPŠELIO LĖŠOS</t>
  </si>
  <si>
    <t xml:space="preserve"> 2014 m.                   d. sprendimo Nr. T2-</t>
  </si>
  <si>
    <t>2013 METŲ BIUDŽETINIŲ ĮSTAIGŲ PAJAMŲ ĮMOKŲ Į SAVIVALDYBĖS BIUDŽETĄ PAGAL ASIGNAVIMŲ VALDYTOJUS VYKDYMO ATASKAITA</t>
  </si>
  <si>
    <t>Ilgalaikio materialiojo turto realizavimo pajamos (58+59+60)</t>
  </si>
  <si>
    <t>Iš viso (1+9+44+56+61)</t>
  </si>
  <si>
    <t xml:space="preserve">Savivaldybės administracijos direktoriaus rezervas (savivaldybės biudžeto lėšos) </t>
  </si>
  <si>
    <t>Savivaldybės valdymo  programa (specialios tikslinės dotacijos valstybinėms (valstybės perduotoms savivaldybėms) funkcijoms atlikti lėšos)</t>
  </si>
  <si>
    <r>
      <t xml:space="preserve">Savivaldybės valdymo  programa </t>
    </r>
    <r>
      <rPr>
        <sz val="12"/>
        <rFont val="Times New Roman"/>
        <family val="1"/>
      </rPr>
      <t>(specialios tikslinės dotacijos valstybinėms (valstybės perduotoms savivaldybėms) funkcijoms atlikti lėšos)</t>
    </r>
  </si>
  <si>
    <t xml:space="preserve">Smulkiojo ir vidutinio verslo plėtros programa </t>
  </si>
  <si>
    <t>Smulkiojo ir vidutinio verslo plėtros programa (savivaldybės biudžeto lėšos)</t>
  </si>
  <si>
    <t xml:space="preserve">Smulkiojo ir vidutinio verslo plėtros programa (paskolų lėšos) </t>
  </si>
  <si>
    <t xml:space="preserve">Aplinkos apsaugos programa (paskolų lėšos) </t>
  </si>
  <si>
    <t xml:space="preserve">Aplinkos apsaugos programa (savivaldybės biudžeto lėšos) </t>
  </si>
  <si>
    <t>Miesto kultūrinio savitumo puoselėjimo bei kultūrinių paslaugų gerinimo programa (specialios tikslinės dotacijos valstybės kapitalo investicijų programoje numatytiems projektams finansuoti lėšos)</t>
  </si>
  <si>
    <t xml:space="preserve">Kūno kultūros ir sporto plėtros programa (specialios tikslinės dotacijos valstybės kapitalo investicijų programoje numatytiems projektams finansuoti lėšos) </t>
  </si>
  <si>
    <r>
      <t>Sveikatos apsaugos programa</t>
    </r>
    <r>
      <rPr>
        <sz val="12"/>
        <rFont val="Times New Roman"/>
        <family val="1"/>
      </rPr>
      <t xml:space="preserve"> (specialios tikslinės dotacijos valstybės kapitalo investicijų programoje numatytiems projektams finansuoti lėšos) </t>
    </r>
  </si>
  <si>
    <r>
      <t xml:space="preserve">Miesto kultūrinio savitumo puoselėjimo bei kultūrinių paslaugų gerinimo programa </t>
    </r>
    <r>
      <rPr>
        <sz val="12"/>
        <rFont val="Times New Roman"/>
        <family val="1"/>
      </rPr>
      <t>(savivaldybės biudžeto lėšos)</t>
    </r>
  </si>
  <si>
    <r>
      <t xml:space="preserve">Kūno kultūros ir sporto plėtros programa </t>
    </r>
    <r>
      <rPr>
        <sz val="12"/>
        <rFont val="Times New Roman"/>
        <family val="1"/>
      </rPr>
      <t>(savivaldybės biudžeto lėšos)</t>
    </r>
  </si>
  <si>
    <t>Ugdymo proceso užtikrinimo programa (specialios tikslinės dotacijos mokinio krepšeliui finansuoti lėšos)</t>
  </si>
  <si>
    <t>Ugdymo proceso užtikrinimo programa (specialios tikslinės dotacijos savivaldybėms perduotoms įstaigoms išlaikyti lėšos)</t>
  </si>
  <si>
    <t>Ugdymo proceso užtikrinimo programa (specialios tikslinės dotacijos savivaldybių mokykloms (klasėms), turinčioms specialiųjų ugdymosi poreikio mokinių, finansuoti lėšos)</t>
  </si>
  <si>
    <t>Socialinės atskirties mažinimo programa (specialios tikslinės dotacijos valstybinėms (valstybės perduotoms savivaldybėms) funkcijoms atlikti lėšos)</t>
  </si>
  <si>
    <t>Socialinės atskirties mažinimo programa (specialios tikslinės dotacijos savivaldybėms perduotoms įstaigoms išlaikyti lėšos)</t>
  </si>
  <si>
    <t>Socialinės atskirties mažinimo programa (asignavimų valdytojo pajamų už gyvenamųjų patalpų nuomą įmokos)</t>
  </si>
  <si>
    <t>Sveikatos apsaugos programa (specialios tikslinės dotacijos savivaldybėms perduotoms įstaigoms išlaikyti lėšos)</t>
  </si>
  <si>
    <r>
      <t>Miesto infrastruktūros objektų priežiūros ir modernizavimo programa</t>
    </r>
    <r>
      <rPr>
        <sz val="12"/>
        <rFont val="Times New Roman"/>
        <family val="1"/>
      </rPr>
      <t xml:space="preserve"> (savivaldybės biudžeto lėšos)</t>
    </r>
  </si>
  <si>
    <t xml:space="preserve">valstybės biudžeto specialių tikslinių ir kitų dotacijų lėšos </t>
  </si>
  <si>
    <t>2014 m.                d. sprendimo Nr. T2-</t>
  </si>
  <si>
    <t>KLAIPĖDOS MIESTO SAVIVALDYBĖS 2013 METŲ BIUDŽETO ASIGNAVIMŲ PANAUDOJIMAS PAGAL PROGRAMAS</t>
  </si>
  <si>
    <t>Smulkiojo ir vidutinio verslo plėtros programa</t>
  </si>
  <si>
    <t xml:space="preserve">Iš viso: </t>
  </si>
  <si>
    <t>KLAIPĖDOS MIESTO SAVIVALDYBĖS 2013 M. BIUDŽETO ASIGNAVIMŲ PANAUDOJIMAS INVESTICIJŲ PROJEKTAMS FINANSUOTI PAGAL PROGRAMAS IŠ PASKOLŲ LĖŠŲ</t>
  </si>
  <si>
    <t>5 priedas</t>
  </si>
  <si>
    <t xml:space="preserve">Miesto urbanistinio planavimo programa </t>
  </si>
  <si>
    <t>Miesto infrastruktūros objektų priežiūros ir modernizavimo programa</t>
  </si>
  <si>
    <t>KLAIPĖDOS MIESTO SAVIVALDYBĖS 2013 METŲ ASIGNAVIMŲ PANAUDOJIMAS IŠ 2012 METAIS NEPANAUDOTŲ BIUDŽETO LĖŠŲ, SKIRTŲ 2013 M. SAUSIO 1 D. ĮSISKOLINIMUI PADENGTI, VIRŠIJANT 2013 METŲ BIUDŽETE PATVIRTINTAS BENDRAS ASIGNAVIMŲ SUMAS</t>
  </si>
  <si>
    <t>2014 m.                      d. sprendimo Nr. T2-</t>
  </si>
  <si>
    <t>Klaipėdos „Aukuro“ gimnazija</t>
  </si>
  <si>
    <t>Klaipėdos Sendvario progimnazija</t>
  </si>
  <si>
    <t>Klaipėdos Naujakiemio suaugusiųjų gimnazija</t>
  </si>
  <si>
    <t>Klaipėdos „Gubojos“ mokykla</t>
  </si>
  <si>
    <t>Klaipėdos „Medeinės“ mokykla</t>
  </si>
  <si>
    <t>Klaipėdos kurčiųjų ir neprigirdinčiųjų pagrindinė mokykla</t>
  </si>
  <si>
    <t>Klaipėdos miesto savivaldybės Mažosios Lietuvos istorijos muziejaus saugyklos pastato Didžioji Vandens g. 2 statyba</t>
  </si>
</sst>
</file>

<file path=xl/styles.xml><?xml version="1.0" encoding="utf-8"?>
<styleSheet xmlns="http://schemas.openxmlformats.org/spreadsheetml/2006/main">
  <numFmts count="3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General\.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* #,##0_-;\-* #,##0_-;_-* &quot;-&quot;_-;_-@_-"/>
    <numFmt numFmtId="172" formatCode="_-&quot;€&quot;* #,##0.00_-;\-&quot;€&quot;* #,##0.00_-;_-&quot;€&quot;* &quot;-&quot;??_-;_-@_-"/>
    <numFmt numFmtId="173" formatCode="_-* #,##0.00_-;\-* #,##0.00_-;_-* &quot;-&quot;??_-;_-@_-"/>
    <numFmt numFmtId="174" formatCode="#,##0.0"/>
    <numFmt numFmtId="175" formatCode="yyyy\-mm\-dd;@"/>
    <numFmt numFmtId="176" formatCode="0.0000"/>
    <numFmt numFmtId="177" formatCode="0.000"/>
    <numFmt numFmtId="178" formatCode="[$-427]yyyy\ &quot;m.&quot;\ mmmm\ d\ &quot;d.&quot;"/>
    <numFmt numFmtId="179" formatCode="&quot;£&quot;#,##0;\-&quot;£&quot;#,##0"/>
    <numFmt numFmtId="180" formatCode="&quot;£&quot;#,##0;[Red]\-&quot;£&quot;#,##0"/>
    <numFmt numFmtId="181" formatCode="&quot;£&quot;#,##0.00;\-&quot;£&quot;#,##0.00"/>
    <numFmt numFmtId="182" formatCode="&quot;£&quot;#,##0.00;[Red]\-&quot;£&quot;#,##0.00"/>
    <numFmt numFmtId="183" formatCode="_-&quot;£&quot;* #,##0_-;\-&quot;£&quot;* #,##0_-;_-&quot;£&quot;* &quot;-&quot;_-;_-@_-"/>
    <numFmt numFmtId="184" formatCode="_-&quot;£&quot;* #,##0.00_-;\-&quot;£&quot;* #,##0.00_-;_-&quot;£&quot;* &quot;-&quot;??_-;_-@_-"/>
    <numFmt numFmtId="185" formatCode="&quot;Taip&quot;;&quot;Taip&quot;;&quot;Ne&quot;"/>
    <numFmt numFmtId="186" formatCode="&quot;Teisinga&quot;;&quot;Teisinga&quot;;&quot;Klaidinga&quot;"/>
    <numFmt numFmtId="187" formatCode="[$€-2]\ ###,000_);[Red]\([$€-2]\ ###,000\)"/>
    <numFmt numFmtId="188" formatCode="0.0E+00"/>
    <numFmt numFmtId="189" formatCode="0.0000000"/>
    <numFmt numFmtId="190" formatCode="0.000000"/>
    <numFmt numFmtId="191" formatCode="0.00000"/>
    <numFmt numFmtId="192" formatCode="0.00000000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4" applyNumberFormat="0" applyAlignment="0" applyProtection="0"/>
    <xf numFmtId="0" fontId="38" fillId="2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3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/>
    </xf>
    <xf numFmtId="49" fontId="1" fillId="0" borderId="10" xfId="50" applyNumberFormat="1" applyFont="1" applyBorder="1" applyAlignment="1" applyProtection="1">
      <alignment horizontal="center" wrapText="1"/>
      <protection locked="0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164" fontId="2" fillId="0" borderId="10" xfId="0" applyNumberFormat="1" applyFont="1" applyFill="1" applyBorder="1" applyAlignment="1">
      <alignment horizontal="right"/>
    </xf>
    <xf numFmtId="49" fontId="2" fillId="0" borderId="10" xfId="50" applyNumberFormat="1" applyFont="1" applyFill="1" applyBorder="1" applyAlignment="1" applyProtection="1">
      <alignment horizontal="left" wrapText="1"/>
      <protection hidden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vertical="justify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164" fontId="2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horizontal="left" wrapText="1"/>
    </xf>
    <xf numFmtId="165" fontId="1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1" fillId="0" borderId="10" xfId="50" applyNumberFormat="1" applyFont="1" applyFill="1" applyBorder="1" applyAlignment="1" applyProtection="1">
      <alignment horizontal="left" wrapText="1"/>
      <protection hidden="1"/>
    </xf>
    <xf numFmtId="164" fontId="2" fillId="0" borderId="10" xfId="50" applyNumberFormat="1" applyFont="1" applyFill="1" applyBorder="1" applyAlignment="1" applyProtection="1">
      <alignment horizontal="right" wrapText="1"/>
      <protection hidden="1"/>
    </xf>
    <xf numFmtId="164" fontId="1" fillId="0" borderId="10" xfId="50" applyNumberFormat="1" applyFont="1" applyFill="1" applyBorder="1" applyAlignment="1" applyProtection="1">
      <alignment horizontal="right" wrapText="1"/>
      <protection hidden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65" fontId="1" fillId="0" borderId="10" xfId="50" applyNumberFormat="1" applyFont="1" applyFill="1" applyBorder="1" applyAlignment="1" applyProtection="1">
      <alignment horizontal="center" vertical="center"/>
      <protection hidden="1"/>
    </xf>
    <xf numFmtId="164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vertical="justify"/>
    </xf>
    <xf numFmtId="0" fontId="1" fillId="0" borderId="0" xfId="42" applyFont="1">
      <alignment/>
      <protection/>
    </xf>
    <xf numFmtId="164" fontId="9" fillId="0" borderId="10" xfId="50" applyNumberFormat="1" applyFont="1" applyBorder="1" applyAlignment="1" applyProtection="1">
      <alignment horizontal="center" vertical="center" wrapText="1"/>
      <protection hidden="1"/>
    </xf>
    <xf numFmtId="164" fontId="1" fillId="0" borderId="10" xfId="50" applyNumberFormat="1" applyFont="1" applyFill="1" applyBorder="1" applyAlignment="1" applyProtection="1">
      <alignment horizontal="right" vertical="center"/>
      <protection hidden="1"/>
    </xf>
    <xf numFmtId="164" fontId="2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11" xfId="0" applyFont="1" applyFill="1" applyBorder="1" applyAlignment="1">
      <alignment wrapText="1"/>
    </xf>
    <xf numFmtId="165" fontId="1" fillId="0" borderId="0" xfId="50" applyNumberFormat="1" applyFont="1" applyFill="1" applyBorder="1" applyAlignment="1" applyProtection="1">
      <alignment horizontal="center" vertical="center"/>
      <protection hidden="1"/>
    </xf>
    <xf numFmtId="164" fontId="2" fillId="0" borderId="0" xfId="0" applyNumberFormat="1" applyFont="1" applyFill="1" applyBorder="1" applyAlignment="1">
      <alignment/>
    </xf>
    <xf numFmtId="49" fontId="2" fillId="0" borderId="11" xfId="50" applyNumberFormat="1" applyFont="1" applyFill="1" applyBorder="1" applyAlignment="1" applyProtection="1">
      <alignment horizontal="left" wrapText="1"/>
      <protection hidden="1"/>
    </xf>
    <xf numFmtId="164" fontId="2" fillId="0" borderId="11" xfId="0" applyNumberFormat="1" applyFont="1" applyFill="1" applyBorder="1" applyAlignment="1">
      <alignment/>
    </xf>
    <xf numFmtId="165" fontId="1" fillId="0" borderId="10" xfId="42" applyNumberFormat="1" applyFont="1" applyBorder="1" applyAlignment="1">
      <alignment horizontal="center"/>
      <protection/>
    </xf>
    <xf numFmtId="0" fontId="2" fillId="0" borderId="10" xfId="42" applyFont="1" applyBorder="1" applyAlignment="1">
      <alignment wrapText="1"/>
      <protection/>
    </xf>
    <xf numFmtId="0" fontId="1" fillId="0" borderId="10" xfId="42" applyFont="1" applyBorder="1" applyAlignment="1">
      <alignment wrapText="1"/>
      <protection/>
    </xf>
    <xf numFmtId="0" fontId="2" fillId="0" borderId="10" xfId="42" applyFont="1" applyFill="1" applyBorder="1" applyAlignment="1">
      <alignment wrapText="1"/>
      <protection/>
    </xf>
    <xf numFmtId="0" fontId="1" fillId="0" borderId="10" xfId="42" applyFont="1" applyFill="1" applyBorder="1" applyAlignment="1">
      <alignment wrapText="1"/>
      <protection/>
    </xf>
    <xf numFmtId="0" fontId="1" fillId="0" borderId="10" xfId="42" applyFont="1" applyFill="1" applyBorder="1" applyAlignment="1">
      <alignment horizontal="left" wrapText="1"/>
      <protection/>
    </xf>
    <xf numFmtId="165" fontId="1" fillId="0" borderId="10" xfId="42" applyNumberFormat="1" applyFont="1" applyFill="1" applyBorder="1" applyAlignment="1">
      <alignment horizontal="center"/>
      <protection/>
    </xf>
    <xf numFmtId="0" fontId="2" fillId="0" borderId="10" xfId="42" applyFont="1" applyFill="1" applyBorder="1" applyAlignment="1">
      <alignment horizontal="left" wrapText="1"/>
      <protection/>
    </xf>
    <xf numFmtId="0" fontId="1" fillId="0" borderId="10" xfId="42" applyFont="1" applyFill="1" applyBorder="1" applyAlignment="1">
      <alignment horizontal="center" wrapText="1"/>
      <protection/>
    </xf>
    <xf numFmtId="164" fontId="2" fillId="0" borderId="10" xfId="42" applyNumberFormat="1" applyFont="1" applyFill="1" applyBorder="1" applyAlignment="1">
      <alignment horizontal="left" wrapText="1"/>
      <protection/>
    </xf>
    <xf numFmtId="0" fontId="1" fillId="0" borderId="10" xfId="42" applyFont="1" applyFill="1" applyBorder="1" applyAlignment="1">
      <alignment horizontal="center" vertical="top" wrapText="1"/>
      <protection/>
    </xf>
    <xf numFmtId="164" fontId="1" fillId="0" borderId="10" xfId="42" applyNumberFormat="1" applyFont="1" applyFill="1" applyBorder="1" applyAlignment="1">
      <alignment horizontal="left" wrapText="1"/>
      <protection/>
    </xf>
    <xf numFmtId="0" fontId="0" fillId="0" borderId="0" xfId="0" applyFont="1" applyAlignment="1">
      <alignment/>
    </xf>
    <xf numFmtId="164" fontId="1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42" applyFont="1" applyBorder="1" applyAlignment="1">
      <alignment horizontal="center" wrapText="1"/>
      <protection/>
    </xf>
    <xf numFmtId="0" fontId="1" fillId="0" borderId="0" xfId="42" applyFont="1" applyBorder="1" applyAlignment="1">
      <alignment horizontal="center"/>
      <protection/>
    </xf>
    <xf numFmtId="164" fontId="1" fillId="32" borderId="10" xfId="42" applyNumberFormat="1" applyFont="1" applyFill="1" applyBorder="1" applyAlignment="1">
      <alignment horizontal="center" vertical="center" wrapText="1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42" applyNumberFormat="1" applyFont="1" applyBorder="1" applyAlignment="1">
      <alignment horizontal="center"/>
      <protection/>
    </xf>
    <xf numFmtId="164" fontId="1" fillId="0" borderId="10" xfId="42" applyNumberFormat="1" applyFont="1" applyBorder="1" applyAlignment="1">
      <alignment horizontal="center" vertical="center"/>
      <protection/>
    </xf>
    <xf numFmtId="164" fontId="1" fillId="0" borderId="10" xfId="42" applyNumberFormat="1" applyFont="1" applyFill="1" applyBorder="1" applyAlignment="1">
      <alignment horizontal="center" wrapText="1"/>
      <protection/>
    </xf>
    <xf numFmtId="164" fontId="2" fillId="32" borderId="10" xfId="42" applyNumberFormat="1" applyFont="1" applyFill="1" applyBorder="1" applyAlignment="1">
      <alignment horizontal="left" wrapText="1"/>
      <protection/>
    </xf>
    <xf numFmtId="0" fontId="1" fillId="0" borderId="0" xfId="42" applyFont="1" applyAlignment="1">
      <alignment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42" applyFont="1" applyAlignment="1">
      <alignment wrapText="1"/>
      <protection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/>
    </xf>
    <xf numFmtId="1" fontId="1" fillId="0" borderId="10" xfId="42" applyNumberFormat="1" applyFont="1" applyBorder="1" applyAlignment="1">
      <alignment horizontal="center" wrapText="1"/>
      <protection/>
    </xf>
    <xf numFmtId="1" fontId="1" fillId="0" borderId="10" xfId="42" applyNumberFormat="1" applyFont="1" applyBorder="1" applyAlignment="1">
      <alignment horizontal="center"/>
      <protection/>
    </xf>
    <xf numFmtId="164" fontId="1" fillId="0" borderId="10" xfId="50" applyNumberFormat="1" applyFont="1" applyFill="1" applyBorder="1" applyAlignment="1" applyProtection="1">
      <alignment horizontal="right"/>
      <protection hidden="1"/>
    </xf>
    <xf numFmtId="164" fontId="2" fillId="0" borderId="10" xfId="42" applyNumberFormat="1" applyFont="1" applyBorder="1" applyAlignment="1">
      <alignment wrapText="1"/>
      <protection/>
    </xf>
    <xf numFmtId="164" fontId="1" fillId="0" borderId="10" xfId="42" applyNumberFormat="1" applyFont="1" applyBorder="1" applyAlignment="1">
      <alignment wrapText="1"/>
      <protection/>
    </xf>
    <xf numFmtId="164" fontId="2" fillId="0" borderId="10" xfId="42" applyNumberFormat="1" applyFont="1" applyFill="1" applyBorder="1" applyAlignment="1">
      <alignment wrapText="1"/>
      <protection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justify"/>
    </xf>
    <xf numFmtId="0" fontId="1" fillId="0" borderId="0" xfId="0" applyFont="1" applyAlignment="1">
      <alignment vertical="justify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164" fontId="1" fillId="0" borderId="10" xfId="42" applyNumberFormat="1" applyFont="1" applyBorder="1" applyAlignment="1">
      <alignment horizontal="center" vertical="center"/>
      <protection/>
    </xf>
    <xf numFmtId="164" fontId="1" fillId="32" borderId="10" xfId="42" applyNumberFormat="1" applyFont="1" applyFill="1" applyBorder="1" applyAlignment="1">
      <alignment horizontal="center" vertical="center" wrapText="1"/>
      <protection/>
    </xf>
    <xf numFmtId="164" fontId="1" fillId="0" borderId="10" xfId="0" applyNumberFormat="1" applyFont="1" applyBorder="1" applyAlignment="1">
      <alignment horizontal="center" wrapText="1"/>
    </xf>
    <xf numFmtId="164" fontId="1" fillId="0" borderId="10" xfId="0" applyNumberFormat="1" applyFont="1" applyFill="1" applyBorder="1" applyAlignment="1">
      <alignment horizontal="center" wrapText="1"/>
    </xf>
    <xf numFmtId="164" fontId="1" fillId="0" borderId="10" xfId="42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left" wrapText="1"/>
    </xf>
    <xf numFmtId="0" fontId="2" fillId="0" borderId="0" xfId="42" applyFont="1" applyAlignment="1">
      <alignment horizontal="center" wrapText="1"/>
      <protection/>
    </xf>
    <xf numFmtId="164" fontId="1" fillId="0" borderId="10" xfId="0" applyNumberFormat="1" applyFont="1" applyFill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left" wrapText="1"/>
    </xf>
    <xf numFmtId="0" fontId="0" fillId="0" borderId="10" xfId="42" applyBorder="1" applyAlignment="1">
      <alignment horizontal="center"/>
      <protection/>
    </xf>
    <xf numFmtId="0" fontId="1" fillId="0" borderId="10" xfId="42" applyFont="1" applyBorder="1" applyAlignment="1">
      <alignment horizontal="center" wrapText="1"/>
      <protection/>
    </xf>
    <xf numFmtId="49" fontId="1" fillId="0" borderId="12" xfId="50" applyNumberFormat="1" applyFont="1" applyBorder="1" applyAlignment="1" applyProtection="1">
      <alignment horizontal="center" vertical="center" wrapText="1"/>
      <protection hidden="1"/>
    </xf>
    <xf numFmtId="49" fontId="1" fillId="0" borderId="13" xfId="50" applyNumberFormat="1" applyFont="1" applyBorder="1" applyAlignment="1" applyProtection="1">
      <alignment horizontal="center" vertical="center" wrapText="1"/>
      <protection hidden="1"/>
    </xf>
    <xf numFmtId="49" fontId="1" fillId="0" borderId="14" xfId="5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wrapText="1"/>
    </xf>
    <xf numFmtId="164" fontId="1" fillId="0" borderId="10" xfId="50" applyNumberFormat="1" applyFont="1" applyFill="1" applyBorder="1" applyAlignment="1" applyProtection="1">
      <alignment horizontal="center" vertical="justify" wrapText="1"/>
      <protection hidden="1"/>
    </xf>
    <xf numFmtId="164" fontId="1" fillId="0" borderId="10" xfId="50" applyNumberFormat="1" applyFont="1" applyFill="1" applyBorder="1" applyAlignment="1" applyProtection="1">
      <alignment horizontal="center" vertical="center" wrapText="1"/>
      <protection hidden="1"/>
    </xf>
    <xf numFmtId="49" fontId="1" fillId="0" borderId="10" xfId="50" applyNumberFormat="1" applyFont="1" applyBorder="1" applyAlignment="1" applyProtection="1">
      <alignment horizontal="center" vertical="center" wrapText="1"/>
      <protection hidden="1"/>
    </xf>
    <xf numFmtId="0" fontId="1" fillId="0" borderId="11" xfId="0" applyFont="1" applyFill="1" applyBorder="1" applyAlignment="1">
      <alignment horizontal="center" wrapText="1"/>
    </xf>
    <xf numFmtId="0" fontId="1" fillId="0" borderId="0" xfId="42" applyFont="1" applyAlignment="1">
      <alignment/>
      <protection/>
    </xf>
    <xf numFmtId="0" fontId="1" fillId="0" borderId="0" xfId="42" applyFont="1" applyAlignment="1">
      <alignment horizontal="left"/>
      <protection/>
    </xf>
  </cellXfs>
  <cellStyles count="55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Normal_adm_dir_rezervas_2005 2" xfId="49"/>
    <cellStyle name="Normal_SAVAPYSsssss" xfId="50"/>
    <cellStyle name="Paprastas_Dir.rez. atask.2008m" xfId="51"/>
    <cellStyle name="Paryškinimas 1" xfId="52"/>
    <cellStyle name="Paryškinimas 2" xfId="53"/>
    <cellStyle name="Paryškinimas 3" xfId="54"/>
    <cellStyle name="Paryškinimas 4" xfId="55"/>
    <cellStyle name="Paryškinimas 5" xfId="56"/>
    <cellStyle name="Paryškinimas 6" xfId="57"/>
    <cellStyle name="Pastaba" xfId="58"/>
    <cellStyle name="Pavadinimas" xfId="59"/>
    <cellStyle name="Percent" xfId="60"/>
    <cellStyle name="Procentai 2" xfId="61"/>
    <cellStyle name="Procentai 2 2" xfId="62"/>
    <cellStyle name="Skaičiavimas" xfId="63"/>
    <cellStyle name="Suma" xfId="64"/>
    <cellStyle name="Susietas langelis" xfId="65"/>
    <cellStyle name="Tikrinimo langelis" xfId="66"/>
    <cellStyle name="Currency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showZeros="0" tabSelected="1" zoomScalePageLayoutView="0" workbookViewId="0" topLeftCell="A1">
      <pane xSplit="2" ySplit="9" topLeftCell="C52" activePane="bottomRight" state="frozen"/>
      <selection pane="topLeft" activeCell="A1" sqref="A1"/>
      <selection pane="topRight" activeCell="J1" sqref="J1"/>
      <selection pane="bottomLeft" activeCell="A10" sqref="A10"/>
      <selection pane="bottomRight" activeCell="B46" sqref="B46"/>
    </sheetView>
  </sheetViews>
  <sheetFormatPr defaultColWidth="9.140625" defaultRowHeight="12.75"/>
  <cols>
    <col min="2" max="2" width="70.7109375" style="0" customWidth="1"/>
    <col min="3" max="3" width="13.00390625" style="0" customWidth="1"/>
    <col min="4" max="4" width="11.28125" style="0" customWidth="1"/>
    <col min="5" max="5" width="14.00390625" style="0" customWidth="1"/>
    <col min="6" max="6" width="12.8515625" style="0" customWidth="1"/>
  </cols>
  <sheetData>
    <row r="1" spans="1:6" ht="16.5" customHeight="1">
      <c r="A1" s="1"/>
      <c r="B1" s="42"/>
      <c r="C1" s="95" t="s">
        <v>270</v>
      </c>
      <c r="D1" s="95"/>
      <c r="E1" s="95"/>
      <c r="F1" s="95"/>
    </row>
    <row r="2" spans="1:6" ht="13.5" customHeight="1">
      <c r="A2" s="1"/>
      <c r="B2" s="42"/>
      <c r="C2" s="95" t="s">
        <v>303</v>
      </c>
      <c r="D2" s="95"/>
      <c r="E2" s="95"/>
      <c r="F2" s="95"/>
    </row>
    <row r="3" spans="1:6" ht="16.5" customHeight="1">
      <c r="A3" s="17"/>
      <c r="B3" s="42"/>
      <c r="C3" s="96" t="s">
        <v>271</v>
      </c>
      <c r="D3" s="96"/>
      <c r="E3" s="96"/>
      <c r="F3" s="96"/>
    </row>
    <row r="4" spans="1:2" ht="12.75" customHeight="1">
      <c r="A4" s="17"/>
      <c r="B4" s="18"/>
    </row>
    <row r="5" spans="1:6" ht="15.75">
      <c r="A5" s="94" t="s">
        <v>304</v>
      </c>
      <c r="B5" s="94"/>
      <c r="C5" s="94"/>
      <c r="D5" s="94"/>
      <c r="E5" s="94"/>
      <c r="F5" s="94"/>
    </row>
    <row r="6" spans="1:2" ht="11.25" customHeight="1">
      <c r="A6" s="17"/>
      <c r="B6" s="14"/>
    </row>
    <row r="7" spans="1:6" ht="15.75">
      <c r="A7" s="17"/>
      <c r="B7" s="2" t="s">
        <v>16</v>
      </c>
      <c r="F7" s="1" t="s">
        <v>13</v>
      </c>
    </row>
    <row r="8" spans="1:6" ht="47.25" customHeight="1">
      <c r="A8" s="19" t="s">
        <v>1</v>
      </c>
      <c r="B8" s="19" t="s">
        <v>17</v>
      </c>
      <c r="C8" s="25" t="s">
        <v>265</v>
      </c>
      <c r="D8" s="25" t="s">
        <v>266</v>
      </c>
      <c r="E8" s="40" t="s">
        <v>267</v>
      </c>
      <c r="F8" s="25" t="s">
        <v>268</v>
      </c>
    </row>
    <row r="9" spans="1:6" s="20" customFormat="1" ht="15.75">
      <c r="A9" s="24">
        <v>1</v>
      </c>
      <c r="B9" s="24">
        <v>2</v>
      </c>
      <c r="C9" s="13">
        <v>3</v>
      </c>
      <c r="D9" s="13">
        <v>4</v>
      </c>
      <c r="E9" s="13">
        <v>5</v>
      </c>
      <c r="F9" s="13">
        <v>6</v>
      </c>
    </row>
    <row r="10" spans="1:6" s="11" customFormat="1" ht="15.75">
      <c r="A10" s="53">
        <v>1</v>
      </c>
      <c r="B10" s="54" t="s">
        <v>305</v>
      </c>
      <c r="C10" s="46">
        <f>SUM(C11:C17)</f>
        <v>188756.2</v>
      </c>
      <c r="D10" s="46">
        <f>SUM(D11:D17)</f>
        <v>188851.6</v>
      </c>
      <c r="E10" s="46">
        <f>SUM(E11:E17)</f>
        <v>95.4</v>
      </c>
      <c r="F10" s="46">
        <f>+D10/C10*100</f>
        <v>100.1</v>
      </c>
    </row>
    <row r="11" spans="1:6" ht="15.75">
      <c r="A11" s="53">
        <v>2</v>
      </c>
      <c r="B11" s="55" t="s">
        <v>18</v>
      </c>
      <c r="C11" s="47">
        <v>142100</v>
      </c>
      <c r="D11" s="47">
        <v>138627.5</v>
      </c>
      <c r="E11" s="47">
        <f>+D11-C11</f>
        <v>-3472.5</v>
      </c>
      <c r="F11" s="47">
        <f aca="true" t="shared" si="0" ref="F11:F71">+D11/C11*100</f>
        <v>97.6</v>
      </c>
    </row>
    <row r="12" spans="1:6" ht="15.75">
      <c r="A12" s="53">
        <v>3</v>
      </c>
      <c r="B12" s="55" t="s">
        <v>19</v>
      </c>
      <c r="C12" s="47">
        <v>1240</v>
      </c>
      <c r="D12" s="47">
        <v>888.5</v>
      </c>
      <c r="E12" s="47">
        <f aca="true" t="shared" si="1" ref="E12:E17">+D12-C12</f>
        <v>-351.5</v>
      </c>
      <c r="F12" s="47">
        <f t="shared" si="0"/>
        <v>71.7</v>
      </c>
    </row>
    <row r="13" spans="1:6" ht="15.75">
      <c r="A13" s="53">
        <v>4</v>
      </c>
      <c r="B13" s="55" t="s">
        <v>20</v>
      </c>
      <c r="C13" s="47">
        <v>240</v>
      </c>
      <c r="D13" s="47">
        <v>214.5</v>
      </c>
      <c r="E13" s="47">
        <f t="shared" si="1"/>
        <v>-25.5</v>
      </c>
      <c r="F13" s="47">
        <f t="shared" si="0"/>
        <v>89.4</v>
      </c>
    </row>
    <row r="14" spans="1:6" ht="15.75">
      <c r="A14" s="53">
        <v>5</v>
      </c>
      <c r="B14" s="55" t="s">
        <v>21</v>
      </c>
      <c r="C14" s="47">
        <v>24600</v>
      </c>
      <c r="D14" s="47">
        <v>25897.1</v>
      </c>
      <c r="E14" s="47">
        <f t="shared" si="1"/>
        <v>1297.1</v>
      </c>
      <c r="F14" s="47">
        <f t="shared" si="0"/>
        <v>105.3</v>
      </c>
    </row>
    <row r="15" spans="1:6" ht="15.75">
      <c r="A15" s="53">
        <v>6</v>
      </c>
      <c r="B15" s="55" t="s">
        <v>22</v>
      </c>
      <c r="C15" s="47">
        <v>1400</v>
      </c>
      <c r="D15" s="47">
        <v>1680</v>
      </c>
      <c r="E15" s="47">
        <f t="shared" si="1"/>
        <v>280</v>
      </c>
      <c r="F15" s="47">
        <f t="shared" si="0"/>
        <v>120</v>
      </c>
    </row>
    <row r="16" spans="1:6" ht="15.75">
      <c r="A16" s="53">
        <v>7</v>
      </c>
      <c r="B16" s="55" t="s">
        <v>23</v>
      </c>
      <c r="C16" s="47">
        <v>442</v>
      </c>
      <c r="D16" s="47">
        <v>500.3</v>
      </c>
      <c r="E16" s="47">
        <f t="shared" si="1"/>
        <v>58.3</v>
      </c>
      <c r="F16" s="47">
        <f t="shared" si="0"/>
        <v>113.2</v>
      </c>
    </row>
    <row r="17" spans="1:6" ht="15.75">
      <c r="A17" s="53">
        <v>8</v>
      </c>
      <c r="B17" s="55" t="s">
        <v>24</v>
      </c>
      <c r="C17" s="47">
        <v>18734.2</v>
      </c>
      <c r="D17" s="47">
        <v>21043.7</v>
      </c>
      <c r="E17" s="47">
        <f t="shared" si="1"/>
        <v>2309.5</v>
      </c>
      <c r="F17" s="47">
        <f t="shared" si="0"/>
        <v>112.3</v>
      </c>
    </row>
    <row r="18" spans="1:6" s="11" customFormat="1" ht="15.75">
      <c r="A18" s="53">
        <v>9</v>
      </c>
      <c r="B18" s="54" t="s">
        <v>306</v>
      </c>
      <c r="C18" s="46">
        <f>+C19+C22+C51</f>
        <v>150022.3</v>
      </c>
      <c r="D18" s="46">
        <f>+D19+D22+D51</f>
        <v>149657.1</v>
      </c>
      <c r="E18" s="46">
        <f>+E19+E22+E51</f>
        <v>-365.2</v>
      </c>
      <c r="F18" s="46">
        <f>+F19+F22+F51</f>
        <v>922.7</v>
      </c>
    </row>
    <row r="19" spans="1:6" s="11" customFormat="1" ht="15.75">
      <c r="A19" s="53">
        <v>10</v>
      </c>
      <c r="B19" s="56" t="s">
        <v>307</v>
      </c>
      <c r="C19" s="46">
        <f>+C20+C21</f>
        <v>293.6</v>
      </c>
      <c r="D19" s="46">
        <f>+D20+D21</f>
        <v>542.5</v>
      </c>
      <c r="E19" s="46">
        <f>+E20+E21</f>
        <v>248.9</v>
      </c>
      <c r="F19" s="46">
        <f>+F20+F21</f>
        <v>324.7</v>
      </c>
    </row>
    <row r="20" spans="1:6" ht="15.75">
      <c r="A20" s="53">
        <v>11</v>
      </c>
      <c r="B20" s="57" t="s">
        <v>25</v>
      </c>
      <c r="C20" s="47">
        <v>244.3</v>
      </c>
      <c r="D20" s="47">
        <v>479.1</v>
      </c>
      <c r="E20" s="47">
        <f>+D20-C20</f>
        <v>234.8</v>
      </c>
      <c r="F20" s="47">
        <f t="shared" si="0"/>
        <v>196.1</v>
      </c>
    </row>
    <row r="21" spans="1:6" ht="15.75">
      <c r="A21" s="53">
        <v>12</v>
      </c>
      <c r="B21" s="57" t="s">
        <v>26</v>
      </c>
      <c r="C21" s="47">
        <v>49.3</v>
      </c>
      <c r="D21" s="47">
        <v>63.4</v>
      </c>
      <c r="E21" s="47">
        <f>+D21-C21</f>
        <v>14.1</v>
      </c>
      <c r="F21" s="47">
        <f t="shared" si="0"/>
        <v>128.6</v>
      </c>
    </row>
    <row r="22" spans="1:6" s="11" customFormat="1" ht="15.75">
      <c r="A22" s="53">
        <v>13</v>
      </c>
      <c r="B22" s="54" t="s">
        <v>308</v>
      </c>
      <c r="C22" s="46">
        <f>+C23+C41+C45+C46+C50</f>
        <v>149662.6</v>
      </c>
      <c r="D22" s="46">
        <f>+D23+D41+D45+D46+D50</f>
        <v>149048.5</v>
      </c>
      <c r="E22" s="46">
        <f>+E23+E41+E45+E46+E50</f>
        <v>-614.1</v>
      </c>
      <c r="F22" s="46">
        <f>+F23+F41+F45+F46+F50</f>
        <v>498</v>
      </c>
    </row>
    <row r="23" spans="1:6" ht="31.5">
      <c r="A23" s="53">
        <v>14</v>
      </c>
      <c r="B23" s="55" t="s">
        <v>309</v>
      </c>
      <c r="C23" s="47">
        <f>SUM(C24:C40)</f>
        <v>35995.8</v>
      </c>
      <c r="D23" s="47">
        <f>SUM(D24:D40)</f>
        <v>35434.3</v>
      </c>
      <c r="E23" s="47">
        <f>SUM(E24:E40)</f>
        <v>-561.5</v>
      </c>
      <c r="F23" s="47">
        <f t="shared" si="0"/>
        <v>98.4</v>
      </c>
    </row>
    <row r="24" spans="1:6" ht="15.75">
      <c r="A24" s="53">
        <v>15</v>
      </c>
      <c r="B24" s="58" t="s">
        <v>238</v>
      </c>
      <c r="C24" s="47">
        <v>2</v>
      </c>
      <c r="D24" s="47">
        <f>2-0.1</f>
        <v>1.9</v>
      </c>
      <c r="E24" s="47">
        <f aca="true" t="shared" si="2" ref="E24:E40">+D24-C24</f>
        <v>-0.1</v>
      </c>
      <c r="F24" s="47">
        <f t="shared" si="0"/>
        <v>95</v>
      </c>
    </row>
    <row r="25" spans="1:6" ht="15.75">
      <c r="A25" s="53">
        <v>16</v>
      </c>
      <c r="B25" s="58" t="s">
        <v>234</v>
      </c>
      <c r="C25" s="47">
        <v>46.4</v>
      </c>
      <c r="D25" s="47">
        <f>46.4-1.6</f>
        <v>44.8</v>
      </c>
      <c r="E25" s="47">
        <f t="shared" si="2"/>
        <v>-1.6</v>
      </c>
      <c r="F25" s="47">
        <f t="shared" si="0"/>
        <v>96.6</v>
      </c>
    </row>
    <row r="26" spans="1:6" ht="15.75">
      <c r="A26" s="53">
        <v>17</v>
      </c>
      <c r="B26" s="58" t="s">
        <v>52</v>
      </c>
      <c r="C26" s="47">
        <v>45.5</v>
      </c>
      <c r="D26" s="47">
        <f>45.5-9.9</f>
        <v>35.6</v>
      </c>
      <c r="E26" s="47">
        <f t="shared" si="2"/>
        <v>-9.9</v>
      </c>
      <c r="F26" s="47">
        <f t="shared" si="0"/>
        <v>78.2</v>
      </c>
    </row>
    <row r="27" spans="1:6" ht="15.75">
      <c r="A27" s="53">
        <v>18</v>
      </c>
      <c r="B27" s="58" t="s">
        <v>47</v>
      </c>
      <c r="C27" s="47">
        <v>225.2</v>
      </c>
      <c r="D27" s="47">
        <f>225.2-2</f>
        <v>223.2</v>
      </c>
      <c r="E27" s="47">
        <f t="shared" si="2"/>
        <v>-2</v>
      </c>
      <c r="F27" s="47">
        <f t="shared" si="0"/>
        <v>99.1</v>
      </c>
    </row>
    <row r="28" spans="1:6" ht="15.75">
      <c r="A28" s="53">
        <v>19</v>
      </c>
      <c r="B28" s="58" t="s">
        <v>49</v>
      </c>
      <c r="C28" s="47">
        <v>101.3</v>
      </c>
      <c r="D28" s="47">
        <f>101.3-7</f>
        <v>94.3</v>
      </c>
      <c r="E28" s="47">
        <f t="shared" si="2"/>
        <v>-7</v>
      </c>
      <c r="F28" s="47">
        <f t="shared" si="0"/>
        <v>93.1</v>
      </c>
    </row>
    <row r="29" spans="1:6" ht="15.75">
      <c r="A29" s="53">
        <v>20</v>
      </c>
      <c r="B29" s="58" t="s">
        <v>50</v>
      </c>
      <c r="C29" s="47">
        <v>259.5</v>
      </c>
      <c r="D29" s="47">
        <f>259.5-1.6</f>
        <v>257.9</v>
      </c>
      <c r="E29" s="47">
        <f t="shared" si="2"/>
        <v>-1.6</v>
      </c>
      <c r="F29" s="47">
        <f t="shared" si="0"/>
        <v>99.4</v>
      </c>
    </row>
    <row r="30" spans="1:6" ht="15.75">
      <c r="A30" s="53">
        <v>21</v>
      </c>
      <c r="B30" s="58" t="s">
        <v>46</v>
      </c>
      <c r="C30" s="47">
        <v>55.2</v>
      </c>
      <c r="D30" s="47">
        <f>55.2-1.3</f>
        <v>53.9</v>
      </c>
      <c r="E30" s="47">
        <f t="shared" si="2"/>
        <v>-1.3</v>
      </c>
      <c r="F30" s="47">
        <f t="shared" si="0"/>
        <v>97.6</v>
      </c>
    </row>
    <row r="31" spans="1:6" ht="15.75">
      <c r="A31" s="53">
        <v>22</v>
      </c>
      <c r="B31" s="58" t="s">
        <v>53</v>
      </c>
      <c r="C31" s="47">
        <v>251.4</v>
      </c>
      <c r="D31" s="28">
        <f>251.4-22.3</f>
        <v>229.1</v>
      </c>
      <c r="E31" s="47">
        <f t="shared" si="2"/>
        <v>-22.3</v>
      </c>
      <c r="F31" s="47">
        <f t="shared" si="0"/>
        <v>91.1</v>
      </c>
    </row>
    <row r="32" spans="1:6" ht="15.75">
      <c r="A32" s="53">
        <v>23</v>
      </c>
      <c r="B32" s="58" t="s">
        <v>51</v>
      </c>
      <c r="C32" s="47">
        <v>9.2</v>
      </c>
      <c r="D32" s="28">
        <f>9.2-4</f>
        <v>5.2</v>
      </c>
      <c r="E32" s="47">
        <f t="shared" si="2"/>
        <v>-4</v>
      </c>
      <c r="F32" s="47">
        <f t="shared" si="0"/>
        <v>56.5</v>
      </c>
    </row>
    <row r="33" spans="1:6" ht="31.5">
      <c r="A33" s="53">
        <v>24</v>
      </c>
      <c r="B33" s="58" t="s">
        <v>237</v>
      </c>
      <c r="C33" s="47">
        <v>51.8</v>
      </c>
      <c r="D33" s="47">
        <f>51.8-0.1</f>
        <v>51.7</v>
      </c>
      <c r="E33" s="47">
        <f t="shared" si="2"/>
        <v>-0.1</v>
      </c>
      <c r="F33" s="47">
        <f t="shared" si="0"/>
        <v>99.8</v>
      </c>
    </row>
    <row r="34" spans="1:6" ht="15.75">
      <c r="A34" s="53">
        <v>25</v>
      </c>
      <c r="B34" s="58" t="s">
        <v>60</v>
      </c>
      <c r="C34" s="47">
        <v>27.1</v>
      </c>
      <c r="D34" s="47">
        <v>27.1</v>
      </c>
      <c r="E34" s="47">
        <f t="shared" si="2"/>
        <v>0</v>
      </c>
      <c r="F34" s="47">
        <f t="shared" si="0"/>
        <v>100</v>
      </c>
    </row>
    <row r="35" spans="1:6" ht="31.5">
      <c r="A35" s="53">
        <v>26</v>
      </c>
      <c r="B35" s="58" t="s">
        <v>310</v>
      </c>
      <c r="C35" s="47">
        <v>3.8</v>
      </c>
      <c r="D35" s="47">
        <f>3.8-0.3</f>
        <v>3.5</v>
      </c>
      <c r="E35" s="47">
        <f t="shared" si="2"/>
        <v>-0.3</v>
      </c>
      <c r="F35" s="47">
        <f t="shared" si="0"/>
        <v>92.1</v>
      </c>
    </row>
    <row r="36" spans="1:6" ht="15.75">
      <c r="A36" s="53">
        <v>27</v>
      </c>
      <c r="B36" s="55" t="s">
        <v>232</v>
      </c>
      <c r="C36" s="47">
        <v>744.5</v>
      </c>
      <c r="D36" s="47">
        <f>744.5-29.2-2.7</f>
        <v>712.6</v>
      </c>
      <c r="E36" s="47">
        <f t="shared" si="2"/>
        <v>-31.9</v>
      </c>
      <c r="F36" s="47">
        <f t="shared" si="0"/>
        <v>95.7</v>
      </c>
    </row>
    <row r="37" spans="1:6" ht="31.5">
      <c r="A37" s="53">
        <v>28</v>
      </c>
      <c r="B37" s="58" t="s">
        <v>235</v>
      </c>
      <c r="C37" s="47">
        <v>993.1</v>
      </c>
      <c r="D37" s="47">
        <f>993.1-33</f>
        <v>960.1</v>
      </c>
      <c r="E37" s="47">
        <f t="shared" si="2"/>
        <v>-33</v>
      </c>
      <c r="F37" s="47">
        <f t="shared" si="0"/>
        <v>96.7</v>
      </c>
    </row>
    <row r="38" spans="1:6" ht="15.75">
      <c r="A38" s="53">
        <v>29</v>
      </c>
      <c r="B38" s="58" t="s">
        <v>69</v>
      </c>
      <c r="C38" s="47">
        <v>3889</v>
      </c>
      <c r="D38" s="47">
        <f>3889-6.8</f>
        <v>3882.2</v>
      </c>
      <c r="E38" s="47">
        <f t="shared" si="2"/>
        <v>-6.8</v>
      </c>
      <c r="F38" s="47">
        <f t="shared" si="0"/>
        <v>99.8</v>
      </c>
    </row>
    <row r="39" spans="1:6" ht="15.75">
      <c r="A39" s="53">
        <v>30</v>
      </c>
      <c r="B39" s="58" t="s">
        <v>233</v>
      </c>
      <c r="C39" s="47">
        <v>26435.2</v>
      </c>
      <c r="D39" s="47">
        <f>26435.2-241.8</f>
        <v>26193.4</v>
      </c>
      <c r="E39" s="47">
        <f t="shared" si="2"/>
        <v>-241.8</v>
      </c>
      <c r="F39" s="47">
        <f t="shared" si="0"/>
        <v>99.1</v>
      </c>
    </row>
    <row r="40" spans="1:6" ht="15.75">
      <c r="A40" s="53">
        <v>31</v>
      </c>
      <c r="B40" s="58" t="s">
        <v>71</v>
      </c>
      <c r="C40" s="47">
        <v>2855.6</v>
      </c>
      <c r="D40" s="47">
        <f>2855.6-197.8</f>
        <v>2657.8</v>
      </c>
      <c r="E40" s="47">
        <f t="shared" si="2"/>
        <v>-197.8</v>
      </c>
      <c r="F40" s="47">
        <f t="shared" si="0"/>
        <v>93.1</v>
      </c>
    </row>
    <row r="41" spans="1:6" ht="31.5">
      <c r="A41" s="53">
        <v>32</v>
      </c>
      <c r="B41" s="55" t="s">
        <v>311</v>
      </c>
      <c r="C41" s="47">
        <f>+C42+C43+C44</f>
        <v>1838</v>
      </c>
      <c r="D41" s="47">
        <f>+D42+D43+D44</f>
        <v>1837.1</v>
      </c>
      <c r="E41" s="47">
        <f>+E42+E43+E44</f>
        <v>-0.9</v>
      </c>
      <c r="F41" s="47">
        <f t="shared" si="0"/>
        <v>100</v>
      </c>
    </row>
    <row r="42" spans="1:6" ht="31.5">
      <c r="A42" s="53">
        <v>33</v>
      </c>
      <c r="B42" s="55" t="s">
        <v>366</v>
      </c>
      <c r="C42" s="47">
        <v>1238</v>
      </c>
      <c r="D42" s="47">
        <f>1238-0.9</f>
        <v>1237.1</v>
      </c>
      <c r="E42" s="47">
        <f>+D42-C42</f>
        <v>-0.9</v>
      </c>
      <c r="F42" s="47">
        <f t="shared" si="0"/>
        <v>99.9</v>
      </c>
    </row>
    <row r="43" spans="1:6" ht="15.75">
      <c r="A43" s="53">
        <v>34</v>
      </c>
      <c r="B43" s="57" t="s">
        <v>312</v>
      </c>
      <c r="C43" s="47">
        <v>0</v>
      </c>
      <c r="D43" s="47"/>
      <c r="E43" s="47">
        <f>+D43-C43</f>
        <v>0</v>
      </c>
      <c r="F43" s="47"/>
    </row>
    <row r="44" spans="1:6" ht="31.5">
      <c r="A44" s="53">
        <v>35</v>
      </c>
      <c r="B44" s="55" t="s">
        <v>313</v>
      </c>
      <c r="C44" s="47">
        <v>600</v>
      </c>
      <c r="D44" s="47">
        <v>600</v>
      </c>
      <c r="E44" s="47">
        <f>+D44-C44</f>
        <v>0</v>
      </c>
      <c r="F44" s="47">
        <f t="shared" si="0"/>
        <v>100</v>
      </c>
    </row>
    <row r="45" spans="1:6" ht="15.75">
      <c r="A45" s="53">
        <v>36</v>
      </c>
      <c r="B45" s="55" t="s">
        <v>27</v>
      </c>
      <c r="C45" s="47">
        <v>101630.5</v>
      </c>
      <c r="D45" s="47">
        <v>101617</v>
      </c>
      <c r="E45" s="47">
        <f>+D45-C45</f>
        <v>-13.5</v>
      </c>
      <c r="F45" s="47">
        <f t="shared" si="0"/>
        <v>100</v>
      </c>
    </row>
    <row r="46" spans="1:6" ht="15.75">
      <c r="A46" s="53">
        <v>37</v>
      </c>
      <c r="B46" s="55" t="s">
        <v>314</v>
      </c>
      <c r="C46" s="47">
        <f>+C47+C48+C49</f>
        <v>10134.9</v>
      </c>
      <c r="D46" s="47">
        <f>+D47+D48+D49</f>
        <v>10096.7</v>
      </c>
      <c r="E46" s="47">
        <f>+E47+E48+E49</f>
        <v>-38.2</v>
      </c>
      <c r="F46" s="47">
        <f t="shared" si="0"/>
        <v>99.6</v>
      </c>
    </row>
    <row r="47" spans="1:6" ht="15.75">
      <c r="A47" s="53">
        <v>38</v>
      </c>
      <c r="B47" s="55" t="s">
        <v>315</v>
      </c>
      <c r="C47" s="47">
        <v>2598.4</v>
      </c>
      <c r="D47" s="47">
        <v>2598.4</v>
      </c>
      <c r="E47" s="47">
        <f>+D47-C47</f>
        <v>0</v>
      </c>
      <c r="F47" s="47">
        <f t="shared" si="0"/>
        <v>100</v>
      </c>
    </row>
    <row r="48" spans="1:6" ht="15.75">
      <c r="A48" s="53">
        <v>39</v>
      </c>
      <c r="B48" s="55" t="s">
        <v>316</v>
      </c>
      <c r="C48" s="47">
        <v>2611</v>
      </c>
      <c r="D48" s="47">
        <f>2611-38.2</f>
        <v>2572.8</v>
      </c>
      <c r="E48" s="47">
        <f>+D48-C48</f>
        <v>-38.2</v>
      </c>
      <c r="F48" s="47">
        <f t="shared" si="0"/>
        <v>98.5</v>
      </c>
    </row>
    <row r="49" spans="1:6" ht="15.75">
      <c r="A49" s="53">
        <v>40</v>
      </c>
      <c r="B49" s="55" t="s">
        <v>317</v>
      </c>
      <c r="C49" s="47">
        <v>4925.5</v>
      </c>
      <c r="D49" s="47">
        <v>4925.5</v>
      </c>
      <c r="E49" s="47">
        <f>+D49-C49</f>
        <v>0</v>
      </c>
      <c r="F49" s="47">
        <f t="shared" si="0"/>
        <v>100</v>
      </c>
    </row>
    <row r="50" spans="1:6" ht="31.5">
      <c r="A50" s="53">
        <v>41</v>
      </c>
      <c r="B50" s="55" t="s">
        <v>318</v>
      </c>
      <c r="C50" s="47">
        <v>63.4</v>
      </c>
      <c r="D50" s="47">
        <v>63.4</v>
      </c>
      <c r="E50" s="47">
        <f>+D50-C50</f>
        <v>0</v>
      </c>
      <c r="F50" s="47">
        <f t="shared" si="0"/>
        <v>100</v>
      </c>
    </row>
    <row r="51" spans="1:6" ht="15.75">
      <c r="A51" s="53">
        <v>42</v>
      </c>
      <c r="B51" s="21" t="s">
        <v>319</v>
      </c>
      <c r="C51" s="46">
        <f>+C52</f>
        <v>66.1</v>
      </c>
      <c r="D51" s="46">
        <f>+D52</f>
        <v>66.1</v>
      </c>
      <c r="E51" s="46">
        <f>+E52</f>
        <v>0</v>
      </c>
      <c r="F51" s="46">
        <f t="shared" si="0"/>
        <v>100</v>
      </c>
    </row>
    <row r="52" spans="1:6" ht="15.75">
      <c r="A52" s="53">
        <v>43</v>
      </c>
      <c r="B52" s="10" t="s">
        <v>320</v>
      </c>
      <c r="C52" s="47">
        <v>66.1</v>
      </c>
      <c r="D52" s="47">
        <v>66.1</v>
      </c>
      <c r="E52" s="47">
        <f>+D52-C52</f>
        <v>0</v>
      </c>
      <c r="F52" s="47">
        <f t="shared" si="0"/>
        <v>100</v>
      </c>
    </row>
    <row r="53" spans="1:6" ht="15.75">
      <c r="A53" s="53">
        <v>44</v>
      </c>
      <c r="B53" s="54" t="s">
        <v>321</v>
      </c>
      <c r="C53" s="46">
        <f>SUM(C54:C64)</f>
        <v>35301.9</v>
      </c>
      <c r="D53" s="46">
        <f>SUM(D54:D64)</f>
        <v>35675.8</v>
      </c>
      <c r="E53" s="46">
        <f>SUM(E54:E64)</f>
        <v>373.9</v>
      </c>
      <c r="F53" s="46">
        <f t="shared" si="0"/>
        <v>101.1</v>
      </c>
    </row>
    <row r="54" spans="1:6" ht="15.75">
      <c r="A54" s="53">
        <v>45</v>
      </c>
      <c r="B54" s="55" t="s">
        <v>28</v>
      </c>
      <c r="C54" s="47">
        <v>270</v>
      </c>
      <c r="D54" s="47">
        <v>301.3</v>
      </c>
      <c r="E54" s="47">
        <f aca="true" t="shared" si="3" ref="E54:E64">+D54-C54</f>
        <v>31.3</v>
      </c>
      <c r="F54" s="47">
        <f t="shared" si="0"/>
        <v>111.6</v>
      </c>
    </row>
    <row r="55" spans="1:6" ht="15.75">
      <c r="A55" s="53">
        <v>46</v>
      </c>
      <c r="B55" s="55" t="s">
        <v>29</v>
      </c>
      <c r="C55" s="47">
        <v>3571.1</v>
      </c>
      <c r="D55" s="47">
        <v>3571.1</v>
      </c>
      <c r="E55" s="47">
        <f t="shared" si="3"/>
        <v>0</v>
      </c>
      <c r="F55" s="47">
        <f t="shared" si="0"/>
        <v>100</v>
      </c>
    </row>
    <row r="56" spans="1:6" ht="31.5">
      <c r="A56" s="53">
        <v>47</v>
      </c>
      <c r="B56" s="55" t="s">
        <v>30</v>
      </c>
      <c r="C56" s="47">
        <v>7240</v>
      </c>
      <c r="D56" s="47">
        <v>7403.4</v>
      </c>
      <c r="E56" s="47">
        <f t="shared" si="3"/>
        <v>163.4</v>
      </c>
      <c r="F56" s="47">
        <f t="shared" si="0"/>
        <v>102.3</v>
      </c>
    </row>
    <row r="57" spans="1:6" ht="15.75">
      <c r="A57" s="53">
        <v>48</v>
      </c>
      <c r="B57" s="55" t="s">
        <v>73</v>
      </c>
      <c r="C57" s="47">
        <v>80</v>
      </c>
      <c r="D57" s="47">
        <v>213.2</v>
      </c>
      <c r="E57" s="47">
        <f t="shared" si="3"/>
        <v>133.2</v>
      </c>
      <c r="F57" s="47">
        <f t="shared" si="0"/>
        <v>266.5</v>
      </c>
    </row>
    <row r="58" spans="1:6" ht="15.75">
      <c r="A58" s="53">
        <v>49</v>
      </c>
      <c r="B58" s="55" t="s">
        <v>31</v>
      </c>
      <c r="C58" s="47">
        <v>4983.8</v>
      </c>
      <c r="D58" s="47">
        <v>4904.5</v>
      </c>
      <c r="E58" s="47">
        <f t="shared" si="3"/>
        <v>-79.3</v>
      </c>
      <c r="F58" s="47">
        <f t="shared" si="0"/>
        <v>98.4</v>
      </c>
    </row>
    <row r="59" spans="1:6" ht="15.75">
      <c r="A59" s="53">
        <v>50</v>
      </c>
      <c r="B59" s="55" t="s">
        <v>32</v>
      </c>
      <c r="C59" s="47">
        <v>3203.9</v>
      </c>
      <c r="D59" s="47">
        <v>3900.8</v>
      </c>
      <c r="E59" s="47">
        <f t="shared" si="3"/>
        <v>696.9</v>
      </c>
      <c r="F59" s="47">
        <f t="shared" si="0"/>
        <v>121.8</v>
      </c>
    </row>
    <row r="60" spans="1:6" ht="15.75">
      <c r="A60" s="53">
        <v>51</v>
      </c>
      <c r="B60" s="55" t="s">
        <v>33</v>
      </c>
      <c r="C60" s="47">
        <v>15028.1</v>
      </c>
      <c r="D60" s="47">
        <v>14164.7</v>
      </c>
      <c r="E60" s="47">
        <f t="shared" si="3"/>
        <v>-863.4</v>
      </c>
      <c r="F60" s="47">
        <f t="shared" si="0"/>
        <v>94.3</v>
      </c>
    </row>
    <row r="61" spans="1:6" ht="15.75">
      <c r="A61" s="53">
        <v>52</v>
      </c>
      <c r="B61" s="55" t="s">
        <v>34</v>
      </c>
      <c r="C61" s="47">
        <v>650</v>
      </c>
      <c r="D61" s="47">
        <v>745.4</v>
      </c>
      <c r="E61" s="47">
        <f t="shared" si="3"/>
        <v>95.4</v>
      </c>
      <c r="F61" s="47">
        <f t="shared" si="0"/>
        <v>114.7</v>
      </c>
    </row>
    <row r="62" spans="1:6" ht="15.75">
      <c r="A62" s="53">
        <v>53</v>
      </c>
      <c r="B62" s="55" t="s">
        <v>35</v>
      </c>
      <c r="C62" s="47">
        <v>10</v>
      </c>
      <c r="D62" s="47">
        <v>82.6</v>
      </c>
      <c r="E62" s="47">
        <f t="shared" si="3"/>
        <v>72.6</v>
      </c>
      <c r="F62" s="47">
        <f t="shared" si="0"/>
        <v>826</v>
      </c>
    </row>
    <row r="63" spans="1:6" ht="15.75">
      <c r="A63" s="53">
        <v>54</v>
      </c>
      <c r="B63" s="57" t="s">
        <v>36</v>
      </c>
      <c r="C63" s="47">
        <v>115</v>
      </c>
      <c r="D63" s="47">
        <v>166</v>
      </c>
      <c r="E63" s="47">
        <f t="shared" si="3"/>
        <v>51</v>
      </c>
      <c r="F63" s="47">
        <f t="shared" si="0"/>
        <v>144.3</v>
      </c>
    </row>
    <row r="64" spans="1:6" ht="15.75">
      <c r="A64" s="53">
        <v>55</v>
      </c>
      <c r="B64" s="55" t="s">
        <v>37</v>
      </c>
      <c r="C64" s="47">
        <v>150</v>
      </c>
      <c r="D64" s="47">
        <v>222.8</v>
      </c>
      <c r="E64" s="47">
        <f t="shared" si="3"/>
        <v>72.8</v>
      </c>
      <c r="F64" s="47">
        <f t="shared" si="0"/>
        <v>148.5</v>
      </c>
    </row>
    <row r="65" spans="1:6" ht="31.5">
      <c r="A65" s="53">
        <v>56</v>
      </c>
      <c r="B65" s="54" t="s">
        <v>322</v>
      </c>
      <c r="C65" s="46">
        <f>+C66</f>
        <v>1780</v>
      </c>
      <c r="D65" s="46">
        <f>+D66</f>
        <v>2532.6</v>
      </c>
      <c r="E65" s="46">
        <f>+E66</f>
        <v>752.6</v>
      </c>
      <c r="F65" s="46">
        <f t="shared" si="0"/>
        <v>142.3</v>
      </c>
    </row>
    <row r="66" spans="1:6" ht="15.75">
      <c r="A66" s="53">
        <v>57</v>
      </c>
      <c r="B66" s="54" t="s">
        <v>326</v>
      </c>
      <c r="C66" s="46">
        <f>+C67+C68+C69</f>
        <v>1780</v>
      </c>
      <c r="D66" s="46">
        <f>+D67+D68+D69</f>
        <v>2532.6</v>
      </c>
      <c r="E66" s="46">
        <f>+E67+E68+E69</f>
        <v>752.6</v>
      </c>
      <c r="F66" s="46">
        <f>+F67+F68+F69</f>
        <v>293.1</v>
      </c>
    </row>
    <row r="67" spans="1:6" ht="15.75">
      <c r="A67" s="53">
        <v>58</v>
      </c>
      <c r="B67" s="55" t="s">
        <v>38</v>
      </c>
      <c r="C67" s="47">
        <v>1500</v>
      </c>
      <c r="D67" s="47">
        <v>2070.9</v>
      </c>
      <c r="E67" s="47">
        <f>+D67-C67</f>
        <v>570.9</v>
      </c>
      <c r="F67" s="47">
        <f t="shared" si="0"/>
        <v>138.1</v>
      </c>
    </row>
    <row r="68" spans="1:6" ht="15.75">
      <c r="A68" s="53">
        <v>59</v>
      </c>
      <c r="B68" s="55" t="s">
        <v>39</v>
      </c>
      <c r="C68" s="47">
        <v>280</v>
      </c>
      <c r="D68" s="47">
        <v>434.1</v>
      </c>
      <c r="E68" s="47">
        <f>+D68-C68</f>
        <v>154.1</v>
      </c>
      <c r="F68" s="47">
        <f t="shared" si="0"/>
        <v>155</v>
      </c>
    </row>
    <row r="69" spans="1:6" ht="15.75">
      <c r="A69" s="53">
        <v>60</v>
      </c>
      <c r="B69" s="10" t="s">
        <v>269</v>
      </c>
      <c r="C69" s="47"/>
      <c r="D69" s="47">
        <f>3+22.1+2.5</f>
        <v>27.6</v>
      </c>
      <c r="E69" s="47">
        <f>+D69-C69</f>
        <v>27.6</v>
      </c>
      <c r="F69" s="47"/>
    </row>
    <row r="70" spans="1:6" ht="31.5">
      <c r="A70" s="53">
        <v>61</v>
      </c>
      <c r="B70" s="56" t="s">
        <v>323</v>
      </c>
      <c r="C70" s="46">
        <v>160</v>
      </c>
      <c r="D70" s="46">
        <v>152.2</v>
      </c>
      <c r="E70" s="46">
        <f>+D70-C70</f>
        <v>-7.8</v>
      </c>
      <c r="F70" s="46">
        <f t="shared" si="0"/>
        <v>95.1</v>
      </c>
    </row>
    <row r="71" spans="1:6" ht="15.75">
      <c r="A71" s="53">
        <v>62</v>
      </c>
      <c r="B71" s="56" t="s">
        <v>327</v>
      </c>
      <c r="C71" s="46">
        <f>+C10+C18+C53+C65+C70</f>
        <v>376020.4</v>
      </c>
      <c r="D71" s="46">
        <f>+D10+D18+D53+D65+D70</f>
        <v>376869.3</v>
      </c>
      <c r="E71" s="46">
        <f>+E10+E18+E53+E65+E70</f>
        <v>848.9</v>
      </c>
      <c r="F71" s="46">
        <f t="shared" si="0"/>
        <v>100.2</v>
      </c>
    </row>
  </sheetData>
  <sheetProtection/>
  <mergeCells count="4">
    <mergeCell ref="A5:F5"/>
    <mergeCell ref="C1:F1"/>
    <mergeCell ref="C2:F2"/>
    <mergeCell ref="C3:F3"/>
  </mergeCells>
  <printOptions/>
  <pageMargins left="0.7874015748031497" right="0.3937007874015748" top="0.984251968503937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43"/>
  <sheetViews>
    <sheetView showZeros="0" zoomScalePageLayoutView="0" workbookViewId="0" topLeftCell="A1">
      <pane xSplit="2" ySplit="7" topLeftCell="C1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13" sqref="U13"/>
    </sheetView>
  </sheetViews>
  <sheetFormatPr defaultColWidth="10.140625" defaultRowHeight="12.75"/>
  <cols>
    <col min="1" max="1" width="5.57421875" style="26" customWidth="1"/>
    <col min="2" max="2" width="40.8515625" style="0" customWidth="1"/>
    <col min="3" max="3" width="9.28125" style="0" customWidth="1"/>
    <col min="4" max="4" width="10.28125" style="0" customWidth="1"/>
    <col min="5" max="5" width="9.140625" style="0" customWidth="1"/>
    <col min="6" max="6" width="6.8515625" style="0" customWidth="1"/>
    <col min="7" max="7" width="9.57421875" style="0" customWidth="1"/>
    <col min="8" max="8" width="10.7109375" style="0" bestFit="1" customWidth="1"/>
    <col min="9" max="9" width="9.8515625" style="0" customWidth="1"/>
    <col min="10" max="10" width="9.57421875" style="0" customWidth="1"/>
    <col min="11" max="11" width="8.57421875" style="0" customWidth="1"/>
    <col min="12" max="12" width="8.140625" style="0" customWidth="1"/>
  </cols>
  <sheetData>
    <row r="2" ht="15.75">
      <c r="A2" s="31" t="s">
        <v>291</v>
      </c>
    </row>
    <row r="3" spans="1:12" ht="15.75">
      <c r="A3" s="97" t="s">
        <v>1</v>
      </c>
      <c r="B3" s="97" t="s">
        <v>40</v>
      </c>
      <c r="C3" s="98" t="s">
        <v>272</v>
      </c>
      <c r="D3" s="98" t="s">
        <v>273</v>
      </c>
      <c r="E3" s="98" t="s">
        <v>292</v>
      </c>
      <c r="F3" s="99" t="s">
        <v>295</v>
      </c>
      <c r="G3" s="100" t="s">
        <v>275</v>
      </c>
      <c r="H3" s="100"/>
      <c r="I3" s="100"/>
      <c r="J3" s="100"/>
      <c r="K3" s="100"/>
      <c r="L3" s="100"/>
    </row>
    <row r="4" spans="1:12" ht="13.5" customHeight="1">
      <c r="A4" s="97"/>
      <c r="B4" s="97"/>
      <c r="C4" s="98"/>
      <c r="D4" s="98"/>
      <c r="E4" s="98"/>
      <c r="F4" s="99"/>
      <c r="G4" s="98" t="s">
        <v>41</v>
      </c>
      <c r="H4" s="98"/>
      <c r="I4" s="98"/>
      <c r="J4" s="98"/>
      <c r="K4" s="98" t="s">
        <v>42</v>
      </c>
      <c r="L4" s="98"/>
    </row>
    <row r="5" spans="1:12" ht="15.75" customHeight="1">
      <c r="A5" s="97"/>
      <c r="B5" s="97"/>
      <c r="C5" s="98"/>
      <c r="D5" s="98"/>
      <c r="E5" s="98"/>
      <c r="F5" s="99"/>
      <c r="G5" s="98" t="s">
        <v>276</v>
      </c>
      <c r="H5" s="98" t="s">
        <v>273</v>
      </c>
      <c r="I5" s="98" t="s">
        <v>277</v>
      </c>
      <c r="J5" s="98"/>
      <c r="K5" s="98" t="s">
        <v>276</v>
      </c>
      <c r="L5" s="98" t="s">
        <v>293</v>
      </c>
    </row>
    <row r="6" spans="1:12" ht="35.25" customHeight="1">
      <c r="A6" s="97"/>
      <c r="B6" s="97"/>
      <c r="C6" s="98"/>
      <c r="D6" s="98"/>
      <c r="E6" s="98"/>
      <c r="F6" s="99"/>
      <c r="G6" s="98"/>
      <c r="H6" s="98"/>
      <c r="I6" s="22" t="s">
        <v>276</v>
      </c>
      <c r="J6" s="22" t="s">
        <v>273</v>
      </c>
      <c r="K6" s="98"/>
      <c r="L6" s="98"/>
    </row>
    <row r="7" spans="1:12" ht="15.75">
      <c r="A7" s="4">
        <v>1</v>
      </c>
      <c r="B7" s="24">
        <v>2</v>
      </c>
      <c r="C7" s="13">
        <v>3</v>
      </c>
      <c r="D7" s="25">
        <v>4</v>
      </c>
      <c r="E7" s="13">
        <v>5</v>
      </c>
      <c r="F7" s="25">
        <v>6</v>
      </c>
      <c r="G7" s="13">
        <v>7</v>
      </c>
      <c r="H7" s="25">
        <v>8</v>
      </c>
      <c r="I7" s="13">
        <v>9</v>
      </c>
      <c r="J7" s="25">
        <v>10</v>
      </c>
      <c r="K7" s="13">
        <v>11</v>
      </c>
      <c r="L7" s="25">
        <v>12</v>
      </c>
    </row>
    <row r="8" spans="1:12" ht="31.5">
      <c r="A8" s="59">
        <v>1</v>
      </c>
      <c r="B8" s="60" t="s">
        <v>44</v>
      </c>
      <c r="C8" s="27">
        <f>+C9</f>
        <v>376.4</v>
      </c>
      <c r="D8" s="27">
        <f>+D9</f>
        <v>373.5</v>
      </c>
      <c r="E8" s="27">
        <f>+E9</f>
        <v>-2.9</v>
      </c>
      <c r="F8" s="27">
        <f>+D8/C8*100</f>
        <v>99.2</v>
      </c>
      <c r="G8" s="27">
        <f aca="true" t="shared" si="0" ref="G8:L8">+G9</f>
        <v>363.7</v>
      </c>
      <c r="H8" s="27">
        <f t="shared" si="0"/>
        <v>360.9</v>
      </c>
      <c r="I8" s="27">
        <f t="shared" si="0"/>
        <v>254.9</v>
      </c>
      <c r="J8" s="27">
        <f t="shared" si="0"/>
        <v>252.3</v>
      </c>
      <c r="K8" s="27">
        <f t="shared" si="0"/>
        <v>12.7</v>
      </c>
      <c r="L8" s="27">
        <f t="shared" si="0"/>
        <v>12.6</v>
      </c>
    </row>
    <row r="9" spans="1:12" ht="47.25">
      <c r="A9" s="59">
        <v>2</v>
      </c>
      <c r="B9" s="60" t="s">
        <v>242</v>
      </c>
      <c r="C9" s="28">
        <f aca="true" t="shared" si="1" ref="C9:C72">+G9+K9</f>
        <v>376.4</v>
      </c>
      <c r="D9" s="28">
        <f aca="true" t="shared" si="2" ref="D9:D72">+H9+L9</f>
        <v>373.5</v>
      </c>
      <c r="E9" s="28">
        <f aca="true" t="shared" si="3" ref="E9:E72">+D9-C9</f>
        <v>-2.9</v>
      </c>
      <c r="F9" s="28">
        <f aca="true" t="shared" si="4" ref="F9:F72">+D9/C9*100</f>
        <v>99.2</v>
      </c>
      <c r="G9" s="28">
        <v>363.7</v>
      </c>
      <c r="H9" s="28">
        <v>360.9</v>
      </c>
      <c r="I9" s="28">
        <v>254.9</v>
      </c>
      <c r="J9" s="28">
        <v>252.3</v>
      </c>
      <c r="K9" s="28">
        <v>12.7</v>
      </c>
      <c r="L9" s="28">
        <v>12.6</v>
      </c>
    </row>
    <row r="10" spans="1:12" ht="15.75">
      <c r="A10" s="59">
        <v>3</v>
      </c>
      <c r="B10" s="60" t="s">
        <v>4</v>
      </c>
      <c r="C10" s="27">
        <f>+C11+C37+C38+C39+C40+C41</f>
        <v>31013.1</v>
      </c>
      <c r="D10" s="27">
        <f aca="true" t="shared" si="5" ref="D10:L10">+D11+D37+D38+D39+D40+D41</f>
        <v>29783.9</v>
      </c>
      <c r="E10" s="27">
        <f t="shared" si="5"/>
        <v>-1229.2</v>
      </c>
      <c r="F10" s="27">
        <f t="shared" si="4"/>
        <v>96</v>
      </c>
      <c r="G10" s="27">
        <f t="shared" si="5"/>
        <v>23174.1</v>
      </c>
      <c r="H10" s="27">
        <f t="shared" si="5"/>
        <v>21838.2</v>
      </c>
      <c r="I10" s="27">
        <f t="shared" si="5"/>
        <v>10839.9</v>
      </c>
      <c r="J10" s="27">
        <f t="shared" si="5"/>
        <v>10730</v>
      </c>
      <c r="K10" s="27">
        <f t="shared" si="5"/>
        <v>7839</v>
      </c>
      <c r="L10" s="27">
        <f t="shared" si="5"/>
        <v>7945.7</v>
      </c>
    </row>
    <row r="11" spans="1:12" ht="15.75">
      <c r="A11" s="59">
        <v>4</v>
      </c>
      <c r="B11" s="60" t="s">
        <v>45</v>
      </c>
      <c r="C11" s="27">
        <f>+C13+C14+C15+C16+C17+C18</f>
        <v>29735</v>
      </c>
      <c r="D11" s="27">
        <f aca="true" t="shared" si="6" ref="D11:L11">+D13+D14+D15+D16+D17+D18</f>
        <v>28485.3</v>
      </c>
      <c r="E11" s="27">
        <f t="shared" si="6"/>
        <v>-1249.7</v>
      </c>
      <c r="F11" s="27">
        <f t="shared" si="4"/>
        <v>95.8</v>
      </c>
      <c r="G11" s="27">
        <f t="shared" si="6"/>
        <v>22206.6</v>
      </c>
      <c r="H11" s="27">
        <f t="shared" si="6"/>
        <v>20961.4</v>
      </c>
      <c r="I11" s="27">
        <f t="shared" si="6"/>
        <v>10819.1</v>
      </c>
      <c r="J11" s="27">
        <f t="shared" si="6"/>
        <v>10710.1</v>
      </c>
      <c r="K11" s="27">
        <f t="shared" si="6"/>
        <v>7528.4</v>
      </c>
      <c r="L11" s="27">
        <f t="shared" si="6"/>
        <v>7523.9</v>
      </c>
    </row>
    <row r="12" spans="1:12" ht="15.75">
      <c r="A12" s="59">
        <v>5</v>
      </c>
      <c r="B12" s="61" t="s">
        <v>14</v>
      </c>
      <c r="C12" s="28">
        <f t="shared" si="1"/>
        <v>0</v>
      </c>
      <c r="D12" s="28">
        <f t="shared" si="2"/>
        <v>0</v>
      </c>
      <c r="E12" s="28">
        <f t="shared" si="3"/>
        <v>0</v>
      </c>
      <c r="F12" s="28"/>
      <c r="G12" s="28"/>
      <c r="H12" s="28"/>
      <c r="I12" s="28"/>
      <c r="J12" s="28"/>
      <c r="K12" s="28"/>
      <c r="L12" s="28"/>
    </row>
    <row r="13" spans="1:12" ht="31.5">
      <c r="A13" s="59">
        <v>6</v>
      </c>
      <c r="B13" s="58" t="s">
        <v>86</v>
      </c>
      <c r="C13" s="28">
        <f t="shared" si="1"/>
        <v>692.3</v>
      </c>
      <c r="D13" s="28">
        <f t="shared" si="2"/>
        <v>650.9</v>
      </c>
      <c r="E13" s="28">
        <f t="shared" si="3"/>
        <v>-41.4</v>
      </c>
      <c r="F13" s="28">
        <f t="shared" si="4"/>
        <v>94</v>
      </c>
      <c r="G13" s="28">
        <v>692.3</v>
      </c>
      <c r="H13" s="28">
        <v>650.9</v>
      </c>
      <c r="I13" s="28">
        <v>231.3</v>
      </c>
      <c r="J13" s="28">
        <v>195.7</v>
      </c>
      <c r="K13" s="28"/>
      <c r="L13" s="28"/>
    </row>
    <row r="14" spans="1:12" ht="31.5">
      <c r="A14" s="59">
        <v>7</v>
      </c>
      <c r="B14" s="58" t="s">
        <v>87</v>
      </c>
      <c r="C14" s="28">
        <f t="shared" si="1"/>
        <v>278.2</v>
      </c>
      <c r="D14" s="28">
        <f t="shared" si="2"/>
        <v>270.2</v>
      </c>
      <c r="E14" s="28">
        <f t="shared" si="3"/>
        <v>-8</v>
      </c>
      <c r="F14" s="28">
        <f t="shared" si="4"/>
        <v>97.1</v>
      </c>
      <c r="G14" s="28">
        <v>278.2</v>
      </c>
      <c r="H14" s="28">
        <v>270.2</v>
      </c>
      <c r="I14" s="28">
        <v>193.2</v>
      </c>
      <c r="J14" s="28">
        <v>190.2</v>
      </c>
      <c r="K14" s="28"/>
      <c r="L14" s="28"/>
    </row>
    <row r="15" spans="1:12" ht="47.25">
      <c r="A15" s="59">
        <v>8</v>
      </c>
      <c r="B15" s="58" t="s">
        <v>88</v>
      </c>
      <c r="C15" s="28">
        <f t="shared" si="1"/>
        <v>25488.6</v>
      </c>
      <c r="D15" s="28">
        <f t="shared" si="2"/>
        <v>24625.9</v>
      </c>
      <c r="E15" s="28">
        <f t="shared" si="3"/>
        <v>-862.7</v>
      </c>
      <c r="F15" s="28">
        <f t="shared" si="4"/>
        <v>96.6</v>
      </c>
      <c r="G15" s="28">
        <v>17960.2</v>
      </c>
      <c r="H15" s="28">
        <v>17102</v>
      </c>
      <c r="I15" s="28">
        <v>8559.9</v>
      </c>
      <c r="J15" s="28">
        <v>8541.6</v>
      </c>
      <c r="K15" s="28">
        <v>7528.4</v>
      </c>
      <c r="L15" s="28">
        <v>7523.9</v>
      </c>
    </row>
    <row r="16" spans="1:12" ht="31.5">
      <c r="A16" s="59">
        <v>9</v>
      </c>
      <c r="B16" s="58" t="s">
        <v>328</v>
      </c>
      <c r="C16" s="28">
        <f t="shared" si="1"/>
        <v>200</v>
      </c>
      <c r="D16" s="28">
        <f t="shared" si="2"/>
        <v>0</v>
      </c>
      <c r="E16" s="28">
        <f t="shared" si="3"/>
        <v>-200</v>
      </c>
      <c r="F16" s="28">
        <f t="shared" si="4"/>
        <v>0</v>
      </c>
      <c r="G16" s="28">
        <v>200</v>
      </c>
      <c r="H16" s="28"/>
      <c r="I16" s="28"/>
      <c r="J16" s="28"/>
      <c r="K16" s="28"/>
      <c r="L16" s="28"/>
    </row>
    <row r="17" spans="1:12" ht="31.5">
      <c r="A17" s="59">
        <v>10</v>
      </c>
      <c r="B17" s="58" t="s">
        <v>89</v>
      </c>
      <c r="C17" s="28">
        <f t="shared" si="1"/>
        <v>40.5</v>
      </c>
      <c r="D17" s="28">
        <f t="shared" si="2"/>
        <v>40.5</v>
      </c>
      <c r="E17" s="28">
        <f t="shared" si="3"/>
        <v>0</v>
      </c>
      <c r="F17" s="28">
        <f t="shared" si="4"/>
        <v>100</v>
      </c>
      <c r="G17" s="28">
        <v>40.5</v>
      </c>
      <c r="H17" s="28">
        <v>40.5</v>
      </c>
      <c r="I17" s="28"/>
      <c r="J17" s="28"/>
      <c r="K17" s="28"/>
      <c r="L17" s="28"/>
    </row>
    <row r="18" spans="1:12" ht="63">
      <c r="A18" s="59">
        <v>11</v>
      </c>
      <c r="B18" s="58" t="s">
        <v>329</v>
      </c>
      <c r="C18" s="28">
        <f>SUM(C20:C36)</f>
        <v>3035.4</v>
      </c>
      <c r="D18" s="28">
        <f aca="true" t="shared" si="7" ref="D18:K18">SUM(D20:D36)</f>
        <v>2897.8</v>
      </c>
      <c r="E18" s="28">
        <f t="shared" si="7"/>
        <v>-137.6</v>
      </c>
      <c r="F18" s="28">
        <f t="shared" si="4"/>
        <v>95.5</v>
      </c>
      <c r="G18" s="28">
        <f t="shared" si="7"/>
        <v>3035.4</v>
      </c>
      <c r="H18" s="28">
        <f t="shared" si="7"/>
        <v>2897.8</v>
      </c>
      <c r="I18" s="28">
        <f t="shared" si="7"/>
        <v>1834.7</v>
      </c>
      <c r="J18" s="28">
        <f t="shared" si="7"/>
        <v>1782.6</v>
      </c>
      <c r="K18" s="28">
        <f t="shared" si="7"/>
        <v>0</v>
      </c>
      <c r="L18" s="28"/>
    </row>
    <row r="19" spans="1:12" ht="15.75">
      <c r="A19" s="59">
        <v>12</v>
      </c>
      <c r="B19" s="61" t="s">
        <v>14</v>
      </c>
      <c r="C19" s="28">
        <f t="shared" si="1"/>
        <v>0</v>
      </c>
      <c r="D19" s="28">
        <f t="shared" si="2"/>
        <v>0</v>
      </c>
      <c r="E19" s="28">
        <f t="shared" si="3"/>
        <v>0</v>
      </c>
      <c r="F19" s="28"/>
      <c r="G19" s="28"/>
      <c r="H19" s="28"/>
      <c r="I19" s="28"/>
      <c r="J19" s="28"/>
      <c r="K19" s="28"/>
      <c r="L19" s="28"/>
    </row>
    <row r="20" spans="1:12" ht="31.5">
      <c r="A20" s="59">
        <v>13</v>
      </c>
      <c r="B20" s="58" t="s">
        <v>238</v>
      </c>
      <c r="C20" s="28">
        <f t="shared" si="1"/>
        <v>2</v>
      </c>
      <c r="D20" s="28">
        <f t="shared" si="2"/>
        <v>1.9</v>
      </c>
      <c r="E20" s="28">
        <f t="shared" si="3"/>
        <v>-0.1</v>
      </c>
      <c r="F20" s="28">
        <f t="shared" si="4"/>
        <v>95</v>
      </c>
      <c r="G20" s="28">
        <v>2</v>
      </c>
      <c r="H20" s="28">
        <v>1.9</v>
      </c>
      <c r="I20" s="28">
        <v>1.5</v>
      </c>
      <c r="J20" s="28">
        <v>1.5</v>
      </c>
      <c r="K20" s="28"/>
      <c r="L20" s="28"/>
    </row>
    <row r="21" spans="1:12" ht="15.75">
      <c r="A21" s="59">
        <v>14</v>
      </c>
      <c r="B21" s="58" t="s">
        <v>234</v>
      </c>
      <c r="C21" s="28">
        <f t="shared" si="1"/>
        <v>46.4</v>
      </c>
      <c r="D21" s="28">
        <f t="shared" si="2"/>
        <v>44.8</v>
      </c>
      <c r="E21" s="28">
        <f t="shared" si="3"/>
        <v>-1.6</v>
      </c>
      <c r="F21" s="28">
        <f t="shared" si="4"/>
        <v>96.6</v>
      </c>
      <c r="G21" s="28">
        <v>46.4</v>
      </c>
      <c r="H21" s="28">
        <v>44.8</v>
      </c>
      <c r="I21" s="28">
        <v>31.6</v>
      </c>
      <c r="J21" s="28">
        <v>31.6</v>
      </c>
      <c r="K21" s="28"/>
      <c r="L21" s="28"/>
    </row>
    <row r="22" spans="1:12" ht="31.5">
      <c r="A22" s="59">
        <v>15</v>
      </c>
      <c r="B22" s="58" t="s">
        <v>52</v>
      </c>
      <c r="C22" s="28">
        <f t="shared" si="1"/>
        <v>45.5</v>
      </c>
      <c r="D22" s="28">
        <f t="shared" si="2"/>
        <v>35.6</v>
      </c>
      <c r="E22" s="28">
        <f t="shared" si="3"/>
        <v>-9.9</v>
      </c>
      <c r="F22" s="28">
        <f t="shared" si="4"/>
        <v>78.2</v>
      </c>
      <c r="G22" s="28">
        <v>45.5</v>
      </c>
      <c r="H22" s="28">
        <v>35.6</v>
      </c>
      <c r="I22" s="28">
        <v>34.7</v>
      </c>
      <c r="J22" s="28">
        <v>27.2</v>
      </c>
      <c r="K22" s="28"/>
      <c r="L22" s="28"/>
    </row>
    <row r="23" spans="1:12" ht="15.75">
      <c r="A23" s="59">
        <v>16</v>
      </c>
      <c r="B23" s="58" t="s">
        <v>47</v>
      </c>
      <c r="C23" s="28">
        <f t="shared" si="1"/>
        <v>225.2</v>
      </c>
      <c r="D23" s="28">
        <f>+H23+L23</f>
        <v>223.2</v>
      </c>
      <c r="E23" s="28">
        <f t="shared" si="3"/>
        <v>-2</v>
      </c>
      <c r="F23" s="28">
        <f t="shared" si="4"/>
        <v>99.1</v>
      </c>
      <c r="G23" s="28">
        <v>225.2</v>
      </c>
      <c r="H23" s="28">
        <f>223.3-0.1</f>
        <v>223.2</v>
      </c>
      <c r="I23" s="28">
        <v>133.1</v>
      </c>
      <c r="J23" s="28">
        <v>132</v>
      </c>
      <c r="K23" s="28"/>
      <c r="L23" s="28"/>
    </row>
    <row r="24" spans="1:12" ht="15.75">
      <c r="A24" s="59">
        <v>17</v>
      </c>
      <c r="B24" s="58" t="s">
        <v>49</v>
      </c>
      <c r="C24" s="28">
        <f t="shared" si="1"/>
        <v>101.3</v>
      </c>
      <c r="D24" s="28">
        <f t="shared" si="2"/>
        <v>94.3</v>
      </c>
      <c r="E24" s="28">
        <f t="shared" si="3"/>
        <v>-7</v>
      </c>
      <c r="F24" s="28">
        <f t="shared" si="4"/>
        <v>93.1</v>
      </c>
      <c r="G24" s="28">
        <v>101.3</v>
      </c>
      <c r="H24" s="28">
        <v>94.3</v>
      </c>
      <c r="I24" s="28">
        <v>55.6</v>
      </c>
      <c r="J24" s="28">
        <v>54.8</v>
      </c>
      <c r="K24" s="28"/>
      <c r="L24" s="28"/>
    </row>
    <row r="25" spans="1:12" ht="15.75">
      <c r="A25" s="59">
        <v>18</v>
      </c>
      <c r="B25" s="58" t="s">
        <v>50</v>
      </c>
      <c r="C25" s="28">
        <f t="shared" si="1"/>
        <v>259.5</v>
      </c>
      <c r="D25" s="28">
        <f t="shared" si="2"/>
        <v>257.9</v>
      </c>
      <c r="E25" s="28">
        <f t="shared" si="3"/>
        <v>-1.6</v>
      </c>
      <c r="F25" s="28">
        <f t="shared" si="4"/>
        <v>99.4</v>
      </c>
      <c r="G25" s="28">
        <v>259.5</v>
      </c>
      <c r="H25" s="28">
        <v>257.9</v>
      </c>
      <c r="I25" s="28">
        <v>197.9</v>
      </c>
      <c r="J25" s="28">
        <v>197.1</v>
      </c>
      <c r="K25" s="28"/>
      <c r="L25" s="28"/>
    </row>
    <row r="26" spans="1:12" ht="15.75">
      <c r="A26" s="59">
        <v>19</v>
      </c>
      <c r="B26" s="58" t="s">
        <v>46</v>
      </c>
      <c r="C26" s="28">
        <f t="shared" si="1"/>
        <v>55.2</v>
      </c>
      <c r="D26" s="28">
        <f t="shared" si="2"/>
        <v>53.9</v>
      </c>
      <c r="E26" s="28">
        <f t="shared" si="3"/>
        <v>-1.3</v>
      </c>
      <c r="F26" s="28">
        <f t="shared" si="4"/>
        <v>97.6</v>
      </c>
      <c r="G26" s="28">
        <v>55.2</v>
      </c>
      <c r="H26" s="28">
        <v>53.9</v>
      </c>
      <c r="I26" s="28">
        <v>33.8</v>
      </c>
      <c r="J26" s="28">
        <v>32.9</v>
      </c>
      <c r="K26" s="28"/>
      <c r="L26" s="28"/>
    </row>
    <row r="27" spans="1:12" ht="15.75">
      <c r="A27" s="59">
        <v>20</v>
      </c>
      <c r="B27" s="58" t="s">
        <v>53</v>
      </c>
      <c r="C27" s="28">
        <f t="shared" si="1"/>
        <v>251.4</v>
      </c>
      <c r="D27" s="28">
        <f t="shared" si="2"/>
        <v>229.1</v>
      </c>
      <c r="E27" s="28">
        <f t="shared" si="3"/>
        <v>-22.3</v>
      </c>
      <c r="F27" s="28">
        <f t="shared" si="4"/>
        <v>91.1</v>
      </c>
      <c r="G27" s="28">
        <v>251.4</v>
      </c>
      <c r="H27" s="28">
        <v>229.1</v>
      </c>
      <c r="I27" s="28">
        <v>131.9</v>
      </c>
      <c r="J27" s="28">
        <v>116.7</v>
      </c>
      <c r="K27" s="28"/>
      <c r="L27" s="28"/>
    </row>
    <row r="28" spans="1:12" ht="31.5">
      <c r="A28" s="59">
        <v>21</v>
      </c>
      <c r="B28" s="58" t="s">
        <v>51</v>
      </c>
      <c r="C28" s="28">
        <f t="shared" si="1"/>
        <v>9.2</v>
      </c>
      <c r="D28" s="28">
        <f t="shared" si="2"/>
        <v>5.2</v>
      </c>
      <c r="E28" s="28">
        <f t="shared" si="3"/>
        <v>-4</v>
      </c>
      <c r="F28" s="28">
        <f t="shared" si="4"/>
        <v>56.5</v>
      </c>
      <c r="G28" s="28">
        <v>9.2</v>
      </c>
      <c r="H28" s="28">
        <v>5.2</v>
      </c>
      <c r="I28" s="28"/>
      <c r="J28" s="28"/>
      <c r="K28" s="28"/>
      <c r="L28" s="28"/>
    </row>
    <row r="29" spans="1:12" ht="47.25">
      <c r="A29" s="59">
        <v>22</v>
      </c>
      <c r="B29" s="58" t="s">
        <v>237</v>
      </c>
      <c r="C29" s="28">
        <f t="shared" si="1"/>
        <v>51.8</v>
      </c>
      <c r="D29" s="28">
        <f t="shared" si="2"/>
        <v>51.7</v>
      </c>
      <c r="E29" s="28">
        <f t="shared" si="3"/>
        <v>-0.1</v>
      </c>
      <c r="F29" s="28">
        <f t="shared" si="4"/>
        <v>99.8</v>
      </c>
      <c r="G29" s="28">
        <v>51.8</v>
      </c>
      <c r="H29" s="28">
        <v>51.7</v>
      </c>
      <c r="I29" s="28">
        <v>39.6</v>
      </c>
      <c r="J29" s="28">
        <v>39.5</v>
      </c>
      <c r="K29" s="28"/>
      <c r="L29" s="28"/>
    </row>
    <row r="30" spans="1:12" ht="63">
      <c r="A30" s="59">
        <v>23</v>
      </c>
      <c r="B30" s="58" t="s">
        <v>310</v>
      </c>
      <c r="C30" s="28">
        <f t="shared" si="1"/>
        <v>3.8</v>
      </c>
      <c r="D30" s="28">
        <f t="shared" si="2"/>
        <v>3.5</v>
      </c>
      <c r="E30" s="28">
        <f t="shared" si="3"/>
        <v>-0.3</v>
      </c>
      <c r="F30" s="28">
        <f t="shared" si="4"/>
        <v>92.1</v>
      </c>
      <c r="G30" s="28">
        <v>3.8</v>
      </c>
      <c r="H30" s="28">
        <v>3.5</v>
      </c>
      <c r="I30" s="28">
        <v>2.7</v>
      </c>
      <c r="J30" s="28">
        <v>2.7</v>
      </c>
      <c r="K30" s="28"/>
      <c r="L30" s="28"/>
    </row>
    <row r="31" spans="1:12" ht="15.75">
      <c r="A31" s="59">
        <v>24</v>
      </c>
      <c r="B31" s="58" t="s">
        <v>239</v>
      </c>
      <c r="C31" s="28">
        <f t="shared" si="1"/>
        <v>699.5</v>
      </c>
      <c r="D31" s="28">
        <f t="shared" si="2"/>
        <v>670.3</v>
      </c>
      <c r="E31" s="28">
        <f t="shared" si="3"/>
        <v>-29.2</v>
      </c>
      <c r="F31" s="28">
        <f t="shared" si="4"/>
        <v>95.8</v>
      </c>
      <c r="G31" s="28">
        <v>699.5</v>
      </c>
      <c r="H31" s="28">
        <v>670.3</v>
      </c>
      <c r="I31" s="28">
        <v>477.5</v>
      </c>
      <c r="J31" s="28">
        <v>468.2</v>
      </c>
      <c r="K31" s="28"/>
      <c r="L31" s="28"/>
    </row>
    <row r="32" spans="1:12" ht="15.75">
      <c r="A32" s="59">
        <v>25</v>
      </c>
      <c r="B32" s="57" t="s">
        <v>48</v>
      </c>
      <c r="C32" s="28">
        <f t="shared" si="1"/>
        <v>45</v>
      </c>
      <c r="D32" s="28">
        <f t="shared" si="2"/>
        <v>42.3</v>
      </c>
      <c r="E32" s="28">
        <f t="shared" si="3"/>
        <v>-2.7</v>
      </c>
      <c r="F32" s="28">
        <f t="shared" si="4"/>
        <v>94</v>
      </c>
      <c r="G32" s="28">
        <v>45</v>
      </c>
      <c r="H32" s="28">
        <v>42.3</v>
      </c>
      <c r="I32" s="28">
        <v>34.4</v>
      </c>
      <c r="J32" s="28">
        <v>32.3</v>
      </c>
      <c r="K32" s="28"/>
      <c r="L32" s="28"/>
    </row>
    <row r="33" spans="1:12" ht="47.25">
      <c r="A33" s="59">
        <v>26</v>
      </c>
      <c r="B33" s="58" t="s">
        <v>236</v>
      </c>
      <c r="C33" s="28">
        <f t="shared" si="1"/>
        <v>43.7</v>
      </c>
      <c r="D33" s="28">
        <f t="shared" si="2"/>
        <v>41.5</v>
      </c>
      <c r="E33" s="28">
        <f t="shared" si="3"/>
        <v>-2.2</v>
      </c>
      <c r="F33" s="28">
        <f t="shared" si="4"/>
        <v>95</v>
      </c>
      <c r="G33" s="28">
        <v>43.7</v>
      </c>
      <c r="H33" s="28">
        <f>41.4+0.1</f>
        <v>41.5</v>
      </c>
      <c r="I33" s="28">
        <v>29.1</v>
      </c>
      <c r="J33" s="28">
        <v>27.8</v>
      </c>
      <c r="K33" s="28"/>
      <c r="L33" s="28"/>
    </row>
    <row r="34" spans="1:12" ht="15.75">
      <c r="A34" s="59">
        <v>27</v>
      </c>
      <c r="B34" s="58" t="s">
        <v>54</v>
      </c>
      <c r="C34" s="28">
        <f t="shared" si="1"/>
        <v>100.6</v>
      </c>
      <c r="D34" s="28">
        <f t="shared" si="2"/>
        <v>94.7</v>
      </c>
      <c r="E34" s="28">
        <f t="shared" si="3"/>
        <v>-5.9</v>
      </c>
      <c r="F34" s="28">
        <f t="shared" si="4"/>
        <v>94.1</v>
      </c>
      <c r="G34" s="28">
        <v>100.6</v>
      </c>
      <c r="H34" s="28">
        <v>94.7</v>
      </c>
      <c r="I34" s="28">
        <v>62</v>
      </c>
      <c r="J34" s="28">
        <v>59.3</v>
      </c>
      <c r="K34" s="28"/>
      <c r="L34" s="28"/>
    </row>
    <row r="35" spans="1:12" ht="31.5">
      <c r="A35" s="59">
        <v>28</v>
      </c>
      <c r="B35" s="58" t="s">
        <v>55</v>
      </c>
      <c r="C35" s="28">
        <f t="shared" si="1"/>
        <v>985.5</v>
      </c>
      <c r="D35" s="28">
        <f t="shared" si="2"/>
        <v>938.3</v>
      </c>
      <c r="E35" s="28">
        <f t="shared" si="3"/>
        <v>-47.2</v>
      </c>
      <c r="F35" s="28">
        <f t="shared" si="4"/>
        <v>95.2</v>
      </c>
      <c r="G35" s="28">
        <v>985.5</v>
      </c>
      <c r="H35" s="28">
        <v>938.3</v>
      </c>
      <c r="I35" s="28">
        <v>487.3</v>
      </c>
      <c r="J35" s="28">
        <v>477</v>
      </c>
      <c r="K35" s="28"/>
      <c r="L35" s="28"/>
    </row>
    <row r="36" spans="1:12" ht="31.5">
      <c r="A36" s="59">
        <v>29</v>
      </c>
      <c r="B36" s="58" t="s">
        <v>56</v>
      </c>
      <c r="C36" s="28">
        <f t="shared" si="1"/>
        <v>109.8</v>
      </c>
      <c r="D36" s="28">
        <f t="shared" si="2"/>
        <v>109.6</v>
      </c>
      <c r="E36" s="28">
        <f t="shared" si="3"/>
        <v>-0.2</v>
      </c>
      <c r="F36" s="28">
        <f t="shared" si="4"/>
        <v>99.8</v>
      </c>
      <c r="G36" s="28">
        <v>109.8</v>
      </c>
      <c r="H36" s="28">
        <v>109.6</v>
      </c>
      <c r="I36" s="28">
        <v>82</v>
      </c>
      <c r="J36" s="28">
        <v>82</v>
      </c>
      <c r="K36" s="28"/>
      <c r="L36" s="28"/>
    </row>
    <row r="37" spans="1:12" ht="37.5" customHeight="1">
      <c r="A37" s="59">
        <v>30</v>
      </c>
      <c r="B37" s="58" t="s">
        <v>241</v>
      </c>
      <c r="C37" s="27">
        <f t="shared" si="1"/>
        <v>233.3</v>
      </c>
      <c r="D37" s="27">
        <f t="shared" si="2"/>
        <v>198.4</v>
      </c>
      <c r="E37" s="27">
        <f t="shared" si="3"/>
        <v>-34.9</v>
      </c>
      <c r="F37" s="27">
        <f t="shared" si="4"/>
        <v>85</v>
      </c>
      <c r="G37" s="27">
        <v>233.3</v>
      </c>
      <c r="H37" s="27">
        <v>198.4</v>
      </c>
      <c r="I37" s="27"/>
      <c r="J37" s="27"/>
      <c r="K37" s="27"/>
      <c r="L37" s="27"/>
    </row>
    <row r="38" spans="1:12" ht="47.25">
      <c r="A38" s="59">
        <v>31</v>
      </c>
      <c r="B38" s="57" t="s">
        <v>240</v>
      </c>
      <c r="C38" s="27">
        <f t="shared" si="1"/>
        <v>605.9</v>
      </c>
      <c r="D38" s="27">
        <f t="shared" si="2"/>
        <v>599.2</v>
      </c>
      <c r="E38" s="27">
        <f t="shared" si="3"/>
        <v>-6.7</v>
      </c>
      <c r="F38" s="27">
        <f t="shared" si="4"/>
        <v>98.9</v>
      </c>
      <c r="G38" s="27">
        <v>605.9</v>
      </c>
      <c r="H38" s="27">
        <v>599.2</v>
      </c>
      <c r="I38" s="27"/>
      <c r="J38" s="27"/>
      <c r="K38" s="27"/>
      <c r="L38" s="27"/>
    </row>
    <row r="39" spans="1:12" ht="31.5">
      <c r="A39" s="59">
        <v>32</v>
      </c>
      <c r="B39" s="62" t="s">
        <v>231</v>
      </c>
      <c r="C39" s="27">
        <f t="shared" si="1"/>
        <v>149.1</v>
      </c>
      <c r="D39" s="27">
        <f t="shared" si="2"/>
        <v>79.2</v>
      </c>
      <c r="E39" s="27">
        <f t="shared" si="3"/>
        <v>-69.9</v>
      </c>
      <c r="F39" s="27">
        <f t="shared" si="4"/>
        <v>53.1</v>
      </c>
      <c r="G39" s="27">
        <v>128.3</v>
      </c>
      <c r="H39" s="27">
        <v>79.2</v>
      </c>
      <c r="I39" s="27">
        <v>20.8</v>
      </c>
      <c r="J39" s="27">
        <v>19.9</v>
      </c>
      <c r="K39" s="27">
        <v>20.8</v>
      </c>
      <c r="L39" s="27"/>
    </row>
    <row r="40" spans="1:12" ht="47.25">
      <c r="A40" s="59">
        <v>33</v>
      </c>
      <c r="B40" s="60" t="s">
        <v>255</v>
      </c>
      <c r="C40" s="27">
        <f t="shared" si="1"/>
        <v>9.8</v>
      </c>
      <c r="D40" s="27">
        <f t="shared" si="2"/>
        <v>9.8</v>
      </c>
      <c r="E40" s="27">
        <f>+D40-C40</f>
        <v>0</v>
      </c>
      <c r="F40" s="27">
        <f>+D40/C40*100</f>
        <v>100</v>
      </c>
      <c r="G40" s="27"/>
      <c r="H40" s="27"/>
      <c r="I40" s="27"/>
      <c r="J40" s="27"/>
      <c r="K40" s="27">
        <v>9.8</v>
      </c>
      <c r="L40" s="27">
        <v>9.8</v>
      </c>
    </row>
    <row r="41" spans="1:12" ht="31.5">
      <c r="A41" s="59">
        <v>34</v>
      </c>
      <c r="B41" s="56" t="s">
        <v>256</v>
      </c>
      <c r="C41" s="27">
        <f t="shared" si="1"/>
        <v>280</v>
      </c>
      <c r="D41" s="27">
        <f t="shared" si="2"/>
        <v>412</v>
      </c>
      <c r="E41" s="27">
        <f t="shared" si="3"/>
        <v>132</v>
      </c>
      <c r="F41" s="27">
        <f t="shared" si="4"/>
        <v>147.1</v>
      </c>
      <c r="G41" s="27"/>
      <c r="H41" s="27"/>
      <c r="I41" s="27"/>
      <c r="J41" s="27"/>
      <c r="K41" s="27">
        <v>280</v>
      </c>
      <c r="L41" s="27">
        <v>412</v>
      </c>
    </row>
    <row r="42" spans="1:12" ht="15.75">
      <c r="A42" s="59">
        <v>35</v>
      </c>
      <c r="B42" s="62" t="s">
        <v>57</v>
      </c>
      <c r="C42" s="27">
        <f>+C43+C47+C51+C55+C60+C64+C68+C73+C77+C81+C85</f>
        <v>19239.8</v>
      </c>
      <c r="D42" s="27">
        <f aca="true" t="shared" si="8" ref="D42:L42">+D43+D47+D51+D55+D60+D64+D68+D73+D77+D81+D85</f>
        <v>15364.9</v>
      </c>
      <c r="E42" s="27">
        <f t="shared" si="8"/>
        <v>-3874.9</v>
      </c>
      <c r="F42" s="28">
        <f t="shared" si="4"/>
        <v>79.9</v>
      </c>
      <c r="G42" s="27">
        <f t="shared" si="8"/>
        <v>2333.8</v>
      </c>
      <c r="H42" s="27">
        <f t="shared" si="8"/>
        <v>2224.3</v>
      </c>
      <c r="I42" s="27">
        <f t="shared" si="8"/>
        <v>45.1</v>
      </c>
      <c r="J42" s="27">
        <f t="shared" si="8"/>
        <v>39.3</v>
      </c>
      <c r="K42" s="27">
        <f t="shared" si="8"/>
        <v>16906</v>
      </c>
      <c r="L42" s="27">
        <f t="shared" si="8"/>
        <v>13140.6</v>
      </c>
    </row>
    <row r="43" spans="1:12" ht="31.5">
      <c r="A43" s="59">
        <v>36</v>
      </c>
      <c r="B43" s="56" t="s">
        <v>81</v>
      </c>
      <c r="C43" s="27">
        <f>+C45+C46</f>
        <v>2382.3</v>
      </c>
      <c r="D43" s="27">
        <f aca="true" t="shared" si="9" ref="D43:L43">+D45+D46</f>
        <v>1325.1</v>
      </c>
      <c r="E43" s="27">
        <f t="shared" si="9"/>
        <v>-1057.2</v>
      </c>
      <c r="F43" s="27">
        <f t="shared" si="4"/>
        <v>55.6</v>
      </c>
      <c r="G43" s="27">
        <f t="shared" si="9"/>
        <v>348</v>
      </c>
      <c r="H43" s="27">
        <f t="shared" si="9"/>
        <v>347.4</v>
      </c>
      <c r="I43" s="27">
        <f t="shared" si="9"/>
        <v>0</v>
      </c>
      <c r="J43" s="27">
        <f t="shared" si="9"/>
        <v>0</v>
      </c>
      <c r="K43" s="27">
        <f t="shared" si="9"/>
        <v>2034.3</v>
      </c>
      <c r="L43" s="27">
        <f t="shared" si="9"/>
        <v>977.7</v>
      </c>
    </row>
    <row r="44" spans="1:12" ht="15.75">
      <c r="A44" s="59">
        <v>37</v>
      </c>
      <c r="B44" s="61" t="s">
        <v>14</v>
      </c>
      <c r="C44" s="28">
        <f t="shared" si="1"/>
        <v>0</v>
      </c>
      <c r="D44" s="28">
        <f t="shared" si="2"/>
        <v>0</v>
      </c>
      <c r="E44" s="28">
        <f t="shared" si="3"/>
        <v>0</v>
      </c>
      <c r="F44" s="28"/>
      <c r="G44" s="28"/>
      <c r="H44" s="28"/>
      <c r="I44" s="28"/>
      <c r="J44" s="28"/>
      <c r="K44" s="28"/>
      <c r="L44" s="28"/>
    </row>
    <row r="45" spans="1:12" ht="31.5">
      <c r="A45" s="59">
        <v>38</v>
      </c>
      <c r="B45" s="57" t="s">
        <v>91</v>
      </c>
      <c r="C45" s="28">
        <f t="shared" si="1"/>
        <v>348</v>
      </c>
      <c r="D45" s="28">
        <f t="shared" si="2"/>
        <v>347.4</v>
      </c>
      <c r="E45" s="28">
        <f t="shared" si="3"/>
        <v>-0.6</v>
      </c>
      <c r="F45" s="28">
        <f t="shared" si="4"/>
        <v>99.8</v>
      </c>
      <c r="G45" s="28">
        <v>348</v>
      </c>
      <c r="H45" s="28">
        <v>347.4</v>
      </c>
      <c r="I45" s="28"/>
      <c r="J45" s="28"/>
      <c r="K45" s="28"/>
      <c r="L45" s="28"/>
    </row>
    <row r="46" spans="1:12" ht="31.5">
      <c r="A46" s="59">
        <v>39</v>
      </c>
      <c r="B46" s="57" t="s">
        <v>90</v>
      </c>
      <c r="C46" s="28">
        <f t="shared" si="1"/>
        <v>2034.3</v>
      </c>
      <c r="D46" s="28">
        <f t="shared" si="2"/>
        <v>977.7</v>
      </c>
      <c r="E46" s="28">
        <f t="shared" si="3"/>
        <v>-1056.6</v>
      </c>
      <c r="F46" s="28">
        <f t="shared" si="4"/>
        <v>48.1</v>
      </c>
      <c r="G46" s="28"/>
      <c r="H46" s="28"/>
      <c r="I46" s="28"/>
      <c r="J46" s="28"/>
      <c r="K46" s="28">
        <v>2034.3</v>
      </c>
      <c r="L46" s="28">
        <v>977.7</v>
      </c>
    </row>
    <row r="47" spans="1:12" ht="63">
      <c r="A47" s="59">
        <v>40</v>
      </c>
      <c r="B47" s="60" t="s">
        <v>330</v>
      </c>
      <c r="C47" s="27">
        <f>+C49+C50</f>
        <v>976.5</v>
      </c>
      <c r="D47" s="27">
        <f aca="true" t="shared" si="10" ref="D47:L47">+D49+D50</f>
        <v>945.7</v>
      </c>
      <c r="E47" s="27">
        <f t="shared" si="10"/>
        <v>-30.8</v>
      </c>
      <c r="F47" s="27">
        <f t="shared" si="4"/>
        <v>96.8</v>
      </c>
      <c r="G47" s="27">
        <f t="shared" si="10"/>
        <v>976.5</v>
      </c>
      <c r="H47" s="27">
        <f t="shared" si="10"/>
        <v>945.7</v>
      </c>
      <c r="I47" s="27">
        <f t="shared" si="10"/>
        <v>0</v>
      </c>
      <c r="J47" s="27">
        <f t="shared" si="10"/>
        <v>0</v>
      </c>
      <c r="K47" s="27">
        <f t="shared" si="10"/>
        <v>0</v>
      </c>
      <c r="L47" s="27">
        <f t="shared" si="10"/>
        <v>0</v>
      </c>
    </row>
    <row r="48" spans="1:12" ht="15.75">
      <c r="A48" s="59">
        <v>41</v>
      </c>
      <c r="B48" s="63" t="s">
        <v>14</v>
      </c>
      <c r="C48" s="28">
        <f t="shared" si="1"/>
        <v>0</v>
      </c>
      <c r="D48" s="28">
        <f t="shared" si="2"/>
        <v>0</v>
      </c>
      <c r="E48" s="28">
        <f t="shared" si="3"/>
        <v>0</v>
      </c>
      <c r="F48" s="28"/>
      <c r="G48" s="28"/>
      <c r="H48" s="28"/>
      <c r="I48" s="28"/>
      <c r="J48" s="28"/>
      <c r="K48" s="28"/>
      <c r="L48" s="28"/>
    </row>
    <row r="49" spans="1:12" ht="47.25">
      <c r="A49" s="59">
        <v>42</v>
      </c>
      <c r="B49" s="58" t="s">
        <v>235</v>
      </c>
      <c r="C49" s="28">
        <f t="shared" si="1"/>
        <v>949.4</v>
      </c>
      <c r="D49" s="28">
        <f t="shared" si="2"/>
        <v>918.6</v>
      </c>
      <c r="E49" s="28">
        <f t="shared" si="3"/>
        <v>-30.8</v>
      </c>
      <c r="F49" s="28">
        <f t="shared" si="4"/>
        <v>96.8</v>
      </c>
      <c r="G49" s="28">
        <v>949.4</v>
      </c>
      <c r="H49" s="28">
        <v>918.6</v>
      </c>
      <c r="I49" s="28"/>
      <c r="J49" s="28"/>
      <c r="K49" s="28"/>
      <c r="L49" s="28"/>
    </row>
    <row r="50" spans="1:12" ht="15.75">
      <c r="A50" s="59">
        <v>43</v>
      </c>
      <c r="B50" s="58" t="s">
        <v>60</v>
      </c>
      <c r="C50" s="28">
        <f t="shared" si="1"/>
        <v>27.1</v>
      </c>
      <c r="D50" s="28">
        <f t="shared" si="2"/>
        <v>27.1</v>
      </c>
      <c r="E50" s="28">
        <f t="shared" si="3"/>
        <v>0</v>
      </c>
      <c r="F50" s="28">
        <f t="shared" si="4"/>
        <v>100</v>
      </c>
      <c r="G50" s="28">
        <v>27.1</v>
      </c>
      <c r="H50" s="28">
        <v>27.1</v>
      </c>
      <c r="I50" s="28"/>
      <c r="J50" s="28"/>
      <c r="K50" s="28"/>
      <c r="L50" s="28"/>
    </row>
    <row r="51" spans="1:12" ht="31.5">
      <c r="A51" s="59">
        <v>44</v>
      </c>
      <c r="B51" s="60" t="s">
        <v>331</v>
      </c>
      <c r="C51" s="27">
        <f>+C53+C54</f>
        <v>3516.9</v>
      </c>
      <c r="D51" s="27">
        <f aca="true" t="shared" si="11" ref="D51:L51">+D53+D54</f>
        <v>2864.3</v>
      </c>
      <c r="E51" s="27">
        <f t="shared" si="11"/>
        <v>-652.6</v>
      </c>
      <c r="F51" s="27">
        <f t="shared" si="4"/>
        <v>81.4</v>
      </c>
      <c r="G51" s="27">
        <f t="shared" si="11"/>
        <v>637.1</v>
      </c>
      <c r="H51" s="27">
        <f t="shared" si="11"/>
        <v>620.8</v>
      </c>
      <c r="I51" s="27">
        <f t="shared" si="11"/>
        <v>5.1</v>
      </c>
      <c r="J51" s="27">
        <f t="shared" si="11"/>
        <v>4.6</v>
      </c>
      <c r="K51" s="27">
        <f t="shared" si="11"/>
        <v>2879.8</v>
      </c>
      <c r="L51" s="27">
        <f t="shared" si="11"/>
        <v>2243.5</v>
      </c>
    </row>
    <row r="52" spans="1:12" ht="15.75">
      <c r="A52" s="59">
        <v>45</v>
      </c>
      <c r="B52" s="61" t="s">
        <v>14</v>
      </c>
      <c r="C52" s="28">
        <f t="shared" si="1"/>
        <v>0</v>
      </c>
      <c r="D52" s="28">
        <f t="shared" si="2"/>
        <v>0</v>
      </c>
      <c r="E52" s="28">
        <f t="shared" si="3"/>
        <v>0</v>
      </c>
      <c r="F52" s="28"/>
      <c r="G52" s="28"/>
      <c r="H52" s="28"/>
      <c r="I52" s="28"/>
      <c r="J52" s="28"/>
      <c r="K52" s="28"/>
      <c r="L52" s="28"/>
    </row>
    <row r="53" spans="1:12" ht="31.5">
      <c r="A53" s="59">
        <v>46</v>
      </c>
      <c r="B53" s="58" t="s">
        <v>332</v>
      </c>
      <c r="C53" s="28">
        <f t="shared" si="1"/>
        <v>1850.2</v>
      </c>
      <c r="D53" s="28">
        <f t="shared" si="2"/>
        <v>1701.8</v>
      </c>
      <c r="E53" s="28">
        <f t="shared" si="3"/>
        <v>-148.4</v>
      </c>
      <c r="F53" s="28">
        <f t="shared" si="4"/>
        <v>92</v>
      </c>
      <c r="G53" s="28">
        <v>637.1</v>
      </c>
      <c r="H53" s="28">
        <v>620.8</v>
      </c>
      <c r="I53" s="28">
        <v>5.1</v>
      </c>
      <c r="J53" s="28">
        <v>4.6</v>
      </c>
      <c r="K53" s="28">
        <v>1213.1</v>
      </c>
      <c r="L53" s="28">
        <v>1081</v>
      </c>
    </row>
    <row r="54" spans="1:12" ht="31.5">
      <c r="A54" s="59">
        <v>47</v>
      </c>
      <c r="B54" s="58" t="s">
        <v>333</v>
      </c>
      <c r="C54" s="28">
        <f t="shared" si="1"/>
        <v>1666.7</v>
      </c>
      <c r="D54" s="28">
        <f t="shared" si="2"/>
        <v>1162.5</v>
      </c>
      <c r="E54" s="28">
        <f t="shared" si="3"/>
        <v>-504.2</v>
      </c>
      <c r="F54" s="28">
        <f t="shared" si="4"/>
        <v>69.7</v>
      </c>
      <c r="G54" s="28"/>
      <c r="H54" s="28"/>
      <c r="I54" s="28"/>
      <c r="J54" s="28"/>
      <c r="K54" s="28">
        <v>1666.7</v>
      </c>
      <c r="L54" s="28">
        <v>1162.5</v>
      </c>
    </row>
    <row r="55" spans="1:12" ht="15.75">
      <c r="A55" s="59">
        <v>48</v>
      </c>
      <c r="B55" s="56" t="s">
        <v>58</v>
      </c>
      <c r="C55" s="27">
        <f>+C57+C58+C59</f>
        <v>403.1</v>
      </c>
      <c r="D55" s="27">
        <f aca="true" t="shared" si="12" ref="D55:L55">+D57+D58+D59</f>
        <v>1006.9</v>
      </c>
      <c r="E55" s="27">
        <f t="shared" si="12"/>
        <v>603.8</v>
      </c>
      <c r="F55" s="27">
        <f t="shared" si="4"/>
        <v>249.8</v>
      </c>
      <c r="G55" s="27">
        <f t="shared" si="12"/>
        <v>253.1</v>
      </c>
      <c r="H55" s="27">
        <f t="shared" si="12"/>
        <v>243.2</v>
      </c>
      <c r="I55" s="27">
        <f t="shared" si="12"/>
        <v>0</v>
      </c>
      <c r="J55" s="27">
        <f t="shared" si="12"/>
        <v>0</v>
      </c>
      <c r="K55" s="27">
        <f t="shared" si="12"/>
        <v>150</v>
      </c>
      <c r="L55" s="27">
        <f t="shared" si="12"/>
        <v>763.7</v>
      </c>
    </row>
    <row r="56" spans="1:12" ht="15.75">
      <c r="A56" s="59">
        <v>49</v>
      </c>
      <c r="B56" s="61" t="s">
        <v>14</v>
      </c>
      <c r="C56" s="28">
        <f t="shared" si="1"/>
        <v>0</v>
      </c>
      <c r="D56" s="28">
        <f t="shared" si="2"/>
        <v>0</v>
      </c>
      <c r="E56" s="28">
        <f t="shared" si="3"/>
        <v>0</v>
      </c>
      <c r="F56" s="28"/>
      <c r="G56" s="28"/>
      <c r="H56" s="28"/>
      <c r="I56" s="28"/>
      <c r="J56" s="28"/>
      <c r="K56" s="28"/>
      <c r="L56" s="28"/>
    </row>
    <row r="57" spans="1:12" ht="15.75">
      <c r="A57" s="59">
        <v>50</v>
      </c>
      <c r="B57" s="57" t="s">
        <v>334</v>
      </c>
      <c r="C57" s="28">
        <f t="shared" si="1"/>
        <v>150</v>
      </c>
      <c r="D57" s="28">
        <f t="shared" si="2"/>
        <v>0</v>
      </c>
      <c r="E57" s="28">
        <f t="shared" si="3"/>
        <v>-150</v>
      </c>
      <c r="F57" s="28">
        <f t="shared" si="4"/>
        <v>0</v>
      </c>
      <c r="G57" s="28"/>
      <c r="H57" s="28"/>
      <c r="I57" s="28"/>
      <c r="J57" s="28"/>
      <c r="K57" s="28">
        <v>150</v>
      </c>
      <c r="L57" s="28"/>
    </row>
    <row r="58" spans="1:12" ht="31.5">
      <c r="A58" s="59">
        <v>51</v>
      </c>
      <c r="B58" s="57" t="s">
        <v>335</v>
      </c>
      <c r="C58" s="28">
        <f t="shared" si="1"/>
        <v>11.2</v>
      </c>
      <c r="D58" s="28">
        <f t="shared" si="2"/>
        <v>1.3</v>
      </c>
      <c r="E58" s="28">
        <f t="shared" si="3"/>
        <v>-9.9</v>
      </c>
      <c r="F58" s="28">
        <f t="shared" si="4"/>
        <v>11.6</v>
      </c>
      <c r="G58" s="28">
        <v>11.2</v>
      </c>
      <c r="H58" s="28">
        <v>1.3</v>
      </c>
      <c r="I58" s="28"/>
      <c r="J58" s="28"/>
      <c r="K58" s="28"/>
      <c r="L58" s="28"/>
    </row>
    <row r="59" spans="1:12" ht="31.5">
      <c r="A59" s="59">
        <v>52</v>
      </c>
      <c r="B59" s="58" t="s">
        <v>59</v>
      </c>
      <c r="C59" s="28">
        <f t="shared" si="1"/>
        <v>241.9</v>
      </c>
      <c r="D59" s="28">
        <f t="shared" si="2"/>
        <v>1005.6</v>
      </c>
      <c r="E59" s="28">
        <f t="shared" si="3"/>
        <v>763.7</v>
      </c>
      <c r="F59" s="28">
        <f t="shared" si="4"/>
        <v>415.7</v>
      </c>
      <c r="G59" s="28">
        <v>241.9</v>
      </c>
      <c r="H59" s="28">
        <v>241.9</v>
      </c>
      <c r="I59" s="28"/>
      <c r="J59" s="28"/>
      <c r="K59" s="28"/>
      <c r="L59" s="28">
        <v>763.7</v>
      </c>
    </row>
    <row r="60" spans="1:12" ht="31.5">
      <c r="A60" s="59">
        <v>53</v>
      </c>
      <c r="B60" s="60" t="s">
        <v>83</v>
      </c>
      <c r="C60" s="27">
        <f>+C62+C63</f>
        <v>2482</v>
      </c>
      <c r="D60" s="27">
        <f>+D62+D63</f>
        <v>2328.5</v>
      </c>
      <c r="E60" s="27">
        <f>+E62+E63</f>
        <v>-153.5</v>
      </c>
      <c r="F60" s="27">
        <f t="shared" si="4"/>
        <v>93.8</v>
      </c>
      <c r="G60" s="27">
        <f aca="true" t="shared" si="13" ref="G60:L60">+G62+G63</f>
        <v>50.8</v>
      </c>
      <c r="H60" s="27">
        <f t="shared" si="13"/>
        <v>35.5</v>
      </c>
      <c r="I60" s="27">
        <f t="shared" si="13"/>
        <v>19.1</v>
      </c>
      <c r="J60" s="27">
        <f t="shared" si="13"/>
        <v>14.8</v>
      </c>
      <c r="K60" s="27">
        <f t="shared" si="13"/>
        <v>2431.2</v>
      </c>
      <c r="L60" s="27">
        <f t="shared" si="13"/>
        <v>2293</v>
      </c>
    </row>
    <row r="61" spans="1:12" ht="15.75">
      <c r="A61" s="59">
        <v>54</v>
      </c>
      <c r="B61" s="61" t="s">
        <v>14</v>
      </c>
      <c r="C61" s="28">
        <f t="shared" si="1"/>
        <v>0</v>
      </c>
      <c r="D61" s="28">
        <f t="shared" si="2"/>
        <v>0</v>
      </c>
      <c r="E61" s="28">
        <f t="shared" si="3"/>
        <v>0</v>
      </c>
      <c r="F61" s="28"/>
      <c r="G61" s="28"/>
      <c r="H61" s="28"/>
      <c r="I61" s="28"/>
      <c r="J61" s="28"/>
      <c r="K61" s="28"/>
      <c r="L61" s="28"/>
    </row>
    <row r="62" spans="1:12" ht="31.5">
      <c r="A62" s="59">
        <v>55</v>
      </c>
      <c r="B62" s="57" t="s">
        <v>94</v>
      </c>
      <c r="C62" s="28">
        <f t="shared" si="1"/>
        <v>70.8</v>
      </c>
      <c r="D62" s="28">
        <f t="shared" si="2"/>
        <v>55.5</v>
      </c>
      <c r="E62" s="28">
        <f t="shared" si="3"/>
        <v>-15.3</v>
      </c>
      <c r="F62" s="28">
        <f t="shared" si="4"/>
        <v>78.4</v>
      </c>
      <c r="G62" s="28">
        <v>50.8</v>
      </c>
      <c r="H62" s="28">
        <v>35.5</v>
      </c>
      <c r="I62" s="28">
        <v>19.1</v>
      </c>
      <c r="J62" s="28">
        <v>14.8</v>
      </c>
      <c r="K62" s="28">
        <v>20</v>
      </c>
      <c r="L62" s="28">
        <v>20</v>
      </c>
    </row>
    <row r="63" spans="1:12" ht="31.5">
      <c r="A63" s="59">
        <v>56</v>
      </c>
      <c r="B63" s="57" t="s">
        <v>95</v>
      </c>
      <c r="C63" s="28">
        <f t="shared" si="1"/>
        <v>2411.2</v>
      </c>
      <c r="D63" s="28">
        <f t="shared" si="2"/>
        <v>2273</v>
      </c>
      <c r="E63" s="28">
        <f t="shared" si="3"/>
        <v>-138.2</v>
      </c>
      <c r="F63" s="28">
        <f t="shared" si="4"/>
        <v>94.3</v>
      </c>
      <c r="G63" s="28"/>
      <c r="H63" s="28"/>
      <c r="I63" s="28"/>
      <c r="J63" s="28"/>
      <c r="K63" s="28">
        <v>2411.2</v>
      </c>
      <c r="L63" s="28">
        <v>2273</v>
      </c>
    </row>
    <row r="64" spans="1:12" ht="31.5">
      <c r="A64" s="59">
        <v>57</v>
      </c>
      <c r="B64" s="60" t="s">
        <v>247</v>
      </c>
      <c r="C64" s="27">
        <f>+C66+C67</f>
        <v>2740.4</v>
      </c>
      <c r="D64" s="27">
        <f aca="true" t="shared" si="14" ref="D64:L64">+D66+D67</f>
        <v>1702</v>
      </c>
      <c r="E64" s="27">
        <f t="shared" si="14"/>
        <v>-1038.4</v>
      </c>
      <c r="F64" s="27">
        <f t="shared" si="4"/>
        <v>62.1</v>
      </c>
      <c r="G64" s="27">
        <f t="shared" si="14"/>
        <v>26.6</v>
      </c>
      <c r="H64" s="27">
        <f t="shared" si="14"/>
        <v>1.7</v>
      </c>
      <c r="I64" s="27">
        <f t="shared" si="14"/>
        <v>0</v>
      </c>
      <c r="J64" s="27">
        <f t="shared" si="14"/>
        <v>0</v>
      </c>
      <c r="K64" s="27">
        <f t="shared" si="14"/>
        <v>2713.8</v>
      </c>
      <c r="L64" s="27">
        <f t="shared" si="14"/>
        <v>1700.3</v>
      </c>
    </row>
    <row r="65" spans="1:12" ht="15.75">
      <c r="A65" s="59">
        <v>58</v>
      </c>
      <c r="B65" s="61" t="s">
        <v>14</v>
      </c>
      <c r="C65" s="28">
        <f t="shared" si="1"/>
        <v>0</v>
      </c>
      <c r="D65" s="28">
        <f t="shared" si="2"/>
        <v>0</v>
      </c>
      <c r="E65" s="28">
        <f t="shared" si="3"/>
        <v>0</v>
      </c>
      <c r="F65" s="28"/>
      <c r="G65" s="28"/>
      <c r="H65" s="28"/>
      <c r="I65" s="28"/>
      <c r="J65" s="28"/>
      <c r="K65" s="28"/>
      <c r="L65" s="28"/>
    </row>
    <row r="66" spans="1:12" ht="47.25">
      <c r="A66" s="59">
        <v>59</v>
      </c>
      <c r="B66" s="58" t="s">
        <v>98</v>
      </c>
      <c r="C66" s="28">
        <f t="shared" si="1"/>
        <v>754.3</v>
      </c>
      <c r="D66" s="28">
        <f t="shared" si="2"/>
        <v>314.7</v>
      </c>
      <c r="E66" s="28">
        <f t="shared" si="3"/>
        <v>-439.6</v>
      </c>
      <c r="F66" s="28">
        <f t="shared" si="4"/>
        <v>41.7</v>
      </c>
      <c r="G66" s="28">
        <v>26.6</v>
      </c>
      <c r="H66" s="28">
        <v>1.7</v>
      </c>
      <c r="I66" s="28"/>
      <c r="J66" s="28"/>
      <c r="K66" s="28">
        <v>727.7</v>
      </c>
      <c r="L66" s="28">
        <v>313</v>
      </c>
    </row>
    <row r="67" spans="1:12" ht="31.5">
      <c r="A67" s="59">
        <v>60</v>
      </c>
      <c r="B67" s="58" t="s">
        <v>248</v>
      </c>
      <c r="C67" s="28">
        <f t="shared" si="1"/>
        <v>1986.1</v>
      </c>
      <c r="D67" s="28">
        <f t="shared" si="2"/>
        <v>1387.3</v>
      </c>
      <c r="E67" s="28">
        <f t="shared" si="3"/>
        <v>-598.8</v>
      </c>
      <c r="F67" s="28">
        <f t="shared" si="4"/>
        <v>69.9</v>
      </c>
      <c r="G67" s="28"/>
      <c r="H67" s="28"/>
      <c r="I67" s="28"/>
      <c r="J67" s="28"/>
      <c r="K67" s="28">
        <v>1986.1</v>
      </c>
      <c r="L67" s="28">
        <v>1387.3</v>
      </c>
    </row>
    <row r="68" spans="1:12" ht="47.25">
      <c r="A68" s="59">
        <v>61</v>
      </c>
      <c r="B68" s="60" t="s">
        <v>65</v>
      </c>
      <c r="C68" s="27">
        <f>+C70+C71+C72</f>
        <v>1257.9</v>
      </c>
      <c r="D68" s="27">
        <f>+D70+D71+D72</f>
        <v>1256.8</v>
      </c>
      <c r="E68" s="27">
        <f>+E70+E71+E72</f>
        <v>-1.1</v>
      </c>
      <c r="F68" s="27">
        <f t="shared" si="4"/>
        <v>99.9</v>
      </c>
      <c r="G68" s="27">
        <f aca="true" t="shared" si="15" ref="G68:L68">+G70+G71+G72</f>
        <v>1.1</v>
      </c>
      <c r="H68" s="27">
        <f t="shared" si="15"/>
        <v>1</v>
      </c>
      <c r="I68" s="27">
        <f t="shared" si="15"/>
        <v>0</v>
      </c>
      <c r="J68" s="27">
        <f t="shared" si="15"/>
        <v>0</v>
      </c>
      <c r="K68" s="27">
        <f t="shared" si="15"/>
        <v>1256.8</v>
      </c>
      <c r="L68" s="27">
        <f t="shared" si="15"/>
        <v>1255.8</v>
      </c>
    </row>
    <row r="69" spans="1:12" ht="15.75">
      <c r="A69" s="59">
        <v>62</v>
      </c>
      <c r="B69" s="61" t="s">
        <v>14</v>
      </c>
      <c r="C69" s="28">
        <f t="shared" si="1"/>
        <v>0</v>
      </c>
      <c r="D69" s="28">
        <f t="shared" si="2"/>
        <v>0</v>
      </c>
      <c r="E69" s="28">
        <f t="shared" si="3"/>
        <v>0</v>
      </c>
      <c r="F69" s="28"/>
      <c r="G69" s="28"/>
      <c r="H69" s="28"/>
      <c r="I69" s="28"/>
      <c r="J69" s="28"/>
      <c r="K69" s="28"/>
      <c r="L69" s="28"/>
    </row>
    <row r="70" spans="1:12" ht="47.25">
      <c r="A70" s="59">
        <v>63</v>
      </c>
      <c r="B70" s="58" t="s">
        <v>103</v>
      </c>
      <c r="C70" s="28">
        <f t="shared" si="1"/>
        <v>1.1</v>
      </c>
      <c r="D70" s="28">
        <f t="shared" si="2"/>
        <v>1</v>
      </c>
      <c r="E70" s="28">
        <f t="shared" si="3"/>
        <v>-0.1</v>
      </c>
      <c r="F70" s="28">
        <f t="shared" si="4"/>
        <v>90.9</v>
      </c>
      <c r="G70" s="28">
        <v>1.1</v>
      </c>
      <c r="H70" s="28">
        <v>1</v>
      </c>
      <c r="I70" s="28"/>
      <c r="J70" s="28"/>
      <c r="K70" s="28"/>
      <c r="L70" s="28"/>
    </row>
    <row r="71" spans="1:12" ht="78.75">
      <c r="A71" s="59">
        <v>64</v>
      </c>
      <c r="B71" s="58" t="s">
        <v>336</v>
      </c>
      <c r="C71" s="28">
        <f t="shared" si="1"/>
        <v>1238</v>
      </c>
      <c r="D71" s="28">
        <f t="shared" si="2"/>
        <v>1237.1</v>
      </c>
      <c r="E71" s="28">
        <f t="shared" si="3"/>
        <v>-0.9</v>
      </c>
      <c r="F71" s="28">
        <f t="shared" si="4"/>
        <v>99.9</v>
      </c>
      <c r="G71" s="28"/>
      <c r="H71" s="28"/>
      <c r="I71" s="28"/>
      <c r="J71" s="28"/>
      <c r="K71" s="28">
        <v>1238</v>
      </c>
      <c r="L71" s="28">
        <v>1237.1</v>
      </c>
    </row>
    <row r="72" spans="1:12" ht="47.25">
      <c r="A72" s="59">
        <v>65</v>
      </c>
      <c r="B72" s="58" t="s">
        <v>254</v>
      </c>
      <c r="C72" s="28">
        <f t="shared" si="1"/>
        <v>18.8</v>
      </c>
      <c r="D72" s="28">
        <f t="shared" si="2"/>
        <v>18.7</v>
      </c>
      <c r="E72" s="28">
        <f t="shared" si="3"/>
        <v>-0.1</v>
      </c>
      <c r="F72" s="28">
        <f t="shared" si="4"/>
        <v>99.5</v>
      </c>
      <c r="G72" s="28"/>
      <c r="H72" s="28"/>
      <c r="I72" s="28"/>
      <c r="J72" s="28"/>
      <c r="K72" s="28">
        <v>18.8</v>
      </c>
      <c r="L72" s="28">
        <v>18.7</v>
      </c>
    </row>
    <row r="73" spans="1:12" ht="15.75">
      <c r="A73" s="59">
        <v>66</v>
      </c>
      <c r="B73" s="60" t="s">
        <v>82</v>
      </c>
      <c r="C73" s="27">
        <f>+C75+C76</f>
        <v>2025.9</v>
      </c>
      <c r="D73" s="27">
        <f aca="true" t="shared" si="16" ref="D73:L73">+D75+D76</f>
        <v>1822.2</v>
      </c>
      <c r="E73" s="27">
        <f t="shared" si="16"/>
        <v>-203.7</v>
      </c>
      <c r="F73" s="27">
        <f aca="true" t="shared" si="17" ref="F73:F136">+D73/C73*100</f>
        <v>89.9</v>
      </c>
      <c r="G73" s="27">
        <f t="shared" si="16"/>
        <v>10</v>
      </c>
      <c r="H73" s="27">
        <f t="shared" si="16"/>
        <v>0</v>
      </c>
      <c r="I73" s="27">
        <f t="shared" si="16"/>
        <v>0</v>
      </c>
      <c r="J73" s="27">
        <f t="shared" si="16"/>
        <v>0</v>
      </c>
      <c r="K73" s="27">
        <f t="shared" si="16"/>
        <v>2015.9</v>
      </c>
      <c r="L73" s="27">
        <f t="shared" si="16"/>
        <v>1822.2</v>
      </c>
    </row>
    <row r="74" spans="1:12" ht="15.75">
      <c r="A74" s="59">
        <v>67</v>
      </c>
      <c r="B74" s="61" t="s">
        <v>14</v>
      </c>
      <c r="C74" s="28">
        <f aca="true" t="shared" si="18" ref="C74:C136">+G74+K74</f>
        <v>0</v>
      </c>
      <c r="D74" s="28">
        <f aca="true" t="shared" si="19" ref="D74:D136">+H74+L74</f>
        <v>0</v>
      </c>
      <c r="E74" s="28">
        <f aca="true" t="shared" si="20" ref="E74:E136">+D74-C74</f>
        <v>0</v>
      </c>
      <c r="F74" s="28"/>
      <c r="G74" s="28"/>
      <c r="H74" s="28"/>
      <c r="I74" s="28"/>
      <c r="J74" s="28"/>
      <c r="K74" s="28"/>
      <c r="L74" s="28"/>
    </row>
    <row r="75" spans="1:12" ht="31.5">
      <c r="A75" s="59">
        <v>68</v>
      </c>
      <c r="B75" s="57" t="s">
        <v>92</v>
      </c>
      <c r="C75" s="28">
        <f t="shared" si="18"/>
        <v>27.3</v>
      </c>
      <c r="D75" s="28">
        <f t="shared" si="19"/>
        <v>17.3</v>
      </c>
      <c r="E75" s="28">
        <f t="shared" si="20"/>
        <v>-10</v>
      </c>
      <c r="F75" s="28">
        <f t="shared" si="17"/>
        <v>63.4</v>
      </c>
      <c r="G75" s="28">
        <v>10</v>
      </c>
      <c r="H75" s="28"/>
      <c r="I75" s="28"/>
      <c r="J75" s="28"/>
      <c r="K75" s="28">
        <v>17.3</v>
      </c>
      <c r="L75" s="28">
        <v>17.3</v>
      </c>
    </row>
    <row r="76" spans="1:12" ht="31.5">
      <c r="A76" s="59">
        <v>69</v>
      </c>
      <c r="B76" s="57" t="s">
        <v>93</v>
      </c>
      <c r="C76" s="28">
        <f t="shared" si="18"/>
        <v>1998.6</v>
      </c>
      <c r="D76" s="28">
        <f t="shared" si="19"/>
        <v>1804.9</v>
      </c>
      <c r="E76" s="28">
        <f t="shared" si="20"/>
        <v>-193.7</v>
      </c>
      <c r="F76" s="28">
        <f t="shared" si="17"/>
        <v>90.3</v>
      </c>
      <c r="G76" s="28"/>
      <c r="H76" s="28"/>
      <c r="I76" s="28"/>
      <c r="J76" s="28"/>
      <c r="K76" s="28">
        <v>1998.6</v>
      </c>
      <c r="L76" s="28">
        <v>1804.9</v>
      </c>
    </row>
    <row r="77" spans="1:12" ht="31.5">
      <c r="A77" s="59">
        <v>70</v>
      </c>
      <c r="B77" s="56" t="s">
        <v>126</v>
      </c>
      <c r="C77" s="27">
        <f>+C79+C80</f>
        <v>1336.7</v>
      </c>
      <c r="D77" s="27">
        <f aca="true" t="shared" si="21" ref="D77:L77">+D79+D80</f>
        <v>1251.1</v>
      </c>
      <c r="E77" s="27">
        <f t="shared" si="21"/>
        <v>-85.6</v>
      </c>
      <c r="F77" s="27">
        <f t="shared" si="17"/>
        <v>93.6</v>
      </c>
      <c r="G77" s="27">
        <f t="shared" si="21"/>
        <v>2.7</v>
      </c>
      <c r="H77" s="27">
        <f t="shared" si="21"/>
        <v>2.6</v>
      </c>
      <c r="I77" s="27">
        <f t="shared" si="21"/>
        <v>0</v>
      </c>
      <c r="J77" s="27">
        <f t="shared" si="21"/>
        <v>0</v>
      </c>
      <c r="K77" s="27">
        <f t="shared" si="21"/>
        <v>1334</v>
      </c>
      <c r="L77" s="27">
        <f t="shared" si="21"/>
        <v>1248.5</v>
      </c>
    </row>
    <row r="78" spans="1:12" ht="15.75">
      <c r="A78" s="59">
        <v>71</v>
      </c>
      <c r="B78" s="61" t="s">
        <v>14</v>
      </c>
      <c r="C78" s="28">
        <f t="shared" si="18"/>
        <v>0</v>
      </c>
      <c r="D78" s="28">
        <f t="shared" si="19"/>
        <v>0</v>
      </c>
      <c r="E78" s="28">
        <f t="shared" si="20"/>
        <v>0</v>
      </c>
      <c r="F78" s="28"/>
      <c r="G78" s="28"/>
      <c r="H78" s="28"/>
      <c r="I78" s="28"/>
      <c r="J78" s="28"/>
      <c r="K78" s="28"/>
      <c r="L78" s="28"/>
    </row>
    <row r="79" spans="1:12" ht="31.5">
      <c r="A79" s="59">
        <v>72</v>
      </c>
      <c r="B79" s="57" t="s">
        <v>264</v>
      </c>
      <c r="C79" s="28">
        <f t="shared" si="18"/>
        <v>1336.7</v>
      </c>
      <c r="D79" s="28">
        <f t="shared" si="19"/>
        <v>1251.1</v>
      </c>
      <c r="E79" s="28">
        <f t="shared" si="20"/>
        <v>-85.6</v>
      </c>
      <c r="F79" s="28">
        <f t="shared" si="17"/>
        <v>93.6</v>
      </c>
      <c r="G79" s="28">
        <v>2.7</v>
      </c>
      <c r="H79" s="28">
        <v>2.6</v>
      </c>
      <c r="I79" s="28"/>
      <c r="J79" s="28"/>
      <c r="K79" s="28">
        <f>1234+100</f>
        <v>1334</v>
      </c>
      <c r="L79" s="28">
        <f>1233.9+14.6</f>
        <v>1248.5</v>
      </c>
    </row>
    <row r="80" spans="1:12" ht="63">
      <c r="A80" s="59">
        <v>73</v>
      </c>
      <c r="B80" s="57" t="s">
        <v>337</v>
      </c>
      <c r="C80" s="28">
        <f t="shared" si="18"/>
        <v>0</v>
      </c>
      <c r="D80" s="28">
        <f t="shared" si="19"/>
        <v>0</v>
      </c>
      <c r="E80" s="28">
        <f t="shared" si="20"/>
        <v>0</v>
      </c>
      <c r="F80" s="28"/>
      <c r="G80" s="28"/>
      <c r="H80" s="28"/>
      <c r="I80" s="28"/>
      <c r="J80" s="28"/>
      <c r="K80" s="28"/>
      <c r="L80" s="28"/>
    </row>
    <row r="81" spans="1:12" ht="15.75">
      <c r="A81" s="59">
        <v>74</v>
      </c>
      <c r="B81" s="56" t="s">
        <v>84</v>
      </c>
      <c r="C81" s="27">
        <f>+C83+C84</f>
        <v>1518.1</v>
      </c>
      <c r="D81" s="27">
        <f aca="true" t="shared" si="22" ref="D81:L81">+D83+D84</f>
        <v>262.3</v>
      </c>
      <c r="E81" s="27">
        <f t="shared" si="22"/>
        <v>-1255.8</v>
      </c>
      <c r="F81" s="27">
        <f t="shared" si="17"/>
        <v>17.3</v>
      </c>
      <c r="G81" s="27">
        <f t="shared" si="22"/>
        <v>27.9</v>
      </c>
      <c r="H81" s="27">
        <f t="shared" si="22"/>
        <v>26.4</v>
      </c>
      <c r="I81" s="27">
        <f t="shared" si="22"/>
        <v>20.9</v>
      </c>
      <c r="J81" s="27">
        <f t="shared" si="22"/>
        <v>19.9</v>
      </c>
      <c r="K81" s="27">
        <f t="shared" si="22"/>
        <v>1490.2</v>
      </c>
      <c r="L81" s="27">
        <f t="shared" si="22"/>
        <v>235.9</v>
      </c>
    </row>
    <row r="82" spans="1:12" ht="15.75">
      <c r="A82" s="59">
        <v>75</v>
      </c>
      <c r="B82" s="61" t="s">
        <v>14</v>
      </c>
      <c r="C82" s="28">
        <f t="shared" si="18"/>
        <v>0</v>
      </c>
      <c r="D82" s="28">
        <f t="shared" si="19"/>
        <v>0</v>
      </c>
      <c r="E82" s="28">
        <f t="shared" si="20"/>
        <v>0</v>
      </c>
      <c r="F82" s="28"/>
      <c r="G82" s="28"/>
      <c r="H82" s="28"/>
      <c r="I82" s="28"/>
      <c r="J82" s="28"/>
      <c r="K82" s="28"/>
      <c r="L82" s="28"/>
    </row>
    <row r="83" spans="1:12" ht="31.5">
      <c r="A83" s="59">
        <v>76</v>
      </c>
      <c r="B83" s="57" t="s">
        <v>108</v>
      </c>
      <c r="C83" s="28">
        <f t="shared" si="18"/>
        <v>509.9</v>
      </c>
      <c r="D83" s="28">
        <f t="shared" si="19"/>
        <v>66.6</v>
      </c>
      <c r="E83" s="28">
        <f t="shared" si="20"/>
        <v>-443.3</v>
      </c>
      <c r="F83" s="28">
        <f t="shared" si="17"/>
        <v>13.1</v>
      </c>
      <c r="G83" s="28">
        <f>0.4+10.4+9.2+7.9</f>
        <v>27.9</v>
      </c>
      <c r="H83" s="28">
        <f>0.4+9.9+8.6+7.5</f>
        <v>26.4</v>
      </c>
      <c r="I83" s="28">
        <f>7.9+7+6</f>
        <v>20.9</v>
      </c>
      <c r="J83" s="28">
        <v>19.9</v>
      </c>
      <c r="K83" s="28">
        <v>482</v>
      </c>
      <c r="L83" s="28">
        <v>40.2</v>
      </c>
    </row>
    <row r="84" spans="1:12" ht="31.5">
      <c r="A84" s="59">
        <v>77</v>
      </c>
      <c r="B84" s="57" t="s">
        <v>253</v>
      </c>
      <c r="C84" s="28">
        <f t="shared" si="18"/>
        <v>1008.2</v>
      </c>
      <c r="D84" s="28">
        <f t="shared" si="19"/>
        <v>195.7</v>
      </c>
      <c r="E84" s="28">
        <f t="shared" si="20"/>
        <v>-812.5</v>
      </c>
      <c r="F84" s="28">
        <f t="shared" si="17"/>
        <v>19.4</v>
      </c>
      <c r="G84" s="28"/>
      <c r="H84" s="28"/>
      <c r="I84" s="28"/>
      <c r="J84" s="28"/>
      <c r="K84" s="28">
        <v>1008.2</v>
      </c>
      <c r="L84" s="28">
        <v>195.7</v>
      </c>
    </row>
    <row r="85" spans="1:12" ht="63">
      <c r="A85" s="59">
        <v>78</v>
      </c>
      <c r="B85" s="56" t="s">
        <v>338</v>
      </c>
      <c r="C85" s="27">
        <f t="shared" si="18"/>
        <v>600</v>
      </c>
      <c r="D85" s="27">
        <f t="shared" si="19"/>
        <v>600</v>
      </c>
      <c r="E85" s="27">
        <f t="shared" si="20"/>
        <v>0</v>
      </c>
      <c r="F85" s="27">
        <f t="shared" si="17"/>
        <v>100</v>
      </c>
      <c r="G85" s="27"/>
      <c r="H85" s="27"/>
      <c r="I85" s="27"/>
      <c r="J85" s="27"/>
      <c r="K85" s="27">
        <v>600</v>
      </c>
      <c r="L85" s="27">
        <v>600</v>
      </c>
    </row>
    <row r="86" spans="1:12" ht="15.75">
      <c r="A86" s="59">
        <v>79</v>
      </c>
      <c r="B86" s="60" t="s">
        <v>61</v>
      </c>
      <c r="C86" s="27">
        <f>+C87</f>
        <v>508.9</v>
      </c>
      <c r="D86" s="27">
        <f>+D87</f>
        <v>446</v>
      </c>
      <c r="E86" s="27">
        <f>+E87</f>
        <v>-62.9</v>
      </c>
      <c r="F86" s="27">
        <f t="shared" si="17"/>
        <v>87.6</v>
      </c>
      <c r="G86" s="27">
        <f aca="true" t="shared" si="23" ref="G86:L86">+G87</f>
        <v>240.7</v>
      </c>
      <c r="H86" s="27">
        <f t="shared" si="23"/>
        <v>240.3</v>
      </c>
      <c r="I86" s="27">
        <f t="shared" si="23"/>
        <v>15.8</v>
      </c>
      <c r="J86" s="27">
        <f t="shared" si="23"/>
        <v>14.7</v>
      </c>
      <c r="K86" s="27">
        <f t="shared" si="23"/>
        <v>268.2</v>
      </c>
      <c r="L86" s="27">
        <f t="shared" si="23"/>
        <v>205.7</v>
      </c>
    </row>
    <row r="87" spans="1:12" ht="31.5">
      <c r="A87" s="59">
        <v>80</v>
      </c>
      <c r="B87" s="60" t="s">
        <v>97</v>
      </c>
      <c r="C87" s="27">
        <f t="shared" si="18"/>
        <v>508.9</v>
      </c>
      <c r="D87" s="27">
        <f t="shared" si="19"/>
        <v>446</v>
      </c>
      <c r="E87" s="27">
        <f t="shared" si="20"/>
        <v>-62.9</v>
      </c>
      <c r="F87" s="27">
        <f t="shared" si="17"/>
        <v>87.6</v>
      </c>
      <c r="G87" s="27">
        <v>240.7</v>
      </c>
      <c r="H87" s="27">
        <v>240.3</v>
      </c>
      <c r="I87" s="27">
        <v>15.8</v>
      </c>
      <c r="J87" s="27">
        <v>14.7</v>
      </c>
      <c r="K87" s="27">
        <v>268.2</v>
      </c>
      <c r="L87" s="27">
        <v>205.7</v>
      </c>
    </row>
    <row r="88" spans="1:12" ht="15.75">
      <c r="A88" s="59">
        <v>81</v>
      </c>
      <c r="B88" s="60" t="s">
        <v>10</v>
      </c>
      <c r="C88" s="27">
        <f>+C89+C93+C94+C98+C99+C100+C101</f>
        <v>66996.8</v>
      </c>
      <c r="D88" s="27">
        <f>+D89+D93+D94+D98+D99+D100+D101</f>
        <v>69425.5</v>
      </c>
      <c r="E88" s="27">
        <f>+E89+E93+E94+E98+E99+E100+E101</f>
        <v>2428.7</v>
      </c>
      <c r="F88" s="27">
        <f t="shared" si="17"/>
        <v>103.6</v>
      </c>
      <c r="G88" s="27">
        <f aca="true" t="shared" si="24" ref="G88:L88">+G89+G93+G94+G98+G99+G100+G101</f>
        <v>66842.8</v>
      </c>
      <c r="H88" s="27">
        <f t="shared" si="24"/>
        <v>69313.8</v>
      </c>
      <c r="I88" s="27">
        <f t="shared" si="24"/>
        <v>761.8</v>
      </c>
      <c r="J88" s="27">
        <f t="shared" si="24"/>
        <v>758.5</v>
      </c>
      <c r="K88" s="27">
        <f t="shared" si="24"/>
        <v>154</v>
      </c>
      <c r="L88" s="27">
        <f t="shared" si="24"/>
        <v>111.7</v>
      </c>
    </row>
    <row r="89" spans="1:12" ht="15.75">
      <c r="A89" s="59">
        <v>82</v>
      </c>
      <c r="B89" s="56" t="s">
        <v>63</v>
      </c>
      <c r="C89" s="27">
        <f>+C91+C92</f>
        <v>14950.1</v>
      </c>
      <c r="D89" s="27">
        <f aca="true" t="shared" si="25" ref="D89:L89">+D91+D92</f>
        <v>15609.3</v>
      </c>
      <c r="E89" s="27">
        <f t="shared" si="25"/>
        <v>659.2</v>
      </c>
      <c r="F89" s="27">
        <f t="shared" si="17"/>
        <v>104.4</v>
      </c>
      <c r="G89" s="27">
        <f t="shared" si="25"/>
        <v>14950.1</v>
      </c>
      <c r="H89" s="27">
        <f t="shared" si="25"/>
        <v>15609.3</v>
      </c>
      <c r="I89" s="27">
        <f t="shared" si="25"/>
        <v>0</v>
      </c>
      <c r="J89" s="27">
        <f t="shared" si="25"/>
        <v>0</v>
      </c>
      <c r="K89" s="27">
        <f t="shared" si="25"/>
        <v>0</v>
      </c>
      <c r="L89" s="27">
        <f t="shared" si="25"/>
        <v>0</v>
      </c>
    </row>
    <row r="90" spans="1:12" ht="15.75">
      <c r="A90" s="59">
        <v>83</v>
      </c>
      <c r="B90" s="61" t="s">
        <v>14</v>
      </c>
      <c r="C90" s="28">
        <f t="shared" si="18"/>
        <v>0</v>
      </c>
      <c r="D90" s="28">
        <f t="shared" si="19"/>
        <v>0</v>
      </c>
      <c r="E90" s="28">
        <f t="shared" si="20"/>
        <v>0</v>
      </c>
      <c r="F90" s="28"/>
      <c r="G90" s="28"/>
      <c r="H90" s="28"/>
      <c r="I90" s="28"/>
      <c r="J90" s="28"/>
      <c r="K90" s="28"/>
      <c r="L90" s="28"/>
    </row>
    <row r="91" spans="1:12" ht="31.5">
      <c r="A91" s="59">
        <v>84</v>
      </c>
      <c r="B91" s="57" t="s">
        <v>96</v>
      </c>
      <c r="C91" s="28">
        <f t="shared" si="18"/>
        <v>14000</v>
      </c>
      <c r="D91" s="28">
        <f t="shared" si="19"/>
        <v>14724</v>
      </c>
      <c r="E91" s="28">
        <f t="shared" si="20"/>
        <v>724</v>
      </c>
      <c r="F91" s="28">
        <f t="shared" si="17"/>
        <v>105.2</v>
      </c>
      <c r="G91" s="28">
        <v>14000</v>
      </c>
      <c r="H91" s="28">
        <f>13999.9+724.1</f>
        <v>14724</v>
      </c>
      <c r="I91" s="28"/>
      <c r="J91" s="28"/>
      <c r="K91" s="28"/>
      <c r="L91" s="28"/>
    </row>
    <row r="92" spans="1:12" ht="31.5">
      <c r="A92" s="59">
        <v>85</v>
      </c>
      <c r="B92" s="58" t="s">
        <v>59</v>
      </c>
      <c r="C92" s="28">
        <f t="shared" si="18"/>
        <v>950.1</v>
      </c>
      <c r="D92" s="28">
        <f t="shared" si="19"/>
        <v>885.3</v>
      </c>
      <c r="E92" s="28">
        <f t="shared" si="20"/>
        <v>-64.8</v>
      </c>
      <c r="F92" s="28">
        <f t="shared" si="17"/>
        <v>93.2</v>
      </c>
      <c r="G92" s="28">
        <v>950.1</v>
      </c>
      <c r="H92" s="28">
        <f>655.7+229.6</f>
        <v>885.3</v>
      </c>
      <c r="I92" s="28"/>
      <c r="J92" s="28"/>
      <c r="K92" s="28"/>
      <c r="L92" s="28"/>
    </row>
    <row r="93" spans="1:12" ht="33" customHeight="1">
      <c r="A93" s="59">
        <v>86</v>
      </c>
      <c r="B93" s="60" t="s">
        <v>85</v>
      </c>
      <c r="C93" s="27">
        <f t="shared" si="18"/>
        <v>17467.2</v>
      </c>
      <c r="D93" s="27">
        <f t="shared" si="19"/>
        <v>19327.7</v>
      </c>
      <c r="E93" s="27">
        <f t="shared" si="20"/>
        <v>1860.5</v>
      </c>
      <c r="F93" s="27">
        <f t="shared" si="17"/>
        <v>110.7</v>
      </c>
      <c r="G93" s="27">
        <v>17422</v>
      </c>
      <c r="H93" s="27">
        <v>19286.7</v>
      </c>
      <c r="I93" s="27"/>
      <c r="J93" s="27"/>
      <c r="K93" s="27">
        <v>45.2</v>
      </c>
      <c r="L93" s="27">
        <v>41</v>
      </c>
    </row>
    <row r="94" spans="1:12" ht="31.5">
      <c r="A94" s="59">
        <v>87</v>
      </c>
      <c r="B94" s="60" t="s">
        <v>62</v>
      </c>
      <c r="C94" s="27">
        <f>+C96+C97</f>
        <v>30038</v>
      </c>
      <c r="D94" s="27">
        <f>+D96+D97</f>
        <v>29971.2</v>
      </c>
      <c r="E94" s="27">
        <f>+E96+E97</f>
        <v>-66.8</v>
      </c>
      <c r="F94" s="27">
        <f t="shared" si="17"/>
        <v>99.8</v>
      </c>
      <c r="G94" s="27">
        <f aca="true" t="shared" si="26" ref="G94:L94">+G96+G97</f>
        <v>29938.8</v>
      </c>
      <c r="H94" s="27">
        <f t="shared" si="26"/>
        <v>29910.1</v>
      </c>
      <c r="I94" s="27">
        <f t="shared" si="26"/>
        <v>761.8</v>
      </c>
      <c r="J94" s="27">
        <f t="shared" si="26"/>
        <v>758.5</v>
      </c>
      <c r="K94" s="27">
        <f t="shared" si="26"/>
        <v>99.2</v>
      </c>
      <c r="L94" s="27">
        <f t="shared" si="26"/>
        <v>61.1</v>
      </c>
    </row>
    <row r="95" spans="1:12" ht="15.75">
      <c r="A95" s="59">
        <v>88</v>
      </c>
      <c r="B95" s="61" t="s">
        <v>14</v>
      </c>
      <c r="C95" s="28">
        <f t="shared" si="18"/>
        <v>0</v>
      </c>
      <c r="D95" s="28">
        <f t="shared" si="19"/>
        <v>0</v>
      </c>
      <c r="E95" s="28">
        <f t="shared" si="20"/>
        <v>0</v>
      </c>
      <c r="F95" s="28"/>
      <c r="G95" s="28"/>
      <c r="H95" s="28"/>
      <c r="I95" s="28"/>
      <c r="J95" s="28"/>
      <c r="K95" s="28"/>
      <c r="L95" s="28"/>
    </row>
    <row r="96" spans="1:12" ht="47.25">
      <c r="A96" s="59">
        <v>89</v>
      </c>
      <c r="B96" s="57" t="s">
        <v>98</v>
      </c>
      <c r="C96" s="28">
        <f t="shared" si="18"/>
        <v>29954.6</v>
      </c>
      <c r="D96" s="28">
        <f t="shared" si="19"/>
        <v>29893.5</v>
      </c>
      <c r="E96" s="28">
        <f t="shared" si="20"/>
        <v>-61.1</v>
      </c>
      <c r="F96" s="28">
        <f t="shared" si="17"/>
        <v>99.8</v>
      </c>
      <c r="G96" s="28">
        <v>29855.4</v>
      </c>
      <c r="H96" s="28">
        <f>29832.3+0.1</f>
        <v>29832.4</v>
      </c>
      <c r="I96" s="28">
        <f>761.8-13.1</f>
        <v>748.7</v>
      </c>
      <c r="J96" s="28">
        <v>748.7</v>
      </c>
      <c r="K96" s="28">
        <v>99.2</v>
      </c>
      <c r="L96" s="28">
        <f>61.2-0.1</f>
        <v>61.1</v>
      </c>
    </row>
    <row r="97" spans="1:12" ht="47.25">
      <c r="A97" s="59">
        <v>90</v>
      </c>
      <c r="B97" s="58" t="s">
        <v>99</v>
      </c>
      <c r="C97" s="28">
        <f t="shared" si="18"/>
        <v>83.4</v>
      </c>
      <c r="D97" s="28">
        <f t="shared" si="19"/>
        <v>77.7</v>
      </c>
      <c r="E97" s="28">
        <f t="shared" si="20"/>
        <v>-5.7</v>
      </c>
      <c r="F97" s="28">
        <f t="shared" si="17"/>
        <v>93.2</v>
      </c>
      <c r="G97" s="28">
        <v>83.4</v>
      </c>
      <c r="H97" s="28">
        <v>77.7</v>
      </c>
      <c r="I97" s="28">
        <v>13.1</v>
      </c>
      <c r="J97" s="28">
        <v>9.8</v>
      </c>
      <c r="K97" s="28"/>
      <c r="L97" s="28"/>
    </row>
    <row r="98" spans="1:12" ht="47.25">
      <c r="A98" s="59">
        <v>91</v>
      </c>
      <c r="B98" s="60" t="s">
        <v>339</v>
      </c>
      <c r="C98" s="27">
        <f t="shared" si="18"/>
        <v>62</v>
      </c>
      <c r="D98" s="27">
        <f t="shared" si="19"/>
        <v>62</v>
      </c>
      <c r="E98" s="27">
        <f t="shared" si="20"/>
        <v>0</v>
      </c>
      <c r="F98" s="27">
        <f t="shared" si="17"/>
        <v>100</v>
      </c>
      <c r="G98" s="27">
        <v>62</v>
      </c>
      <c r="H98" s="27">
        <v>62</v>
      </c>
      <c r="I98" s="27"/>
      <c r="J98" s="27"/>
      <c r="K98" s="27"/>
      <c r="L98" s="27"/>
    </row>
    <row r="99" spans="1:12" ht="31.5">
      <c r="A99" s="59">
        <v>92</v>
      </c>
      <c r="B99" s="60" t="s">
        <v>100</v>
      </c>
      <c r="C99" s="27">
        <f t="shared" si="18"/>
        <v>4221.4</v>
      </c>
      <c r="D99" s="27">
        <f t="shared" si="19"/>
        <v>4204.2</v>
      </c>
      <c r="E99" s="27">
        <f t="shared" si="20"/>
        <v>-17.2</v>
      </c>
      <c r="F99" s="27">
        <f t="shared" si="17"/>
        <v>99.6</v>
      </c>
      <c r="G99" s="27">
        <v>4221.4</v>
      </c>
      <c r="H99" s="27">
        <v>4204.2</v>
      </c>
      <c r="I99" s="27"/>
      <c r="J99" s="27"/>
      <c r="K99" s="27"/>
      <c r="L99" s="27"/>
    </row>
    <row r="100" spans="1:12" ht="31.5">
      <c r="A100" s="59">
        <v>93</v>
      </c>
      <c r="B100" s="56" t="s">
        <v>340</v>
      </c>
      <c r="C100" s="27">
        <f t="shared" si="18"/>
        <v>180.5</v>
      </c>
      <c r="D100" s="27">
        <f t="shared" si="19"/>
        <v>180.1</v>
      </c>
      <c r="E100" s="27">
        <f t="shared" si="20"/>
        <v>-0.4</v>
      </c>
      <c r="F100" s="27">
        <f t="shared" si="17"/>
        <v>99.8</v>
      </c>
      <c r="G100" s="27">
        <v>180.5</v>
      </c>
      <c r="H100" s="27">
        <v>180.1</v>
      </c>
      <c r="I100" s="27"/>
      <c r="J100" s="27"/>
      <c r="K100" s="27"/>
      <c r="L100" s="27"/>
    </row>
    <row r="101" spans="1:12" ht="31.5">
      <c r="A101" s="59">
        <v>94</v>
      </c>
      <c r="B101" s="60" t="s">
        <v>256</v>
      </c>
      <c r="C101" s="27">
        <f t="shared" si="18"/>
        <v>77.6</v>
      </c>
      <c r="D101" s="27">
        <f t="shared" si="19"/>
        <v>71</v>
      </c>
      <c r="E101" s="27">
        <f t="shared" si="20"/>
        <v>-6.6</v>
      </c>
      <c r="F101" s="27">
        <f t="shared" si="17"/>
        <v>91.5</v>
      </c>
      <c r="G101" s="27">
        <v>68</v>
      </c>
      <c r="H101" s="27">
        <v>61.4</v>
      </c>
      <c r="I101" s="27"/>
      <c r="J101" s="27"/>
      <c r="K101" s="27">
        <v>9.6</v>
      </c>
      <c r="L101" s="27">
        <v>9.6</v>
      </c>
    </row>
    <row r="102" spans="1:12" ht="15.75">
      <c r="A102" s="59">
        <v>95</v>
      </c>
      <c r="B102" s="60" t="s">
        <v>11</v>
      </c>
      <c r="C102" s="27">
        <f>+C103+C107+C114</f>
        <v>214882.8</v>
      </c>
      <c r="D102" s="27">
        <f>+D103+D107+D114</f>
        <v>213485.1</v>
      </c>
      <c r="E102" s="27">
        <f>+E103+E107+E114</f>
        <v>-1397.7</v>
      </c>
      <c r="F102" s="27">
        <f t="shared" si="17"/>
        <v>99.3</v>
      </c>
      <c r="G102" s="27">
        <f aca="true" t="shared" si="27" ref="G102:L102">+G103+G107+G114</f>
        <v>214010.8</v>
      </c>
      <c r="H102" s="27">
        <f t="shared" si="27"/>
        <v>212559.8</v>
      </c>
      <c r="I102" s="27">
        <f t="shared" si="27"/>
        <v>138769</v>
      </c>
      <c r="J102" s="27">
        <f t="shared" si="27"/>
        <v>138644.2</v>
      </c>
      <c r="K102" s="27">
        <f t="shared" si="27"/>
        <v>872</v>
      </c>
      <c r="L102" s="27">
        <f t="shared" si="27"/>
        <v>925.3</v>
      </c>
    </row>
    <row r="103" spans="1:12" ht="47.25">
      <c r="A103" s="59">
        <v>96</v>
      </c>
      <c r="B103" s="60" t="s">
        <v>65</v>
      </c>
      <c r="C103" s="27">
        <f>+C105+C106</f>
        <v>9904.2</v>
      </c>
      <c r="D103" s="27">
        <f aca="true" t="shared" si="28" ref="D103:L103">+D105+D106</f>
        <v>9896.2</v>
      </c>
      <c r="E103" s="27">
        <f t="shared" si="28"/>
        <v>-8</v>
      </c>
      <c r="F103" s="27">
        <f t="shared" si="17"/>
        <v>99.9</v>
      </c>
      <c r="G103" s="27">
        <f t="shared" si="28"/>
        <v>9816.2</v>
      </c>
      <c r="H103" s="27">
        <f t="shared" si="28"/>
        <v>9872.5</v>
      </c>
      <c r="I103" s="27">
        <f t="shared" si="28"/>
        <v>4655.5</v>
      </c>
      <c r="J103" s="27">
        <f t="shared" si="28"/>
        <v>4655.5</v>
      </c>
      <c r="K103" s="27">
        <f t="shared" si="28"/>
        <v>88</v>
      </c>
      <c r="L103" s="27">
        <f t="shared" si="28"/>
        <v>23.7</v>
      </c>
    </row>
    <row r="104" spans="1:12" ht="15.75">
      <c r="A104" s="59">
        <v>97</v>
      </c>
      <c r="B104" s="61" t="s">
        <v>14</v>
      </c>
      <c r="C104" s="28">
        <f t="shared" si="18"/>
        <v>0</v>
      </c>
      <c r="D104" s="28">
        <f t="shared" si="19"/>
        <v>0</v>
      </c>
      <c r="E104" s="28">
        <f t="shared" si="20"/>
        <v>0</v>
      </c>
      <c r="F104" s="28"/>
      <c r="G104" s="28"/>
      <c r="H104" s="28"/>
      <c r="I104" s="28"/>
      <c r="J104" s="28"/>
      <c r="K104" s="28"/>
      <c r="L104" s="28"/>
    </row>
    <row r="105" spans="1:12" ht="47.25">
      <c r="A105" s="59">
        <v>98</v>
      </c>
      <c r="B105" s="58" t="s">
        <v>103</v>
      </c>
      <c r="C105" s="28">
        <f t="shared" si="18"/>
        <v>8707.2</v>
      </c>
      <c r="D105" s="28">
        <f t="shared" si="19"/>
        <v>8629.2</v>
      </c>
      <c r="E105" s="28">
        <f t="shared" si="20"/>
        <v>-78</v>
      </c>
      <c r="F105" s="28">
        <f t="shared" si="17"/>
        <v>99.1</v>
      </c>
      <c r="G105" s="28">
        <f>1289.5+7354.4</f>
        <v>8643.9</v>
      </c>
      <c r="H105" s="28">
        <f>1288.8+7328.6+6.5</f>
        <v>8623.9</v>
      </c>
      <c r="I105" s="28">
        <v>4414</v>
      </c>
      <c r="J105" s="28">
        <v>4414</v>
      </c>
      <c r="K105" s="28">
        <v>63.3</v>
      </c>
      <c r="L105" s="28">
        <v>5.3</v>
      </c>
    </row>
    <row r="106" spans="1:12" ht="47.25">
      <c r="A106" s="59">
        <v>99</v>
      </c>
      <c r="B106" s="58" t="s">
        <v>104</v>
      </c>
      <c r="C106" s="28">
        <f t="shared" si="18"/>
        <v>1197</v>
      </c>
      <c r="D106" s="28">
        <f t="shared" si="19"/>
        <v>1267</v>
      </c>
      <c r="E106" s="28">
        <f t="shared" si="20"/>
        <v>70</v>
      </c>
      <c r="F106" s="28">
        <f t="shared" si="17"/>
        <v>105.8</v>
      </c>
      <c r="G106" s="28">
        <f>992.3+175.5+4.5</f>
        <v>1172.3</v>
      </c>
      <c r="H106" s="28">
        <f>1093.3+153.6+1.7</f>
        <v>1248.6</v>
      </c>
      <c r="I106" s="28">
        <v>241.5</v>
      </c>
      <c r="J106" s="28">
        <v>241.5</v>
      </c>
      <c r="K106" s="28">
        <f>8+16.7</f>
        <v>24.7</v>
      </c>
      <c r="L106" s="28">
        <v>18.4</v>
      </c>
    </row>
    <row r="107" spans="1:12" ht="15.75">
      <c r="A107" s="59">
        <v>100</v>
      </c>
      <c r="B107" s="60" t="s">
        <v>64</v>
      </c>
      <c r="C107" s="27">
        <f>+C109+C110+C111+C112+C113</f>
        <v>190160.4</v>
      </c>
      <c r="D107" s="27">
        <f aca="true" t="shared" si="29" ref="D107:L107">+D109+D110+D111+D112+D113</f>
        <v>188870</v>
      </c>
      <c r="E107" s="27">
        <f t="shared" si="29"/>
        <v>-1290.4</v>
      </c>
      <c r="F107" s="27">
        <f t="shared" si="17"/>
        <v>99.3</v>
      </c>
      <c r="G107" s="27">
        <f t="shared" si="29"/>
        <v>189576.8</v>
      </c>
      <c r="H107" s="27">
        <f t="shared" si="29"/>
        <v>188165.8</v>
      </c>
      <c r="I107" s="27">
        <f t="shared" si="29"/>
        <v>126737.6</v>
      </c>
      <c r="J107" s="27">
        <f t="shared" si="29"/>
        <v>126622.1</v>
      </c>
      <c r="K107" s="27">
        <f t="shared" si="29"/>
        <v>583.6</v>
      </c>
      <c r="L107" s="27">
        <f t="shared" si="29"/>
        <v>704.2</v>
      </c>
    </row>
    <row r="108" spans="1:12" ht="15.75">
      <c r="A108" s="59">
        <v>101</v>
      </c>
      <c r="B108" s="61" t="s">
        <v>14</v>
      </c>
      <c r="C108" s="28">
        <f t="shared" si="18"/>
        <v>0</v>
      </c>
      <c r="D108" s="28">
        <f t="shared" si="19"/>
        <v>0</v>
      </c>
      <c r="E108" s="28">
        <f t="shared" si="20"/>
        <v>0</v>
      </c>
      <c r="F108" s="28"/>
      <c r="G108" s="28"/>
      <c r="H108" s="28"/>
      <c r="I108" s="28"/>
      <c r="J108" s="28"/>
      <c r="K108" s="28"/>
      <c r="L108" s="28"/>
    </row>
    <row r="109" spans="1:12" ht="31.5">
      <c r="A109" s="59">
        <v>102</v>
      </c>
      <c r="B109" s="57" t="s">
        <v>101</v>
      </c>
      <c r="C109" s="28">
        <f t="shared" si="18"/>
        <v>69145.2</v>
      </c>
      <c r="D109" s="28">
        <f t="shared" si="19"/>
        <v>68908.4</v>
      </c>
      <c r="E109" s="28">
        <f t="shared" si="20"/>
        <v>-236.8</v>
      </c>
      <c r="F109" s="28">
        <f t="shared" si="17"/>
        <v>99.7</v>
      </c>
      <c r="G109" s="28">
        <f>68953.8+160</f>
        <v>69113.8</v>
      </c>
      <c r="H109" s="28">
        <f>68736.8+149.3</f>
        <v>68886.1</v>
      </c>
      <c r="I109" s="28">
        <f>46942+12.7</f>
        <v>46954.7</v>
      </c>
      <c r="J109" s="28">
        <f>46916.7+12.7</f>
        <v>46929.4</v>
      </c>
      <c r="K109" s="28">
        <v>31.4</v>
      </c>
      <c r="L109" s="28">
        <v>22.3</v>
      </c>
    </row>
    <row r="110" spans="1:12" ht="47.25">
      <c r="A110" s="59">
        <v>103</v>
      </c>
      <c r="B110" s="58" t="s">
        <v>341</v>
      </c>
      <c r="C110" s="28">
        <f t="shared" si="18"/>
        <v>101620.7</v>
      </c>
      <c r="D110" s="28">
        <f t="shared" si="19"/>
        <v>101607.2</v>
      </c>
      <c r="E110" s="28">
        <f t="shared" si="20"/>
        <v>-13.5</v>
      </c>
      <c r="F110" s="28">
        <f t="shared" si="17"/>
        <v>100</v>
      </c>
      <c r="G110" s="28">
        <v>101226.5</v>
      </c>
      <c r="H110" s="28">
        <v>101213</v>
      </c>
      <c r="I110" s="28">
        <v>75356.5</v>
      </c>
      <c r="J110" s="28">
        <v>75348</v>
      </c>
      <c r="K110" s="28">
        <v>394.2</v>
      </c>
      <c r="L110" s="28">
        <v>394.2</v>
      </c>
    </row>
    <row r="111" spans="1:12" ht="47.25">
      <c r="A111" s="59">
        <v>104</v>
      </c>
      <c r="B111" s="64" t="s">
        <v>342</v>
      </c>
      <c r="C111" s="28">
        <f t="shared" si="18"/>
        <v>2598.4</v>
      </c>
      <c r="D111" s="28">
        <f t="shared" si="19"/>
        <v>2598.4</v>
      </c>
      <c r="E111" s="28">
        <f t="shared" si="20"/>
        <v>0</v>
      </c>
      <c r="F111" s="28">
        <f t="shared" si="17"/>
        <v>100</v>
      </c>
      <c r="G111" s="28">
        <v>2569.4</v>
      </c>
      <c r="H111" s="28">
        <v>2569.4</v>
      </c>
      <c r="I111" s="28">
        <v>1388.8</v>
      </c>
      <c r="J111" s="28">
        <v>1388.8</v>
      </c>
      <c r="K111" s="28">
        <v>29</v>
      </c>
      <c r="L111" s="28">
        <v>29</v>
      </c>
    </row>
    <row r="112" spans="1:12" ht="63">
      <c r="A112" s="59">
        <v>105</v>
      </c>
      <c r="B112" s="64" t="s">
        <v>343</v>
      </c>
      <c r="C112" s="28">
        <f t="shared" si="18"/>
        <v>63.4</v>
      </c>
      <c r="D112" s="28">
        <f t="shared" si="19"/>
        <v>63.4</v>
      </c>
      <c r="E112" s="28">
        <f t="shared" si="20"/>
        <v>0</v>
      </c>
      <c r="F112" s="28">
        <f t="shared" si="17"/>
        <v>100</v>
      </c>
      <c r="G112" s="28">
        <v>63.4</v>
      </c>
      <c r="H112" s="28">
        <v>63.4</v>
      </c>
      <c r="I112" s="28">
        <v>17.2</v>
      </c>
      <c r="J112" s="28">
        <v>17.2</v>
      </c>
      <c r="K112" s="28"/>
      <c r="L112" s="28"/>
    </row>
    <row r="113" spans="1:12" ht="31.5">
      <c r="A113" s="59">
        <v>106</v>
      </c>
      <c r="B113" s="58" t="s">
        <v>102</v>
      </c>
      <c r="C113" s="28">
        <f t="shared" si="18"/>
        <v>16732.7</v>
      </c>
      <c r="D113" s="28">
        <f t="shared" si="19"/>
        <v>15692.6</v>
      </c>
      <c r="E113" s="28">
        <f t="shared" si="20"/>
        <v>-1040.1</v>
      </c>
      <c r="F113" s="28">
        <f t="shared" si="17"/>
        <v>93.8</v>
      </c>
      <c r="G113" s="28">
        <v>16603.7</v>
      </c>
      <c r="H113" s="28">
        <f>14355.7+1078.2</f>
        <v>15433.9</v>
      </c>
      <c r="I113" s="28">
        <v>3020.4</v>
      </c>
      <c r="J113" s="28">
        <f>2663.5+275.2</f>
        <v>2938.7</v>
      </c>
      <c r="K113" s="28">
        <v>129</v>
      </c>
      <c r="L113" s="28">
        <f>121.9+136.8</f>
        <v>258.7</v>
      </c>
    </row>
    <row r="114" spans="1:12" ht="31.5">
      <c r="A114" s="59">
        <v>107</v>
      </c>
      <c r="B114" s="56" t="s">
        <v>66</v>
      </c>
      <c r="C114" s="27">
        <f>+C116+C117</f>
        <v>14818.2</v>
      </c>
      <c r="D114" s="27">
        <f>+D116+D117</f>
        <v>14718.9</v>
      </c>
      <c r="E114" s="27">
        <f>+E116+E117</f>
        <v>-99.3</v>
      </c>
      <c r="F114" s="27">
        <f t="shared" si="17"/>
        <v>99.3</v>
      </c>
      <c r="G114" s="27">
        <f aca="true" t="shared" si="30" ref="G114:L114">+G116+G117</f>
        <v>14617.8</v>
      </c>
      <c r="H114" s="27">
        <f t="shared" si="30"/>
        <v>14521.5</v>
      </c>
      <c r="I114" s="27">
        <f t="shared" si="30"/>
        <v>7375.9</v>
      </c>
      <c r="J114" s="27">
        <f t="shared" si="30"/>
        <v>7366.6</v>
      </c>
      <c r="K114" s="27">
        <f t="shared" si="30"/>
        <v>200.4</v>
      </c>
      <c r="L114" s="27">
        <f t="shared" si="30"/>
        <v>197.4</v>
      </c>
    </row>
    <row r="115" spans="1:12" ht="15.75">
      <c r="A115" s="59">
        <v>108</v>
      </c>
      <c r="B115" s="61" t="s">
        <v>14</v>
      </c>
      <c r="C115" s="28">
        <f t="shared" si="18"/>
        <v>0</v>
      </c>
      <c r="D115" s="28">
        <f t="shared" si="19"/>
        <v>0</v>
      </c>
      <c r="E115" s="28">
        <f t="shared" si="20"/>
        <v>0</v>
      </c>
      <c r="F115" s="28"/>
      <c r="G115" s="28"/>
      <c r="H115" s="28"/>
      <c r="I115" s="28"/>
      <c r="J115" s="28"/>
      <c r="K115" s="28"/>
      <c r="L115" s="28"/>
    </row>
    <row r="116" spans="1:12" ht="31.5">
      <c r="A116" s="59">
        <v>109</v>
      </c>
      <c r="B116" s="57" t="s">
        <v>105</v>
      </c>
      <c r="C116" s="28">
        <f t="shared" si="18"/>
        <v>14061.6</v>
      </c>
      <c r="D116" s="28">
        <f t="shared" si="19"/>
        <v>13939.4</v>
      </c>
      <c r="E116" s="28">
        <f t="shared" si="20"/>
        <v>-122.2</v>
      </c>
      <c r="F116" s="28">
        <f t="shared" si="17"/>
        <v>99.1</v>
      </c>
      <c r="G116" s="28">
        <f>2438.3+11506.4</f>
        <v>13944.7</v>
      </c>
      <c r="H116" s="28">
        <f>2357.8+11447.4+17.3</f>
        <v>13822.5</v>
      </c>
      <c r="I116" s="28">
        <f>40.9+7335</f>
        <v>7375.9</v>
      </c>
      <c r="J116" s="28">
        <f>31.6+7335</f>
        <v>7366.6</v>
      </c>
      <c r="K116" s="28">
        <f>113+3.9</f>
        <v>116.9</v>
      </c>
      <c r="L116" s="28">
        <f>113+3.9</f>
        <v>116.9</v>
      </c>
    </row>
    <row r="117" spans="1:12" ht="31.5">
      <c r="A117" s="59">
        <v>110</v>
      </c>
      <c r="B117" s="58" t="s">
        <v>106</v>
      </c>
      <c r="C117" s="28">
        <f t="shared" si="18"/>
        <v>756.6</v>
      </c>
      <c r="D117" s="28">
        <f t="shared" si="19"/>
        <v>779.5</v>
      </c>
      <c r="E117" s="28">
        <f t="shared" si="20"/>
        <v>22.9</v>
      </c>
      <c r="F117" s="28">
        <f t="shared" si="17"/>
        <v>103</v>
      </c>
      <c r="G117" s="28">
        <f>235.5+404.2+33.4</f>
        <v>673.1</v>
      </c>
      <c r="H117" s="28">
        <f>258.3+407+33.7</f>
        <v>699</v>
      </c>
      <c r="I117" s="28"/>
      <c r="J117" s="28"/>
      <c r="K117" s="28">
        <f>63.5+20</f>
        <v>83.5</v>
      </c>
      <c r="L117" s="28">
        <f>71.5+9</f>
        <v>80.5</v>
      </c>
    </row>
    <row r="118" spans="1:12" ht="15.75">
      <c r="A118" s="59">
        <v>111</v>
      </c>
      <c r="B118" s="60" t="s">
        <v>12</v>
      </c>
      <c r="C118" s="27">
        <f>+C119+C131+C138</f>
        <v>54276.5</v>
      </c>
      <c r="D118" s="27">
        <f>+D119+D131+D138</f>
        <v>53953.7</v>
      </c>
      <c r="E118" s="27">
        <f>+E119+E131+E138</f>
        <v>-322.8</v>
      </c>
      <c r="F118" s="27">
        <f t="shared" si="17"/>
        <v>99.4</v>
      </c>
      <c r="G118" s="27">
        <f aca="true" t="shared" si="31" ref="G118:L118">+G119+G131+G138</f>
        <v>54169.4</v>
      </c>
      <c r="H118" s="27">
        <f t="shared" si="31"/>
        <v>53847.5</v>
      </c>
      <c r="I118" s="27">
        <f t="shared" si="31"/>
        <v>11339.9</v>
      </c>
      <c r="J118" s="27">
        <f t="shared" si="31"/>
        <v>11212.7</v>
      </c>
      <c r="K118" s="27">
        <f t="shared" si="31"/>
        <v>107.1</v>
      </c>
      <c r="L118" s="27">
        <f t="shared" si="31"/>
        <v>106.2</v>
      </c>
    </row>
    <row r="119" spans="1:12" ht="15.75">
      <c r="A119" s="59">
        <v>112</v>
      </c>
      <c r="B119" s="60" t="s">
        <v>67</v>
      </c>
      <c r="C119" s="27">
        <f>+C121+C122+C127+C128+C129+C130</f>
        <v>48299.7</v>
      </c>
      <c r="D119" s="27">
        <f aca="true" t="shared" si="32" ref="D119:L119">+D121+D122+D127+D128+D129+D130</f>
        <v>47910.7</v>
      </c>
      <c r="E119" s="27">
        <f t="shared" si="32"/>
        <v>-389</v>
      </c>
      <c r="F119" s="27">
        <f t="shared" si="17"/>
        <v>99.2</v>
      </c>
      <c r="G119" s="27">
        <f t="shared" si="32"/>
        <v>48192.6</v>
      </c>
      <c r="H119" s="27">
        <f t="shared" si="32"/>
        <v>47804.5</v>
      </c>
      <c r="I119" s="27">
        <f t="shared" si="32"/>
        <v>7747.6</v>
      </c>
      <c r="J119" s="27">
        <f t="shared" si="32"/>
        <v>7620.4</v>
      </c>
      <c r="K119" s="27">
        <f t="shared" si="32"/>
        <v>107.1</v>
      </c>
      <c r="L119" s="27">
        <f t="shared" si="32"/>
        <v>106.2</v>
      </c>
    </row>
    <row r="120" spans="1:12" ht="15.75">
      <c r="A120" s="59">
        <v>113</v>
      </c>
      <c r="B120" s="61" t="s">
        <v>14</v>
      </c>
      <c r="C120" s="28">
        <f t="shared" si="18"/>
        <v>0</v>
      </c>
      <c r="D120" s="28">
        <f t="shared" si="19"/>
        <v>0</v>
      </c>
      <c r="E120" s="28">
        <f t="shared" si="20"/>
        <v>0</v>
      </c>
      <c r="F120" s="28"/>
      <c r="G120" s="28"/>
      <c r="H120" s="28"/>
      <c r="I120" s="28"/>
      <c r="J120" s="28"/>
      <c r="K120" s="28"/>
      <c r="L120" s="28"/>
    </row>
    <row r="121" spans="1:12" ht="31.5">
      <c r="A121" s="59">
        <v>114</v>
      </c>
      <c r="B121" s="57" t="s">
        <v>108</v>
      </c>
      <c r="C121" s="28">
        <f t="shared" si="18"/>
        <v>9745.2</v>
      </c>
      <c r="D121" s="28">
        <f t="shared" si="19"/>
        <v>9482.5</v>
      </c>
      <c r="E121" s="28">
        <f t="shared" si="20"/>
        <v>-262.7</v>
      </c>
      <c r="F121" s="28">
        <f t="shared" si="17"/>
        <v>97.3</v>
      </c>
      <c r="G121" s="28">
        <f>6892.2+5062.6-2300</f>
        <v>9654.8</v>
      </c>
      <c r="H121" s="28">
        <f>6762.9+5321.7-210.6-2481.3</f>
        <v>9392.7</v>
      </c>
      <c r="I121" s="28">
        <v>4460.5</v>
      </c>
      <c r="J121" s="28">
        <v>4380.4</v>
      </c>
      <c r="K121" s="28">
        <v>90.4</v>
      </c>
      <c r="L121" s="28">
        <v>89.8</v>
      </c>
    </row>
    <row r="122" spans="1:12" ht="63">
      <c r="A122" s="59">
        <v>115</v>
      </c>
      <c r="B122" s="64" t="s">
        <v>344</v>
      </c>
      <c r="C122" s="28">
        <f>+C124+C125+C126</f>
        <v>31983.9</v>
      </c>
      <c r="D122" s="28">
        <f aca="true" t="shared" si="33" ref="D122:L122">+D124+D125+D126</f>
        <v>31590.8</v>
      </c>
      <c r="E122" s="28">
        <f t="shared" si="33"/>
        <v>-393.1</v>
      </c>
      <c r="F122" s="28">
        <f t="shared" si="17"/>
        <v>98.8</v>
      </c>
      <c r="G122" s="28">
        <f t="shared" si="33"/>
        <v>31983.9</v>
      </c>
      <c r="H122" s="28">
        <f t="shared" si="33"/>
        <v>31590.8</v>
      </c>
      <c r="I122" s="28">
        <f t="shared" si="33"/>
        <v>1318.2</v>
      </c>
      <c r="J122" s="28">
        <f t="shared" si="33"/>
        <v>1318.1</v>
      </c>
      <c r="K122" s="28">
        <f t="shared" si="33"/>
        <v>0</v>
      </c>
      <c r="L122" s="28">
        <f t="shared" si="33"/>
        <v>0</v>
      </c>
    </row>
    <row r="123" spans="1:12" ht="15.75">
      <c r="A123" s="59">
        <v>116</v>
      </c>
      <c r="B123" s="61" t="s">
        <v>14</v>
      </c>
      <c r="C123" s="28">
        <f t="shared" si="18"/>
        <v>0</v>
      </c>
      <c r="D123" s="28">
        <f t="shared" si="19"/>
        <v>0</v>
      </c>
      <c r="E123" s="28">
        <f t="shared" si="20"/>
        <v>0</v>
      </c>
      <c r="F123" s="28"/>
      <c r="G123" s="28"/>
      <c r="H123" s="28"/>
      <c r="I123" s="28"/>
      <c r="J123" s="28"/>
      <c r="K123" s="28"/>
      <c r="L123" s="28"/>
    </row>
    <row r="124" spans="1:12" ht="15.75">
      <c r="A124" s="59">
        <v>117</v>
      </c>
      <c r="B124" s="58" t="s">
        <v>69</v>
      </c>
      <c r="C124" s="28">
        <f t="shared" si="18"/>
        <v>3788.4</v>
      </c>
      <c r="D124" s="28">
        <f t="shared" si="19"/>
        <v>3787.5</v>
      </c>
      <c r="E124" s="28">
        <f t="shared" si="20"/>
        <v>-0.9</v>
      </c>
      <c r="F124" s="28">
        <f t="shared" si="17"/>
        <v>100</v>
      </c>
      <c r="G124" s="28">
        <v>3788.4</v>
      </c>
      <c r="H124" s="28">
        <v>3787.5</v>
      </c>
      <c r="I124" s="28">
        <v>1318.2</v>
      </c>
      <c r="J124" s="28">
        <v>1318.1</v>
      </c>
      <c r="K124" s="28"/>
      <c r="L124" s="28"/>
    </row>
    <row r="125" spans="1:12" ht="31.5">
      <c r="A125" s="59">
        <v>118</v>
      </c>
      <c r="B125" s="58" t="s">
        <v>70</v>
      </c>
      <c r="C125" s="28">
        <f t="shared" si="18"/>
        <v>25449.7</v>
      </c>
      <c r="D125" s="28">
        <f t="shared" si="19"/>
        <v>25255.1</v>
      </c>
      <c r="E125" s="28">
        <f t="shared" si="20"/>
        <v>-194.6</v>
      </c>
      <c r="F125" s="28">
        <f t="shared" si="17"/>
        <v>99.2</v>
      </c>
      <c r="G125" s="28">
        <v>25449.7</v>
      </c>
      <c r="H125" s="28">
        <f>25321.2-66.1</f>
        <v>25255.1</v>
      </c>
      <c r="I125" s="28"/>
      <c r="J125" s="28"/>
      <c r="K125" s="28"/>
      <c r="L125" s="28"/>
    </row>
    <row r="126" spans="1:12" ht="15.75">
      <c r="A126" s="59">
        <v>119</v>
      </c>
      <c r="B126" s="58" t="s">
        <v>71</v>
      </c>
      <c r="C126" s="28">
        <f t="shared" si="18"/>
        <v>2745.8</v>
      </c>
      <c r="D126" s="28">
        <f t="shared" si="19"/>
        <v>2548.2</v>
      </c>
      <c r="E126" s="28">
        <f t="shared" si="20"/>
        <v>-197.6</v>
      </c>
      <c r="F126" s="28">
        <f t="shared" si="17"/>
        <v>92.8</v>
      </c>
      <c r="G126" s="28">
        <v>2745.8</v>
      </c>
      <c r="H126" s="28">
        <f>2548.4-0.2</f>
        <v>2548.2</v>
      </c>
      <c r="I126" s="28"/>
      <c r="J126" s="28"/>
      <c r="K126" s="28"/>
      <c r="L126" s="28"/>
    </row>
    <row r="127" spans="1:12" ht="47.25">
      <c r="A127" s="59">
        <v>120</v>
      </c>
      <c r="B127" s="64" t="s">
        <v>345</v>
      </c>
      <c r="C127" s="28">
        <f t="shared" si="18"/>
        <v>2611</v>
      </c>
      <c r="D127" s="28">
        <f t="shared" si="19"/>
        <v>2572.8</v>
      </c>
      <c r="E127" s="28">
        <f t="shared" si="20"/>
        <v>-38.2</v>
      </c>
      <c r="F127" s="28">
        <f t="shared" si="17"/>
        <v>98.5</v>
      </c>
      <c r="G127" s="28">
        <v>2611</v>
      </c>
      <c r="H127" s="28">
        <v>2572.8</v>
      </c>
      <c r="I127" s="28">
        <v>1383.5</v>
      </c>
      <c r="J127" s="28">
        <v>1383.5</v>
      </c>
      <c r="K127" s="28"/>
      <c r="L127" s="28"/>
    </row>
    <row r="128" spans="1:12" ht="47.25">
      <c r="A128" s="59">
        <v>121</v>
      </c>
      <c r="B128" s="6" t="s">
        <v>257</v>
      </c>
      <c r="C128" s="28">
        <f t="shared" si="18"/>
        <v>66.1</v>
      </c>
      <c r="D128" s="28">
        <f t="shared" si="19"/>
        <v>66.1</v>
      </c>
      <c r="E128" s="28">
        <f t="shared" si="20"/>
        <v>0</v>
      </c>
      <c r="F128" s="28">
        <f t="shared" si="17"/>
        <v>100</v>
      </c>
      <c r="G128" s="28">
        <v>66.1</v>
      </c>
      <c r="H128" s="28">
        <v>66.1</v>
      </c>
      <c r="I128" s="28"/>
      <c r="J128" s="28"/>
      <c r="K128" s="28"/>
      <c r="L128" s="28"/>
    </row>
    <row r="129" spans="1:12" ht="31.5">
      <c r="A129" s="59">
        <v>122</v>
      </c>
      <c r="B129" s="58" t="s">
        <v>107</v>
      </c>
      <c r="C129" s="28">
        <f t="shared" si="18"/>
        <v>1593.5</v>
      </c>
      <c r="D129" s="28">
        <f t="shared" si="19"/>
        <v>1506.6</v>
      </c>
      <c r="E129" s="28">
        <f t="shared" si="20"/>
        <v>-86.9</v>
      </c>
      <c r="F129" s="28">
        <f t="shared" si="17"/>
        <v>94.5</v>
      </c>
      <c r="G129" s="28">
        <f>252.5+1324.3</f>
        <v>1576.8</v>
      </c>
      <c r="H129" s="28">
        <f>228.8+1261.4</f>
        <v>1490.2</v>
      </c>
      <c r="I129" s="28">
        <f>74.8+510.6</f>
        <v>585.4</v>
      </c>
      <c r="J129" s="28">
        <f>67.3+471.1</f>
        <v>538.4</v>
      </c>
      <c r="K129" s="28">
        <f>9.3+7.4</f>
        <v>16.7</v>
      </c>
      <c r="L129" s="28">
        <f>9.3+7.1</f>
        <v>16.4</v>
      </c>
    </row>
    <row r="130" spans="1:12" ht="47.25">
      <c r="A130" s="59">
        <v>123</v>
      </c>
      <c r="B130" s="58" t="s">
        <v>346</v>
      </c>
      <c r="C130" s="28">
        <f t="shared" si="18"/>
        <v>2300</v>
      </c>
      <c r="D130" s="28">
        <f t="shared" si="19"/>
        <v>2691.9</v>
      </c>
      <c r="E130" s="28">
        <f t="shared" si="20"/>
        <v>391.9</v>
      </c>
      <c r="F130" s="28">
        <f t="shared" si="17"/>
        <v>117</v>
      </c>
      <c r="G130" s="28">
        <f>160+2140</f>
        <v>2300</v>
      </c>
      <c r="H130" s="28">
        <f>210.6+2481.3</f>
        <v>2691.9</v>
      </c>
      <c r="I130" s="28"/>
      <c r="J130" s="28"/>
      <c r="K130" s="28"/>
      <c r="L130" s="28"/>
    </row>
    <row r="131" spans="1:12" ht="15.75">
      <c r="A131" s="59">
        <v>124</v>
      </c>
      <c r="B131" s="60" t="s">
        <v>249</v>
      </c>
      <c r="C131" s="27">
        <f>+C133+C134+C135+C136+C137</f>
        <v>5924</v>
      </c>
      <c r="D131" s="27">
        <f aca="true" t="shared" si="34" ref="D131:L131">+D133+D134+D135+D136+D137</f>
        <v>6002.2</v>
      </c>
      <c r="E131" s="27">
        <f t="shared" si="34"/>
        <v>78.2</v>
      </c>
      <c r="F131" s="27">
        <f t="shared" si="17"/>
        <v>101.3</v>
      </c>
      <c r="G131" s="27">
        <f t="shared" si="34"/>
        <v>5924</v>
      </c>
      <c r="H131" s="27">
        <f t="shared" si="34"/>
        <v>6002.2</v>
      </c>
      <c r="I131" s="27">
        <f t="shared" si="34"/>
        <v>3571.2</v>
      </c>
      <c r="J131" s="27">
        <f t="shared" si="34"/>
        <v>3571.2</v>
      </c>
      <c r="K131" s="27">
        <f t="shared" si="34"/>
        <v>0</v>
      </c>
      <c r="L131" s="27">
        <f t="shared" si="34"/>
        <v>0</v>
      </c>
    </row>
    <row r="132" spans="1:12" ht="15.75">
      <c r="A132" s="59">
        <v>125</v>
      </c>
      <c r="B132" s="61" t="s">
        <v>14</v>
      </c>
      <c r="C132" s="28">
        <f t="shared" si="18"/>
        <v>0</v>
      </c>
      <c r="D132" s="28">
        <f t="shared" si="19"/>
        <v>0</v>
      </c>
      <c r="E132" s="28">
        <f t="shared" si="20"/>
        <v>0</v>
      </c>
      <c r="F132" s="28"/>
      <c r="G132" s="28"/>
      <c r="H132" s="28"/>
      <c r="I132" s="28"/>
      <c r="J132" s="28"/>
      <c r="K132" s="28"/>
      <c r="L132" s="28"/>
    </row>
    <row r="133" spans="1:12" ht="31.5">
      <c r="A133" s="59">
        <v>126</v>
      </c>
      <c r="B133" s="57" t="s">
        <v>250</v>
      </c>
      <c r="C133" s="28">
        <f t="shared" si="18"/>
        <v>513.7</v>
      </c>
      <c r="D133" s="28">
        <f t="shared" si="19"/>
        <v>506.9</v>
      </c>
      <c r="E133" s="28">
        <f t="shared" si="20"/>
        <v>-6.8</v>
      </c>
      <c r="F133" s="28">
        <f t="shared" si="17"/>
        <v>98.7</v>
      </c>
      <c r="G133" s="28">
        <f>7.5+164.6+341.6</f>
        <v>513.7</v>
      </c>
      <c r="H133" s="28">
        <f>7.4+164.5+335</f>
        <v>506.9</v>
      </c>
      <c r="I133" s="28">
        <f>5.7+125.6+186.3</f>
        <v>317.6</v>
      </c>
      <c r="J133" s="28">
        <f>5.7+125.6+186.3</f>
        <v>317.6</v>
      </c>
      <c r="K133" s="28"/>
      <c r="L133" s="28"/>
    </row>
    <row r="134" spans="1:12" ht="47.25">
      <c r="A134" s="59">
        <v>127</v>
      </c>
      <c r="B134" s="64" t="s">
        <v>347</v>
      </c>
      <c r="C134" s="28">
        <f t="shared" si="18"/>
        <v>4925.5</v>
      </c>
      <c r="D134" s="28">
        <f t="shared" si="19"/>
        <v>4925.5</v>
      </c>
      <c r="E134" s="28">
        <f t="shared" si="20"/>
        <v>0</v>
      </c>
      <c r="F134" s="28">
        <f t="shared" si="17"/>
        <v>100</v>
      </c>
      <c r="G134" s="28">
        <v>4925.5</v>
      </c>
      <c r="H134" s="28">
        <v>4925.5</v>
      </c>
      <c r="I134" s="28">
        <v>3253.6</v>
      </c>
      <c r="J134" s="28">
        <v>3253.6</v>
      </c>
      <c r="K134" s="28"/>
      <c r="L134" s="28"/>
    </row>
    <row r="135" spans="1:12" ht="31.5">
      <c r="A135" s="59">
        <v>128</v>
      </c>
      <c r="B135" s="58" t="s">
        <v>251</v>
      </c>
      <c r="C135" s="28">
        <f t="shared" si="18"/>
        <v>150</v>
      </c>
      <c r="D135" s="28">
        <f t="shared" si="19"/>
        <v>167</v>
      </c>
      <c r="E135" s="28">
        <f t="shared" si="20"/>
        <v>17</v>
      </c>
      <c r="F135" s="28">
        <f t="shared" si="17"/>
        <v>111.3</v>
      </c>
      <c r="G135" s="28">
        <v>150</v>
      </c>
      <c r="H135" s="28">
        <v>167</v>
      </c>
      <c r="I135" s="28"/>
      <c r="J135" s="28"/>
      <c r="K135" s="28"/>
      <c r="L135" s="28"/>
    </row>
    <row r="136" spans="1:12" ht="31.5">
      <c r="A136" s="59">
        <v>129</v>
      </c>
      <c r="B136" s="58" t="s">
        <v>68</v>
      </c>
      <c r="C136" s="28">
        <f t="shared" si="18"/>
        <v>298</v>
      </c>
      <c r="D136" s="28">
        <f t="shared" si="19"/>
        <v>366</v>
      </c>
      <c r="E136" s="28">
        <f t="shared" si="20"/>
        <v>68</v>
      </c>
      <c r="F136" s="28">
        <f t="shared" si="17"/>
        <v>122.8</v>
      </c>
      <c r="G136" s="28">
        <v>298</v>
      </c>
      <c r="H136" s="28">
        <v>366</v>
      </c>
      <c r="I136" s="28"/>
      <c r="J136" s="28"/>
      <c r="K136" s="28"/>
      <c r="L136" s="28"/>
    </row>
    <row r="137" spans="1:12" ht="31.5">
      <c r="A137" s="59">
        <v>130</v>
      </c>
      <c r="B137" s="57" t="s">
        <v>109</v>
      </c>
      <c r="C137" s="28">
        <f aca="true" t="shared" si="35" ref="C137:D140">+G137+K137</f>
        <v>36.8</v>
      </c>
      <c r="D137" s="28">
        <f t="shared" si="35"/>
        <v>36.8</v>
      </c>
      <c r="E137" s="28">
        <f>+D137-C137</f>
        <v>0</v>
      </c>
      <c r="F137" s="28">
        <f>+D137/C137*100</f>
        <v>100</v>
      </c>
      <c r="G137" s="28">
        <v>36.8</v>
      </c>
      <c r="H137" s="28">
        <v>36.8</v>
      </c>
      <c r="I137" s="28"/>
      <c r="J137" s="28"/>
      <c r="K137" s="28"/>
      <c r="L137" s="28"/>
    </row>
    <row r="138" spans="1:12" ht="47.25">
      <c r="A138" s="59">
        <v>131</v>
      </c>
      <c r="B138" s="56" t="s">
        <v>348</v>
      </c>
      <c r="C138" s="27">
        <f t="shared" si="35"/>
        <v>52.8</v>
      </c>
      <c r="D138" s="27">
        <f t="shared" si="35"/>
        <v>40.8</v>
      </c>
      <c r="E138" s="27">
        <f>+D138-C138</f>
        <v>-12</v>
      </c>
      <c r="F138" s="27">
        <f>+D138/C138*100</f>
        <v>77.3</v>
      </c>
      <c r="G138" s="27">
        <v>52.8</v>
      </c>
      <c r="H138" s="27">
        <v>40.8</v>
      </c>
      <c r="I138" s="27">
        <v>21.1</v>
      </c>
      <c r="J138" s="27">
        <v>21.1</v>
      </c>
      <c r="K138" s="27"/>
      <c r="L138" s="27"/>
    </row>
    <row r="139" spans="1:12" ht="15.75">
      <c r="A139" s="59">
        <v>132</v>
      </c>
      <c r="B139" s="60" t="s">
        <v>72</v>
      </c>
      <c r="C139" s="27">
        <f>+C8+C10+C42+C86+C88+C102+C118</f>
        <v>387294.3</v>
      </c>
      <c r="D139" s="27">
        <f aca="true" t="shared" si="36" ref="D139:L139">+D8+D10+D42+D86+D88+D102+D118</f>
        <v>382832.6</v>
      </c>
      <c r="E139" s="27">
        <f t="shared" si="36"/>
        <v>-4461.7</v>
      </c>
      <c r="F139" s="27">
        <f>+D139/C139*100</f>
        <v>98.8</v>
      </c>
      <c r="G139" s="27">
        <f t="shared" si="36"/>
        <v>361135.3</v>
      </c>
      <c r="H139" s="27">
        <f t="shared" si="36"/>
        <v>360384.8</v>
      </c>
      <c r="I139" s="27">
        <f t="shared" si="36"/>
        <v>162026.4</v>
      </c>
      <c r="J139" s="27">
        <f t="shared" si="36"/>
        <v>161651.7</v>
      </c>
      <c r="K139" s="27">
        <f t="shared" si="36"/>
        <v>26159</v>
      </c>
      <c r="L139" s="27">
        <f t="shared" si="36"/>
        <v>22447.8</v>
      </c>
    </row>
    <row r="140" spans="1:12" ht="15.75">
      <c r="A140" s="59">
        <v>133</v>
      </c>
      <c r="B140" s="61" t="s">
        <v>14</v>
      </c>
      <c r="C140" s="28">
        <f t="shared" si="35"/>
        <v>0</v>
      </c>
      <c r="D140" s="28">
        <f t="shared" si="35"/>
        <v>0</v>
      </c>
      <c r="E140" s="28">
        <f>+D140-C140</f>
        <v>0</v>
      </c>
      <c r="F140" s="28"/>
      <c r="G140" s="28"/>
      <c r="H140" s="28"/>
      <c r="I140" s="28"/>
      <c r="J140" s="28"/>
      <c r="K140" s="28"/>
      <c r="L140" s="28"/>
    </row>
    <row r="141" spans="1:12" ht="31.5">
      <c r="A141" s="59">
        <v>134</v>
      </c>
      <c r="B141" s="58" t="s">
        <v>349</v>
      </c>
      <c r="C141" s="28">
        <f>+C18+C47+C71+C80+C85+C110+C111+C112+C122+C127+C128+C134+C40</f>
        <v>149728.7</v>
      </c>
      <c r="D141" s="28">
        <f aca="true" t="shared" si="37" ref="D141:L141">+D18+D47+D71+D80+D85+D110+D111+D112+D122+D127+D128+D134+D40</f>
        <v>149114.6</v>
      </c>
      <c r="E141" s="28">
        <f t="shared" si="37"/>
        <v>-614.1</v>
      </c>
      <c r="F141" s="28">
        <f>+D141/C141*100</f>
        <v>99.6</v>
      </c>
      <c r="G141" s="28">
        <f t="shared" si="37"/>
        <v>147457.7</v>
      </c>
      <c r="H141" s="28">
        <f t="shared" si="37"/>
        <v>146844.5</v>
      </c>
      <c r="I141" s="28">
        <f t="shared" si="37"/>
        <v>84552.5</v>
      </c>
      <c r="J141" s="28">
        <f t="shared" si="37"/>
        <v>84491.8</v>
      </c>
      <c r="K141" s="28">
        <f t="shared" si="37"/>
        <v>2271</v>
      </c>
      <c r="L141" s="28">
        <f t="shared" si="37"/>
        <v>2270.1</v>
      </c>
    </row>
    <row r="143" spans="2:6" ht="15">
      <c r="B143" s="23"/>
      <c r="C143" s="23"/>
      <c r="D143" s="23"/>
      <c r="E143" s="23"/>
      <c r="F143" s="23"/>
    </row>
  </sheetData>
  <sheetProtection/>
  <autoFilter ref="B2:B141"/>
  <mergeCells count="14">
    <mergeCell ref="G3:L3"/>
    <mergeCell ref="G4:J4"/>
    <mergeCell ref="K4:L4"/>
    <mergeCell ref="G5:G6"/>
    <mergeCell ref="H5:H6"/>
    <mergeCell ref="I5:J5"/>
    <mergeCell ref="K5:K6"/>
    <mergeCell ref="L5:L6"/>
    <mergeCell ref="A3:A6"/>
    <mergeCell ref="B3:B6"/>
    <mergeCell ref="C3:C6"/>
    <mergeCell ref="D3:D6"/>
    <mergeCell ref="E3:E6"/>
    <mergeCell ref="F3:F6"/>
  </mergeCells>
  <printOptions/>
  <pageMargins left="0.5511811023622047" right="0.35433070866141736" top="0.1968503937007874" bottom="0.1968503937007874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8"/>
  <sheetViews>
    <sheetView showZeros="0" zoomScale="87" zoomScaleNormal="87" zoomScalePageLayoutView="0" workbookViewId="0" topLeftCell="A1">
      <pane xSplit="2" ySplit="13" topLeftCell="C4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V36" sqref="V36"/>
    </sheetView>
  </sheetViews>
  <sheetFormatPr defaultColWidth="10.140625" defaultRowHeight="12.75"/>
  <cols>
    <col min="1" max="1" width="5.28125" style="0" customWidth="1"/>
    <col min="2" max="2" width="23.00390625" style="0" customWidth="1"/>
    <col min="3" max="3" width="18.00390625" style="0" customWidth="1"/>
    <col min="4" max="4" width="12.00390625" style="0" hidden="1" customWidth="1"/>
    <col min="5" max="5" width="11.00390625" style="0" hidden="1" customWidth="1"/>
    <col min="6" max="6" width="10.8515625" style="0" hidden="1" customWidth="1"/>
    <col min="7" max="7" width="9.00390625" style="0" hidden="1" customWidth="1"/>
    <col min="8" max="8" width="12.00390625" style="0" hidden="1" customWidth="1"/>
    <col min="9" max="9" width="11.00390625" style="0" hidden="1" customWidth="1"/>
    <col min="10" max="10" width="10.8515625" style="0" hidden="1" customWidth="1"/>
    <col min="11" max="11" width="9.00390625" style="0" hidden="1" customWidth="1"/>
    <col min="12" max="12" width="12.00390625" style="0" hidden="1" customWidth="1"/>
    <col min="13" max="13" width="11.00390625" style="0" hidden="1" customWidth="1"/>
    <col min="14" max="14" width="10.8515625" style="0" hidden="1" customWidth="1"/>
    <col min="15" max="15" width="9.00390625" style="0" hidden="1" customWidth="1"/>
    <col min="16" max="16" width="12.00390625" style="0" hidden="1" customWidth="1"/>
    <col min="17" max="17" width="11.00390625" style="0" hidden="1" customWidth="1"/>
    <col min="18" max="18" width="10.8515625" style="0" hidden="1" customWidth="1"/>
    <col min="19" max="19" width="9.00390625" style="0" hidden="1" customWidth="1"/>
    <col min="20" max="21" width="11.00390625" style="0" bestFit="1" customWidth="1"/>
    <col min="22" max="22" width="11.57421875" style="0" customWidth="1"/>
    <col min="23" max="23" width="9.140625" style="0" customWidth="1"/>
    <col min="24" max="27" width="11.00390625" style="0" bestFit="1" customWidth="1"/>
    <col min="28" max="29" width="10.28125" style="0" bestFit="1" customWidth="1"/>
  </cols>
  <sheetData>
    <row r="1" spans="1:26" ht="18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Y1" s="1" t="s">
        <v>270</v>
      </c>
      <c r="Z1" s="1"/>
    </row>
    <row r="2" spans="1:26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Y2" s="1" t="s">
        <v>350</v>
      </c>
      <c r="Z2" s="1"/>
    </row>
    <row r="3" spans="1:26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Y3" s="1" t="s">
        <v>281</v>
      </c>
      <c r="Z3" s="1"/>
    </row>
    <row r="4" spans="1:19" ht="12" customHeight="1">
      <c r="A4" s="1"/>
      <c r="B4" s="1"/>
      <c r="C4" s="106" t="s">
        <v>261</v>
      </c>
      <c r="D4" s="106"/>
      <c r="E4" s="106"/>
      <c r="F4" s="10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8" customHeight="1">
      <c r="A5" s="1"/>
      <c r="B5" s="1"/>
      <c r="C5" s="106"/>
      <c r="D5" s="106"/>
      <c r="E5" s="106"/>
      <c r="F5" s="10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9" ht="21" customHeight="1">
      <c r="A6" s="1"/>
      <c r="B6" s="107" t="s">
        <v>351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</row>
    <row r="7" spans="1:19" ht="28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28" ht="15.75">
      <c r="A8" s="1"/>
      <c r="B8" s="14"/>
      <c r="C8" s="1"/>
      <c r="D8" s="17"/>
      <c r="E8" s="17"/>
      <c r="F8" s="1"/>
      <c r="G8" s="17"/>
      <c r="H8" s="17"/>
      <c r="I8" s="17"/>
      <c r="J8" s="1"/>
      <c r="K8" s="17"/>
      <c r="L8" s="17"/>
      <c r="M8" s="17"/>
      <c r="N8" s="1" t="s">
        <v>74</v>
      </c>
      <c r="O8" s="17"/>
      <c r="P8" s="17"/>
      <c r="Q8" s="17"/>
      <c r="R8" s="1"/>
      <c r="S8" s="17"/>
      <c r="AB8" s="43" t="s">
        <v>13</v>
      </c>
    </row>
    <row r="9" spans="1:29" ht="15.75" customHeight="1">
      <c r="A9" s="103" t="s">
        <v>1</v>
      </c>
      <c r="B9" s="104" t="s">
        <v>130</v>
      </c>
      <c r="C9" s="104" t="s">
        <v>131</v>
      </c>
      <c r="D9" s="109" t="s">
        <v>258</v>
      </c>
      <c r="E9" s="109"/>
      <c r="F9" s="109"/>
      <c r="G9" s="109"/>
      <c r="H9" s="110" t="s">
        <v>259</v>
      </c>
      <c r="I9" s="111"/>
      <c r="J9" s="111"/>
      <c r="K9" s="111"/>
      <c r="L9" s="112" t="s">
        <v>260</v>
      </c>
      <c r="M9" s="113"/>
      <c r="N9" s="113"/>
      <c r="O9" s="113"/>
      <c r="P9" s="110" t="s">
        <v>262</v>
      </c>
      <c r="Q9" s="111"/>
      <c r="R9" s="111"/>
      <c r="S9" s="111"/>
      <c r="T9" s="104" t="s">
        <v>272</v>
      </c>
      <c r="U9" s="104" t="s">
        <v>273</v>
      </c>
      <c r="V9" s="104" t="s">
        <v>274</v>
      </c>
      <c r="W9" s="114" t="s">
        <v>294</v>
      </c>
      <c r="X9" s="108" t="s">
        <v>275</v>
      </c>
      <c r="Y9" s="108"/>
      <c r="Z9" s="108"/>
      <c r="AA9" s="108"/>
      <c r="AB9" s="108"/>
      <c r="AC9" s="108"/>
    </row>
    <row r="10" spans="1:29" ht="15.75" customHeight="1">
      <c r="A10" s="103"/>
      <c r="B10" s="104"/>
      <c r="C10" s="104"/>
      <c r="D10" s="108" t="s">
        <v>72</v>
      </c>
      <c r="E10" s="108" t="s">
        <v>14</v>
      </c>
      <c r="F10" s="108"/>
      <c r="G10" s="108"/>
      <c r="H10" s="108" t="s">
        <v>72</v>
      </c>
      <c r="I10" s="108" t="s">
        <v>14</v>
      </c>
      <c r="J10" s="108"/>
      <c r="K10" s="108"/>
      <c r="L10" s="108" t="s">
        <v>72</v>
      </c>
      <c r="M10" s="108" t="s">
        <v>14</v>
      </c>
      <c r="N10" s="108"/>
      <c r="O10" s="108"/>
      <c r="P10" s="108" t="s">
        <v>72</v>
      </c>
      <c r="Q10" s="108" t="s">
        <v>14</v>
      </c>
      <c r="R10" s="108"/>
      <c r="S10" s="108"/>
      <c r="T10" s="104"/>
      <c r="U10" s="104"/>
      <c r="V10" s="104"/>
      <c r="W10" s="114"/>
      <c r="X10" s="104" t="s">
        <v>41</v>
      </c>
      <c r="Y10" s="104"/>
      <c r="Z10" s="104"/>
      <c r="AA10" s="104"/>
      <c r="AB10" s="104" t="s">
        <v>42</v>
      </c>
      <c r="AC10" s="104"/>
    </row>
    <row r="11" spans="1:29" ht="15.75" customHeight="1">
      <c r="A11" s="103"/>
      <c r="B11" s="104"/>
      <c r="C11" s="104"/>
      <c r="D11" s="108"/>
      <c r="E11" s="104" t="s">
        <v>41</v>
      </c>
      <c r="F11" s="104"/>
      <c r="G11" s="104" t="s">
        <v>75</v>
      </c>
      <c r="H11" s="108"/>
      <c r="I11" s="104" t="s">
        <v>41</v>
      </c>
      <c r="J11" s="104"/>
      <c r="K11" s="104" t="s">
        <v>75</v>
      </c>
      <c r="L11" s="108"/>
      <c r="M11" s="104" t="s">
        <v>41</v>
      </c>
      <c r="N11" s="104"/>
      <c r="O11" s="104" t="s">
        <v>75</v>
      </c>
      <c r="P11" s="108"/>
      <c r="Q11" s="104" t="s">
        <v>41</v>
      </c>
      <c r="R11" s="104"/>
      <c r="S11" s="104" t="s">
        <v>75</v>
      </c>
      <c r="T11" s="104"/>
      <c r="U11" s="104"/>
      <c r="V11" s="104"/>
      <c r="W11" s="114"/>
      <c r="X11" s="104" t="s">
        <v>276</v>
      </c>
      <c r="Y11" s="104" t="s">
        <v>273</v>
      </c>
      <c r="Z11" s="104" t="s">
        <v>277</v>
      </c>
      <c r="AA11" s="104"/>
      <c r="AB11" s="104" t="s">
        <v>278</v>
      </c>
      <c r="AC11" s="104" t="s">
        <v>273</v>
      </c>
    </row>
    <row r="12" spans="1:29" ht="30" customHeight="1">
      <c r="A12" s="103"/>
      <c r="B12" s="104"/>
      <c r="C12" s="104"/>
      <c r="D12" s="108"/>
      <c r="E12" s="73" t="s">
        <v>9</v>
      </c>
      <c r="F12" s="73" t="s">
        <v>43</v>
      </c>
      <c r="G12" s="104"/>
      <c r="H12" s="108"/>
      <c r="I12" s="73" t="s">
        <v>9</v>
      </c>
      <c r="J12" s="73" t="s">
        <v>43</v>
      </c>
      <c r="K12" s="104"/>
      <c r="L12" s="108"/>
      <c r="M12" s="73" t="s">
        <v>9</v>
      </c>
      <c r="N12" s="73" t="s">
        <v>43</v>
      </c>
      <c r="O12" s="104"/>
      <c r="P12" s="108"/>
      <c r="Q12" s="73" t="s">
        <v>9</v>
      </c>
      <c r="R12" s="73" t="s">
        <v>43</v>
      </c>
      <c r="S12" s="104"/>
      <c r="T12" s="104"/>
      <c r="U12" s="104"/>
      <c r="V12" s="104"/>
      <c r="W12" s="114"/>
      <c r="X12" s="104"/>
      <c r="Y12" s="104"/>
      <c r="Z12" s="73" t="s">
        <v>276</v>
      </c>
      <c r="AA12" s="73" t="s">
        <v>273</v>
      </c>
      <c r="AB12" s="104"/>
      <c r="AC12" s="104"/>
    </row>
    <row r="13" spans="1:29" ht="15.75">
      <c r="A13" s="85">
        <v>1</v>
      </c>
      <c r="B13" s="86">
        <v>2</v>
      </c>
      <c r="C13" s="86">
        <v>3</v>
      </c>
      <c r="D13" s="87">
        <v>4</v>
      </c>
      <c r="E13" s="87">
        <v>5</v>
      </c>
      <c r="F13" s="87">
        <v>6</v>
      </c>
      <c r="G13" s="87">
        <v>7</v>
      </c>
      <c r="H13" s="87">
        <v>4</v>
      </c>
      <c r="I13" s="87">
        <v>5</v>
      </c>
      <c r="J13" s="87">
        <v>6</v>
      </c>
      <c r="K13" s="87">
        <v>7</v>
      </c>
      <c r="L13" s="87">
        <v>4</v>
      </c>
      <c r="M13" s="87">
        <v>5</v>
      </c>
      <c r="N13" s="87">
        <v>6</v>
      </c>
      <c r="O13" s="87">
        <v>7</v>
      </c>
      <c r="P13" s="87">
        <v>4</v>
      </c>
      <c r="Q13" s="87">
        <v>5</v>
      </c>
      <c r="R13" s="87">
        <v>6</v>
      </c>
      <c r="S13" s="87">
        <v>7</v>
      </c>
      <c r="T13" s="88">
        <v>4</v>
      </c>
      <c r="U13" s="89">
        <v>5</v>
      </c>
      <c r="V13" s="88">
        <v>6</v>
      </c>
      <c r="W13" s="89">
        <v>7</v>
      </c>
      <c r="X13" s="88">
        <v>8</v>
      </c>
      <c r="Y13" s="89">
        <v>9</v>
      </c>
      <c r="Z13" s="88">
        <v>10</v>
      </c>
      <c r="AA13" s="89">
        <v>11</v>
      </c>
      <c r="AB13" s="88">
        <v>12</v>
      </c>
      <c r="AC13" s="89">
        <v>13</v>
      </c>
    </row>
    <row r="14" spans="1:29" ht="47.25">
      <c r="A14" s="75" t="s">
        <v>245</v>
      </c>
      <c r="B14" s="72" t="s">
        <v>76</v>
      </c>
      <c r="C14" s="76" t="s">
        <v>61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91">
        <f>+'1 pr.asignavimai'!C87</f>
        <v>508.9</v>
      </c>
      <c r="U14" s="91">
        <f>+'1 pr.asignavimai'!D87</f>
        <v>446</v>
      </c>
      <c r="V14" s="91">
        <f>+'1 pr.asignavimai'!E87</f>
        <v>-62.9</v>
      </c>
      <c r="W14" s="91">
        <f>+U14/T14*100</f>
        <v>87.6</v>
      </c>
      <c r="X14" s="91">
        <f>+'1 pr.asignavimai'!G87</f>
        <v>240.7</v>
      </c>
      <c r="Y14" s="91">
        <f>+'1 pr.asignavimai'!H87</f>
        <v>240.3</v>
      </c>
      <c r="Z14" s="91">
        <f>+'1 pr.asignavimai'!I87</f>
        <v>15.8</v>
      </c>
      <c r="AA14" s="91">
        <f>+'1 pr.asignavimai'!J87</f>
        <v>14.7</v>
      </c>
      <c r="AB14" s="91">
        <f>+'1 pr.asignavimai'!K87</f>
        <v>268.2</v>
      </c>
      <c r="AC14" s="91">
        <f>+'1 pr.asignavimai'!L87</f>
        <v>205.7</v>
      </c>
    </row>
    <row r="15" spans="1:29" ht="47.25">
      <c r="A15" s="75" t="s">
        <v>246</v>
      </c>
      <c r="B15" s="72" t="s">
        <v>77</v>
      </c>
      <c r="C15" s="76" t="s">
        <v>57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91">
        <f>+'1 pr.asignavimai'!C43</f>
        <v>2382.3</v>
      </c>
      <c r="U15" s="91">
        <f>+'1 pr.asignavimai'!D43</f>
        <v>1325.1</v>
      </c>
      <c r="V15" s="91">
        <f>+'1 pr.asignavimai'!E43</f>
        <v>-1057.2</v>
      </c>
      <c r="W15" s="91">
        <f aca="true" t="shared" si="0" ref="W15:W55">+U15/T15*100</f>
        <v>55.6</v>
      </c>
      <c r="X15" s="91">
        <f>+'1 pr.asignavimai'!G43</f>
        <v>348</v>
      </c>
      <c r="Y15" s="91">
        <f>+'1 pr.asignavimai'!H43</f>
        <v>347.4</v>
      </c>
      <c r="Z15" s="91">
        <f>+'1 pr.asignavimai'!I43</f>
        <v>0</v>
      </c>
      <c r="AA15" s="91">
        <f>+'1 pr.asignavimai'!J43</f>
        <v>0</v>
      </c>
      <c r="AB15" s="91">
        <f>+'1 pr.asignavimai'!K43</f>
        <v>2034.3</v>
      </c>
      <c r="AC15" s="91">
        <f>+'1 pr.asignavimai'!L43</f>
        <v>977.7</v>
      </c>
    </row>
    <row r="16" spans="1:29" ht="31.5">
      <c r="A16" s="101" t="s">
        <v>111</v>
      </c>
      <c r="B16" s="102" t="s">
        <v>45</v>
      </c>
      <c r="C16" s="76" t="s">
        <v>4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92">
        <f>+'1 pr.asignavimai'!C11</f>
        <v>29735</v>
      </c>
      <c r="U16" s="92">
        <f>+'1 pr.asignavimai'!D11</f>
        <v>28485.3</v>
      </c>
      <c r="V16" s="92">
        <f>+'1 pr.asignavimai'!E11</f>
        <v>-1249.7</v>
      </c>
      <c r="W16" s="92">
        <f t="shared" si="0"/>
        <v>95.8</v>
      </c>
      <c r="X16" s="92">
        <f>+'1 pr.asignavimai'!G11</f>
        <v>22206.6</v>
      </c>
      <c r="Y16" s="92">
        <f>+'1 pr.asignavimai'!H11</f>
        <v>20961.4</v>
      </c>
      <c r="Z16" s="92">
        <f>+'1 pr.asignavimai'!I11</f>
        <v>10819.1</v>
      </c>
      <c r="AA16" s="92">
        <f>+'1 pr.asignavimai'!J11</f>
        <v>10710.1</v>
      </c>
      <c r="AB16" s="92">
        <f>+'1 pr.asignavimai'!K11</f>
        <v>7528.4</v>
      </c>
      <c r="AC16" s="92">
        <f>+'1 pr.asignavimai'!L11</f>
        <v>7523.9</v>
      </c>
    </row>
    <row r="17" spans="1:29" ht="47.25">
      <c r="A17" s="101"/>
      <c r="B17" s="102"/>
      <c r="C17" s="76" t="s">
        <v>57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92">
        <f>+'1 pr.asignavimai'!C47</f>
        <v>976.5</v>
      </c>
      <c r="U17" s="92">
        <f>+'1 pr.asignavimai'!D47</f>
        <v>945.7</v>
      </c>
      <c r="V17" s="92">
        <f>+'1 pr.asignavimai'!E47</f>
        <v>-30.8</v>
      </c>
      <c r="W17" s="92">
        <f t="shared" si="0"/>
        <v>96.8</v>
      </c>
      <c r="X17" s="92">
        <f>+'1 pr.asignavimai'!G47</f>
        <v>976.5</v>
      </c>
      <c r="Y17" s="92">
        <f>+'1 pr.asignavimai'!H47</f>
        <v>945.7</v>
      </c>
      <c r="Z17" s="92">
        <f>+'1 pr.asignavimai'!I47</f>
        <v>0</v>
      </c>
      <c r="AA17" s="92">
        <f>+'1 pr.asignavimai'!J47</f>
        <v>0</v>
      </c>
      <c r="AB17" s="92">
        <f>+'1 pr.asignavimai'!K47</f>
        <v>0</v>
      </c>
      <c r="AC17" s="92">
        <f>+'1 pr.asignavimai'!L47</f>
        <v>0</v>
      </c>
    </row>
    <row r="18" spans="1:29" ht="15.75">
      <c r="A18" s="101"/>
      <c r="B18" s="102"/>
      <c r="C18" s="76" t="s">
        <v>110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91">
        <f>+T16+T17</f>
        <v>30711.5</v>
      </c>
      <c r="U18" s="91">
        <f aca="true" t="shared" si="1" ref="U18:AC18">+U16+U17</f>
        <v>29431</v>
      </c>
      <c r="V18" s="91">
        <f t="shared" si="1"/>
        <v>-1280.5</v>
      </c>
      <c r="W18" s="91">
        <f t="shared" si="0"/>
        <v>95.8</v>
      </c>
      <c r="X18" s="91">
        <f t="shared" si="1"/>
        <v>23183.1</v>
      </c>
      <c r="Y18" s="91">
        <f t="shared" si="1"/>
        <v>21907.1</v>
      </c>
      <c r="Z18" s="91">
        <f t="shared" si="1"/>
        <v>10819.1</v>
      </c>
      <c r="AA18" s="91">
        <f t="shared" si="1"/>
        <v>10710.1</v>
      </c>
      <c r="AB18" s="91">
        <f t="shared" si="1"/>
        <v>7528.4</v>
      </c>
      <c r="AC18" s="91">
        <f t="shared" si="1"/>
        <v>7523.9</v>
      </c>
    </row>
    <row r="19" spans="1:29" ht="47.25">
      <c r="A19" s="75" t="s">
        <v>112</v>
      </c>
      <c r="B19" s="72" t="s">
        <v>352</v>
      </c>
      <c r="C19" s="76" t="s">
        <v>57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91">
        <f>+'1 pr.asignavimai'!C51</f>
        <v>3516.9</v>
      </c>
      <c r="U19" s="91">
        <f>+'1 pr.asignavimai'!D51</f>
        <v>2864.3</v>
      </c>
      <c r="V19" s="91">
        <f>+'1 pr.asignavimai'!E51</f>
        <v>-652.6</v>
      </c>
      <c r="W19" s="91">
        <f t="shared" si="0"/>
        <v>81.4</v>
      </c>
      <c r="X19" s="91">
        <f>+'1 pr.asignavimai'!G51</f>
        <v>637.1</v>
      </c>
      <c r="Y19" s="91">
        <f>+'1 pr.asignavimai'!H51</f>
        <v>620.8</v>
      </c>
      <c r="Z19" s="91">
        <f>+'1 pr.asignavimai'!I51</f>
        <v>5.1</v>
      </c>
      <c r="AA19" s="91">
        <f>+'1 pr.asignavimai'!J51</f>
        <v>4.6</v>
      </c>
      <c r="AB19" s="91">
        <f>+'1 pr.asignavimai'!K51</f>
        <v>2879.8</v>
      </c>
      <c r="AC19" s="91">
        <f>+'1 pr.asignavimai'!L51</f>
        <v>2243.5</v>
      </c>
    </row>
    <row r="20" spans="1:29" ht="47.25">
      <c r="A20" s="101" t="s">
        <v>113</v>
      </c>
      <c r="B20" s="105" t="s">
        <v>63</v>
      </c>
      <c r="C20" s="76" t="s">
        <v>57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92">
        <f>+'1 pr.asignavimai'!C55</f>
        <v>403.1</v>
      </c>
      <c r="U20" s="92">
        <f>+'1 pr.asignavimai'!D55</f>
        <v>1006.9</v>
      </c>
      <c r="V20" s="92">
        <f>+'1 pr.asignavimai'!E55</f>
        <v>603.8</v>
      </c>
      <c r="W20" s="92">
        <f t="shared" si="0"/>
        <v>249.8</v>
      </c>
      <c r="X20" s="92">
        <f>+'1 pr.asignavimai'!G55</f>
        <v>253.1</v>
      </c>
      <c r="Y20" s="92">
        <f>+'1 pr.asignavimai'!H55</f>
        <v>243.2</v>
      </c>
      <c r="Z20" s="92">
        <f>+'1 pr.asignavimai'!I55</f>
        <v>0</v>
      </c>
      <c r="AA20" s="92">
        <f>+'1 pr.asignavimai'!J55</f>
        <v>0</v>
      </c>
      <c r="AB20" s="92">
        <f>+'1 pr.asignavimai'!K55</f>
        <v>150</v>
      </c>
      <c r="AC20" s="92">
        <f>+'1 pr.asignavimai'!L55</f>
        <v>763.7</v>
      </c>
    </row>
    <row r="21" spans="1:29" ht="31.5">
      <c r="A21" s="101"/>
      <c r="B21" s="105"/>
      <c r="C21" s="76" t="s">
        <v>10</v>
      </c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92">
        <f>+'1 pr.asignavimai'!C89</f>
        <v>14950.1</v>
      </c>
      <c r="U21" s="92">
        <f>+'1 pr.asignavimai'!D89</f>
        <v>15609.3</v>
      </c>
      <c r="V21" s="92">
        <f>+'1 pr.asignavimai'!E89</f>
        <v>659.2</v>
      </c>
      <c r="W21" s="92">
        <f t="shared" si="0"/>
        <v>104.4</v>
      </c>
      <c r="X21" s="92">
        <f>+'1 pr.asignavimai'!G89</f>
        <v>14950.1</v>
      </c>
      <c r="Y21" s="92">
        <f>+'1 pr.asignavimai'!H89</f>
        <v>15609.3</v>
      </c>
      <c r="Z21" s="92">
        <f>+'1 pr.asignavimai'!I89</f>
        <v>0</v>
      </c>
      <c r="AA21" s="92">
        <f>+'1 pr.asignavimai'!J89</f>
        <v>0</v>
      </c>
      <c r="AB21" s="92">
        <f>+'1 pr.asignavimai'!K89</f>
        <v>0</v>
      </c>
      <c r="AC21" s="92">
        <f>+'1 pr.asignavimai'!L89</f>
        <v>0</v>
      </c>
    </row>
    <row r="22" spans="1:29" ht="15.75">
      <c r="A22" s="101"/>
      <c r="B22" s="105"/>
      <c r="C22" s="76" t="s">
        <v>110</v>
      </c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91">
        <f>+T20+T21</f>
        <v>15353.2</v>
      </c>
      <c r="U22" s="93">
        <f aca="true" t="shared" si="2" ref="U22:AC22">+U20+U21</f>
        <v>16616.2</v>
      </c>
      <c r="V22" s="91">
        <f t="shared" si="2"/>
        <v>1263</v>
      </c>
      <c r="W22" s="91">
        <f t="shared" si="0"/>
        <v>108.2</v>
      </c>
      <c r="X22" s="91">
        <f t="shared" si="2"/>
        <v>15203.2</v>
      </c>
      <c r="Y22" s="91">
        <f t="shared" si="2"/>
        <v>15852.5</v>
      </c>
      <c r="Z22" s="91">
        <f t="shared" si="2"/>
        <v>0</v>
      </c>
      <c r="AA22" s="91">
        <f t="shared" si="2"/>
        <v>0</v>
      </c>
      <c r="AB22" s="91">
        <f t="shared" si="2"/>
        <v>150</v>
      </c>
      <c r="AC22" s="91">
        <f t="shared" si="2"/>
        <v>763.7</v>
      </c>
    </row>
    <row r="23" spans="1:29" ht="31.5">
      <c r="A23" s="101" t="s">
        <v>114</v>
      </c>
      <c r="B23" s="102" t="s">
        <v>79</v>
      </c>
      <c r="C23" s="76" t="s">
        <v>4</v>
      </c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92">
        <f>+'1 pr.asignavimai'!C37</f>
        <v>233.3</v>
      </c>
      <c r="U23" s="92">
        <f>+'1 pr.asignavimai'!D37</f>
        <v>198.4</v>
      </c>
      <c r="V23" s="92">
        <f>+'1 pr.asignavimai'!E37</f>
        <v>-34.9</v>
      </c>
      <c r="W23" s="92">
        <f t="shared" si="0"/>
        <v>85</v>
      </c>
      <c r="X23" s="92">
        <f>+'1 pr.asignavimai'!G37</f>
        <v>233.3</v>
      </c>
      <c r="Y23" s="92">
        <f>+'1 pr.asignavimai'!H37</f>
        <v>198.4</v>
      </c>
      <c r="Z23" s="92">
        <f>+'1 pr.asignavimai'!I37</f>
        <v>0</v>
      </c>
      <c r="AA23" s="92">
        <f>+'1 pr.asignavimai'!J37</f>
        <v>0</v>
      </c>
      <c r="AB23" s="92">
        <f>+'1 pr.asignavimai'!K37</f>
        <v>0</v>
      </c>
      <c r="AC23" s="92">
        <f>+'1 pr.asignavimai'!L37</f>
        <v>0</v>
      </c>
    </row>
    <row r="24" spans="1:29" ht="47.25">
      <c r="A24" s="101"/>
      <c r="B24" s="102"/>
      <c r="C24" s="76" t="s">
        <v>57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92">
        <f>+'1 pr.asignavimai'!C60</f>
        <v>2482</v>
      </c>
      <c r="U24" s="92">
        <f>+'1 pr.asignavimai'!D60</f>
        <v>2328.5</v>
      </c>
      <c r="V24" s="92">
        <f>+'1 pr.asignavimai'!E60</f>
        <v>-153.5</v>
      </c>
      <c r="W24" s="92">
        <f t="shared" si="0"/>
        <v>93.8</v>
      </c>
      <c r="X24" s="92">
        <f>+'1 pr.asignavimai'!G60</f>
        <v>50.8</v>
      </c>
      <c r="Y24" s="92">
        <f>+'1 pr.asignavimai'!H60</f>
        <v>35.5</v>
      </c>
      <c r="Z24" s="92">
        <f>+'1 pr.asignavimai'!I60</f>
        <v>19.1</v>
      </c>
      <c r="AA24" s="92">
        <f>+'1 pr.asignavimai'!J60</f>
        <v>14.8</v>
      </c>
      <c r="AB24" s="92">
        <f>+'1 pr.asignavimai'!K60</f>
        <v>2431.2</v>
      </c>
      <c r="AC24" s="92">
        <f>+'1 pr.asignavimai'!L60</f>
        <v>2293</v>
      </c>
    </row>
    <row r="25" spans="1:29" ht="31.5">
      <c r="A25" s="101"/>
      <c r="B25" s="102"/>
      <c r="C25" s="76" t="s">
        <v>10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92">
        <f>+'1 pr.asignavimai'!C93</f>
        <v>17467.2</v>
      </c>
      <c r="U25" s="92">
        <f>+'1 pr.asignavimai'!D93</f>
        <v>19327.7</v>
      </c>
      <c r="V25" s="92">
        <f>+'1 pr.asignavimai'!E93</f>
        <v>1860.5</v>
      </c>
      <c r="W25" s="92">
        <f t="shared" si="0"/>
        <v>110.7</v>
      </c>
      <c r="X25" s="92">
        <f>+'1 pr.asignavimai'!G93</f>
        <v>17422</v>
      </c>
      <c r="Y25" s="92">
        <f>+'1 pr.asignavimai'!H93</f>
        <v>19286.7</v>
      </c>
      <c r="Z25" s="92">
        <f>+'1 pr.asignavimai'!I93</f>
        <v>0</v>
      </c>
      <c r="AA25" s="92">
        <f>+'1 pr.asignavimai'!J93</f>
        <v>0</v>
      </c>
      <c r="AB25" s="92">
        <f>+'1 pr.asignavimai'!K93</f>
        <v>45.2</v>
      </c>
      <c r="AC25" s="92">
        <f>+'1 pr.asignavimai'!L93</f>
        <v>41</v>
      </c>
    </row>
    <row r="26" spans="1:29" ht="15.75">
      <c r="A26" s="101"/>
      <c r="B26" s="102"/>
      <c r="C26" s="76" t="s">
        <v>110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91">
        <f>+T23+T24+T25</f>
        <v>20182.5</v>
      </c>
      <c r="U26" s="91">
        <f aca="true" t="shared" si="3" ref="U26:AC26">+U23+U24+U25</f>
        <v>21854.6</v>
      </c>
      <c r="V26" s="91">
        <f t="shared" si="3"/>
        <v>1672.1</v>
      </c>
      <c r="W26" s="91">
        <f t="shared" si="0"/>
        <v>108.3</v>
      </c>
      <c r="X26" s="91">
        <f t="shared" si="3"/>
        <v>17706.1</v>
      </c>
      <c r="Y26" s="91">
        <f t="shared" si="3"/>
        <v>19520.6</v>
      </c>
      <c r="Z26" s="91">
        <f t="shared" si="3"/>
        <v>19.1</v>
      </c>
      <c r="AA26" s="91">
        <f t="shared" si="3"/>
        <v>14.8</v>
      </c>
      <c r="AB26" s="91">
        <f t="shared" si="3"/>
        <v>2476.4</v>
      </c>
      <c r="AC26" s="91">
        <f t="shared" si="3"/>
        <v>2334</v>
      </c>
    </row>
    <row r="27" spans="1:29" ht="31.5">
      <c r="A27" s="101" t="s">
        <v>115</v>
      </c>
      <c r="B27" s="102" t="s">
        <v>80</v>
      </c>
      <c r="C27" s="76" t="s">
        <v>4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92">
        <f>+'1 pr.asignavimai'!C38</f>
        <v>605.9</v>
      </c>
      <c r="U27" s="92">
        <f>+'1 pr.asignavimai'!D38</f>
        <v>599.2</v>
      </c>
      <c r="V27" s="92">
        <f>+'1 pr.asignavimai'!E38</f>
        <v>-6.7</v>
      </c>
      <c r="W27" s="92">
        <f t="shared" si="0"/>
        <v>98.9</v>
      </c>
      <c r="X27" s="92">
        <f>+'1 pr.asignavimai'!G38</f>
        <v>605.9</v>
      </c>
      <c r="Y27" s="92">
        <f>+'1 pr.asignavimai'!H38</f>
        <v>599.2</v>
      </c>
      <c r="Z27" s="92">
        <f>+'1 pr.asignavimai'!I38</f>
        <v>0</v>
      </c>
      <c r="AA27" s="92">
        <f>+'1 pr.asignavimai'!J38</f>
        <v>0</v>
      </c>
      <c r="AB27" s="92">
        <f>+'1 pr.asignavimai'!K38</f>
        <v>0</v>
      </c>
      <c r="AC27" s="92">
        <f>+'1 pr.asignavimai'!L38</f>
        <v>0</v>
      </c>
    </row>
    <row r="28" spans="1:29" ht="47.25">
      <c r="A28" s="101"/>
      <c r="B28" s="102"/>
      <c r="C28" s="76" t="s">
        <v>57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92">
        <f>+'1 pr.asignavimai'!C64</f>
        <v>2740.4</v>
      </c>
      <c r="U28" s="92">
        <f>+'1 pr.asignavimai'!D64</f>
        <v>1702</v>
      </c>
      <c r="V28" s="92">
        <f>+'1 pr.asignavimai'!E64</f>
        <v>-1038.4</v>
      </c>
      <c r="W28" s="92">
        <f t="shared" si="0"/>
        <v>62.1</v>
      </c>
      <c r="X28" s="92">
        <f>+'1 pr.asignavimai'!G64</f>
        <v>26.6</v>
      </c>
      <c r="Y28" s="92">
        <f>+'1 pr.asignavimai'!H64</f>
        <v>1.7</v>
      </c>
      <c r="Z28" s="92">
        <f>+'1 pr.asignavimai'!I64</f>
        <v>0</v>
      </c>
      <c r="AA28" s="92">
        <f>+'1 pr.asignavimai'!J64</f>
        <v>0</v>
      </c>
      <c r="AB28" s="92">
        <f>+'1 pr.asignavimai'!K64</f>
        <v>2713.8</v>
      </c>
      <c r="AC28" s="92">
        <f>+'1 pr.asignavimai'!L64</f>
        <v>1700.3</v>
      </c>
    </row>
    <row r="29" spans="1:29" ht="31.5">
      <c r="A29" s="101"/>
      <c r="B29" s="102"/>
      <c r="C29" s="76" t="s">
        <v>10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92">
        <f>+'1 pr.asignavimai'!C94</f>
        <v>30038</v>
      </c>
      <c r="U29" s="92">
        <f>+'1 pr.asignavimai'!D94</f>
        <v>29971.2</v>
      </c>
      <c r="V29" s="92">
        <f>+'1 pr.asignavimai'!E94</f>
        <v>-66.8</v>
      </c>
      <c r="W29" s="92">
        <f t="shared" si="0"/>
        <v>99.8</v>
      </c>
      <c r="X29" s="92">
        <f>+'1 pr.asignavimai'!G94</f>
        <v>29938.8</v>
      </c>
      <c r="Y29" s="92">
        <f>+'1 pr.asignavimai'!H94</f>
        <v>29910.1</v>
      </c>
      <c r="Z29" s="92">
        <f>+'1 pr.asignavimai'!I94</f>
        <v>761.8</v>
      </c>
      <c r="AA29" s="92">
        <f>+'1 pr.asignavimai'!J94</f>
        <v>758.5</v>
      </c>
      <c r="AB29" s="92">
        <f>+'1 pr.asignavimai'!K94</f>
        <v>99.2</v>
      </c>
      <c r="AC29" s="92">
        <f>+'1 pr.asignavimai'!L94</f>
        <v>61.1</v>
      </c>
    </row>
    <row r="30" spans="1:29" ht="31.5">
      <c r="A30" s="101"/>
      <c r="B30" s="102"/>
      <c r="C30" s="76" t="s">
        <v>12</v>
      </c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92">
        <f>+'1 pr.asignavimai'!C138</f>
        <v>52.8</v>
      </c>
      <c r="U30" s="92">
        <f>+'1 pr.asignavimai'!D138</f>
        <v>40.8</v>
      </c>
      <c r="V30" s="92">
        <f>+'1 pr.asignavimai'!E138</f>
        <v>-12</v>
      </c>
      <c r="W30" s="92">
        <f t="shared" si="0"/>
        <v>77.3</v>
      </c>
      <c r="X30" s="92">
        <f>+'1 pr.asignavimai'!G138</f>
        <v>52.8</v>
      </c>
      <c r="Y30" s="92">
        <f>+'1 pr.asignavimai'!H138</f>
        <v>40.8</v>
      </c>
      <c r="Z30" s="92">
        <f>+'1 pr.asignavimai'!I138</f>
        <v>21.1</v>
      </c>
      <c r="AA30" s="92">
        <f>+'1 pr.asignavimai'!J138</f>
        <v>21.1</v>
      </c>
      <c r="AB30" s="92">
        <f>+'1 pr.asignavimai'!K138</f>
        <v>0</v>
      </c>
      <c r="AC30" s="92">
        <f>+'1 pr.asignavimai'!L138</f>
        <v>0</v>
      </c>
    </row>
    <row r="31" spans="1:29" ht="15.75">
      <c r="A31" s="101"/>
      <c r="B31" s="102"/>
      <c r="C31" s="76" t="s">
        <v>110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91">
        <f>+T27+T28+T29+T30</f>
        <v>33437.1</v>
      </c>
      <c r="U31" s="91">
        <f aca="true" t="shared" si="4" ref="U31:AC31">+U27+U28+U29+U30</f>
        <v>32313.2</v>
      </c>
      <c r="V31" s="91">
        <f t="shared" si="4"/>
        <v>-1123.9</v>
      </c>
      <c r="W31" s="91">
        <f t="shared" si="0"/>
        <v>96.6</v>
      </c>
      <c r="X31" s="91">
        <f t="shared" si="4"/>
        <v>30624.1</v>
      </c>
      <c r="Y31" s="91">
        <f t="shared" si="4"/>
        <v>30551.8</v>
      </c>
      <c r="Z31" s="91">
        <f t="shared" si="4"/>
        <v>782.9</v>
      </c>
      <c r="AA31" s="91">
        <f t="shared" si="4"/>
        <v>779.6</v>
      </c>
      <c r="AB31" s="91">
        <f t="shared" si="4"/>
        <v>2813</v>
      </c>
      <c r="AC31" s="91">
        <f t="shared" si="4"/>
        <v>1761.4</v>
      </c>
    </row>
    <row r="32" spans="1:29" ht="47.25">
      <c r="A32" s="101" t="s">
        <v>116</v>
      </c>
      <c r="B32" s="102" t="s">
        <v>78</v>
      </c>
      <c r="C32" s="76" t="s">
        <v>57</v>
      </c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92">
        <f>+'1 pr.asignavimai'!C68</f>
        <v>1257.9</v>
      </c>
      <c r="U32" s="92">
        <f>+'1 pr.asignavimai'!D68</f>
        <v>1256.8</v>
      </c>
      <c r="V32" s="92">
        <f>+'1 pr.asignavimai'!E68</f>
        <v>-1.1</v>
      </c>
      <c r="W32" s="92">
        <f t="shared" si="0"/>
        <v>99.9</v>
      </c>
      <c r="X32" s="92">
        <f>+'1 pr.asignavimai'!G68</f>
        <v>1.1</v>
      </c>
      <c r="Y32" s="92">
        <f>+'1 pr.asignavimai'!H68</f>
        <v>1</v>
      </c>
      <c r="Z32" s="92">
        <f>+'1 pr.asignavimai'!I68</f>
        <v>0</v>
      </c>
      <c r="AA32" s="92">
        <f>+'1 pr.asignavimai'!J68</f>
        <v>0</v>
      </c>
      <c r="AB32" s="92">
        <f>+'1 pr.asignavimai'!K68</f>
        <v>1256.8</v>
      </c>
      <c r="AC32" s="92">
        <f>+'1 pr.asignavimai'!L68</f>
        <v>1255.8</v>
      </c>
    </row>
    <row r="33" spans="1:29" ht="31.5">
      <c r="A33" s="101"/>
      <c r="B33" s="102"/>
      <c r="C33" s="76" t="s">
        <v>10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92">
        <f>+'1 pr.asignavimai'!C98</f>
        <v>62</v>
      </c>
      <c r="U33" s="92">
        <f>+'1 pr.asignavimai'!D98</f>
        <v>62</v>
      </c>
      <c r="V33" s="92">
        <f>+'1 pr.asignavimai'!E98</f>
        <v>0</v>
      </c>
      <c r="W33" s="92">
        <f t="shared" si="0"/>
        <v>100</v>
      </c>
      <c r="X33" s="92">
        <f>+'1 pr.asignavimai'!G98</f>
        <v>62</v>
      </c>
      <c r="Y33" s="92">
        <f>+'1 pr.asignavimai'!H98</f>
        <v>62</v>
      </c>
      <c r="Z33" s="92">
        <f>+'1 pr.asignavimai'!I98</f>
        <v>0</v>
      </c>
      <c r="AA33" s="92">
        <f>+'1 pr.asignavimai'!J98</f>
        <v>0</v>
      </c>
      <c r="AB33" s="92">
        <f>+'1 pr.asignavimai'!K98</f>
        <v>0</v>
      </c>
      <c r="AC33" s="92">
        <f>+'1 pr.asignavimai'!L98</f>
        <v>0</v>
      </c>
    </row>
    <row r="34" spans="1:29" ht="47.25" customHeight="1">
      <c r="A34" s="101"/>
      <c r="B34" s="102"/>
      <c r="C34" s="76" t="s">
        <v>11</v>
      </c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92">
        <f>+'1 pr.asignavimai'!C103</f>
        <v>9904.2</v>
      </c>
      <c r="U34" s="92">
        <f>+'1 pr.asignavimai'!D103</f>
        <v>9896.2</v>
      </c>
      <c r="V34" s="92">
        <f>+'1 pr.asignavimai'!E103</f>
        <v>-8</v>
      </c>
      <c r="W34" s="92">
        <f t="shared" si="0"/>
        <v>99.9</v>
      </c>
      <c r="X34" s="92">
        <f>+'1 pr.asignavimai'!G103</f>
        <v>9816.2</v>
      </c>
      <c r="Y34" s="92">
        <f>+'1 pr.asignavimai'!H103</f>
        <v>9872.5</v>
      </c>
      <c r="Z34" s="92">
        <f>+'1 pr.asignavimai'!I103</f>
        <v>4655.5</v>
      </c>
      <c r="AA34" s="92">
        <f>+'1 pr.asignavimai'!J103</f>
        <v>4655.5</v>
      </c>
      <c r="AB34" s="92">
        <f>+'1 pr.asignavimai'!K103</f>
        <v>88</v>
      </c>
      <c r="AC34" s="92">
        <f>+'1 pr.asignavimai'!L103</f>
        <v>23.7</v>
      </c>
    </row>
    <row r="35" spans="1:29" ht="21" customHeight="1">
      <c r="A35" s="101"/>
      <c r="B35" s="102"/>
      <c r="C35" s="76" t="s">
        <v>110</v>
      </c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91">
        <f>+T32+T33+T34</f>
        <v>11224.1</v>
      </c>
      <c r="U35" s="91">
        <f aca="true" t="shared" si="5" ref="U35:AC35">+U32+U33+U34</f>
        <v>11215</v>
      </c>
      <c r="V35" s="91">
        <f t="shared" si="5"/>
        <v>-9.1</v>
      </c>
      <c r="W35" s="91">
        <f t="shared" si="0"/>
        <v>99.9</v>
      </c>
      <c r="X35" s="91">
        <f t="shared" si="5"/>
        <v>9879.3</v>
      </c>
      <c r="Y35" s="91">
        <f t="shared" si="5"/>
        <v>9935.5</v>
      </c>
      <c r="Z35" s="91">
        <f t="shared" si="5"/>
        <v>4655.5</v>
      </c>
      <c r="AA35" s="91">
        <f t="shared" si="5"/>
        <v>4655.5</v>
      </c>
      <c r="AB35" s="91">
        <f t="shared" si="5"/>
        <v>1344.8</v>
      </c>
      <c r="AC35" s="91">
        <f t="shared" si="5"/>
        <v>1279.5</v>
      </c>
    </row>
    <row r="36" spans="1:29" ht="31.5">
      <c r="A36" s="75" t="s">
        <v>117</v>
      </c>
      <c r="B36" s="72" t="s">
        <v>244</v>
      </c>
      <c r="C36" s="76" t="s">
        <v>4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91">
        <f>+'1 pr.asignavimai'!C39</f>
        <v>149.1</v>
      </c>
      <c r="U36" s="91">
        <f>+'1 pr.asignavimai'!D39</f>
        <v>79.2</v>
      </c>
      <c r="V36" s="91">
        <f>+'1 pr.asignavimai'!E39</f>
        <v>-69.9</v>
      </c>
      <c r="W36" s="91">
        <f t="shared" si="0"/>
        <v>53.1</v>
      </c>
      <c r="X36" s="91">
        <f>+'1 pr.asignavimai'!G39</f>
        <v>128.3</v>
      </c>
      <c r="Y36" s="91">
        <f>+'1 pr.asignavimai'!H39</f>
        <v>79.2</v>
      </c>
      <c r="Z36" s="91">
        <f>+'1 pr.asignavimai'!I39</f>
        <v>20.8</v>
      </c>
      <c r="AA36" s="91">
        <f>+'1 pr.asignavimai'!J39</f>
        <v>19.9</v>
      </c>
      <c r="AB36" s="91">
        <f>+'1 pr.asignavimai'!K39</f>
        <v>20.8</v>
      </c>
      <c r="AC36" s="91">
        <f>+'1 pr.asignavimai'!L39</f>
        <v>0</v>
      </c>
    </row>
    <row r="37" spans="1:29" ht="31.5">
      <c r="A37" s="101" t="s">
        <v>118</v>
      </c>
      <c r="B37" s="102" t="s">
        <v>64</v>
      </c>
      <c r="C37" s="76" t="s">
        <v>4</v>
      </c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92">
        <f>+'1 pr.asignavimai'!C40</f>
        <v>9.8</v>
      </c>
      <c r="U37" s="92">
        <f>+'1 pr.asignavimai'!D40</f>
        <v>9.8</v>
      </c>
      <c r="V37" s="92">
        <f>+'1 pr.asignavimai'!E40</f>
        <v>0</v>
      </c>
      <c r="W37" s="92">
        <f t="shared" si="0"/>
        <v>100</v>
      </c>
      <c r="X37" s="92">
        <f>+'1 pr.asignavimai'!G40</f>
        <v>0</v>
      </c>
      <c r="Y37" s="92">
        <f>+'1 pr.asignavimai'!H40</f>
        <v>0</v>
      </c>
      <c r="Z37" s="92">
        <f>+'1 pr.asignavimai'!I40</f>
        <v>0</v>
      </c>
      <c r="AA37" s="92">
        <f>+'1 pr.asignavimai'!J40</f>
        <v>0</v>
      </c>
      <c r="AB37" s="92">
        <f>+'1 pr.asignavimai'!K40</f>
        <v>9.8</v>
      </c>
      <c r="AC37" s="92">
        <f>+'1 pr.asignavimai'!L40</f>
        <v>9.8</v>
      </c>
    </row>
    <row r="38" spans="1:29" ht="47.25">
      <c r="A38" s="101"/>
      <c r="B38" s="102"/>
      <c r="C38" s="76" t="s">
        <v>57</v>
      </c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92">
        <f>+'1 pr.asignavimai'!C73</f>
        <v>2025.9</v>
      </c>
      <c r="U38" s="92">
        <f>+'1 pr.asignavimai'!D73</f>
        <v>1822.2</v>
      </c>
      <c r="V38" s="92">
        <f>+'1 pr.asignavimai'!E73</f>
        <v>-203.7</v>
      </c>
      <c r="W38" s="92">
        <f t="shared" si="0"/>
        <v>89.9</v>
      </c>
      <c r="X38" s="92">
        <f>+'1 pr.asignavimai'!G73</f>
        <v>10</v>
      </c>
      <c r="Y38" s="92">
        <f>+'1 pr.asignavimai'!H73</f>
        <v>0</v>
      </c>
      <c r="Z38" s="92">
        <f>+'1 pr.asignavimai'!I73</f>
        <v>0</v>
      </c>
      <c r="AA38" s="92">
        <f>+'1 pr.asignavimai'!J73</f>
        <v>0</v>
      </c>
      <c r="AB38" s="92">
        <f>+'1 pr.asignavimai'!K73</f>
        <v>2015.9</v>
      </c>
      <c r="AC38" s="92">
        <f>+'1 pr.asignavimai'!L73</f>
        <v>1822.2</v>
      </c>
    </row>
    <row r="39" spans="1:29" ht="31.5">
      <c r="A39" s="101"/>
      <c r="B39" s="102"/>
      <c r="C39" s="76" t="s">
        <v>10</v>
      </c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92">
        <f>+'1 pr.asignavimai'!C99</f>
        <v>4221.4</v>
      </c>
      <c r="U39" s="92">
        <f>+'1 pr.asignavimai'!D99</f>
        <v>4204.2</v>
      </c>
      <c r="V39" s="92">
        <f>+'1 pr.asignavimai'!E99</f>
        <v>-17.2</v>
      </c>
      <c r="W39" s="92">
        <f t="shared" si="0"/>
        <v>99.6</v>
      </c>
      <c r="X39" s="92">
        <f>+'1 pr.asignavimai'!G99</f>
        <v>4221.4</v>
      </c>
      <c r="Y39" s="92">
        <f>+'1 pr.asignavimai'!H99</f>
        <v>4204.2</v>
      </c>
      <c r="Z39" s="92">
        <f>+'1 pr.asignavimai'!I99</f>
        <v>0</v>
      </c>
      <c r="AA39" s="92">
        <f>+'1 pr.asignavimai'!J99</f>
        <v>0</v>
      </c>
      <c r="AB39" s="92">
        <f>+'1 pr.asignavimai'!K99</f>
        <v>0</v>
      </c>
      <c r="AC39" s="92">
        <f>+'1 pr.asignavimai'!L99</f>
        <v>0</v>
      </c>
    </row>
    <row r="40" spans="1:29" ht="47.25" customHeight="1">
      <c r="A40" s="101"/>
      <c r="B40" s="102"/>
      <c r="C40" s="76" t="s">
        <v>11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92">
        <f>+'1 pr.asignavimai'!C107</f>
        <v>190160.4</v>
      </c>
      <c r="U40" s="92">
        <f>+'1 pr.asignavimai'!D107</f>
        <v>188870</v>
      </c>
      <c r="V40" s="92">
        <f>+'1 pr.asignavimai'!E107</f>
        <v>-1290.4</v>
      </c>
      <c r="W40" s="92">
        <f t="shared" si="0"/>
        <v>99.3</v>
      </c>
      <c r="X40" s="92">
        <f>+'1 pr.asignavimai'!G107</f>
        <v>189576.8</v>
      </c>
      <c r="Y40" s="92">
        <f>+'1 pr.asignavimai'!H107</f>
        <v>188165.8</v>
      </c>
      <c r="Z40" s="92">
        <f>+'1 pr.asignavimai'!I107</f>
        <v>126737.6</v>
      </c>
      <c r="AA40" s="92">
        <f>+'1 pr.asignavimai'!J107</f>
        <v>126622.1</v>
      </c>
      <c r="AB40" s="92">
        <f>+'1 pr.asignavimai'!K107</f>
        <v>583.6</v>
      </c>
      <c r="AC40" s="92">
        <f>+'1 pr.asignavimai'!L107</f>
        <v>704.2</v>
      </c>
    </row>
    <row r="41" spans="1:29" ht="15.75">
      <c r="A41" s="101"/>
      <c r="B41" s="102"/>
      <c r="C41" s="76" t="s">
        <v>110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91">
        <f>+T37+T38+T39+T40</f>
        <v>196417.5</v>
      </c>
      <c r="U41" s="91">
        <f aca="true" t="shared" si="6" ref="U41:AC41">+U37+U38+U39+U40</f>
        <v>194906.2</v>
      </c>
      <c r="V41" s="91">
        <f t="shared" si="6"/>
        <v>-1511.3</v>
      </c>
      <c r="W41" s="91">
        <f t="shared" si="0"/>
        <v>99.2</v>
      </c>
      <c r="X41" s="91">
        <f t="shared" si="6"/>
        <v>193808.2</v>
      </c>
      <c r="Y41" s="91">
        <f t="shared" si="6"/>
        <v>192370</v>
      </c>
      <c r="Z41" s="91">
        <f t="shared" si="6"/>
        <v>126737.6</v>
      </c>
      <c r="AA41" s="91">
        <f t="shared" si="6"/>
        <v>126622.1</v>
      </c>
      <c r="AB41" s="91">
        <f t="shared" si="6"/>
        <v>2609.3</v>
      </c>
      <c r="AC41" s="91">
        <f t="shared" si="6"/>
        <v>2536.2</v>
      </c>
    </row>
    <row r="42" spans="1:29" ht="47.25">
      <c r="A42" s="101" t="s">
        <v>119</v>
      </c>
      <c r="B42" s="102" t="s">
        <v>66</v>
      </c>
      <c r="C42" s="76" t="s">
        <v>57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92">
        <f>+'1 pr.asignavimai'!C77</f>
        <v>1336.7</v>
      </c>
      <c r="U42" s="92">
        <f>+'1 pr.asignavimai'!D77</f>
        <v>1251.1</v>
      </c>
      <c r="V42" s="92">
        <f>+'1 pr.asignavimai'!E77</f>
        <v>-85.6</v>
      </c>
      <c r="W42" s="92">
        <f t="shared" si="0"/>
        <v>93.6</v>
      </c>
      <c r="X42" s="92">
        <f>+'1 pr.asignavimai'!G77</f>
        <v>2.7</v>
      </c>
      <c r="Y42" s="92">
        <f>+'1 pr.asignavimai'!H77</f>
        <v>2.6</v>
      </c>
      <c r="Z42" s="92">
        <f>+'1 pr.asignavimai'!I77</f>
        <v>0</v>
      </c>
      <c r="AA42" s="92">
        <f>+'1 pr.asignavimai'!J77</f>
        <v>0</v>
      </c>
      <c r="AB42" s="92">
        <f>+'1 pr.asignavimai'!K77</f>
        <v>1334</v>
      </c>
      <c r="AC42" s="92">
        <f>+'1 pr.asignavimai'!L77</f>
        <v>1248.5</v>
      </c>
    </row>
    <row r="43" spans="1:29" ht="31.5">
      <c r="A43" s="101"/>
      <c r="B43" s="102"/>
      <c r="C43" s="76" t="s">
        <v>10</v>
      </c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92">
        <f>+'1 pr.asignavimai'!C100</f>
        <v>180.5</v>
      </c>
      <c r="U43" s="92">
        <f>+'1 pr.asignavimai'!D100</f>
        <v>180.1</v>
      </c>
      <c r="V43" s="92">
        <f>+'1 pr.asignavimai'!E100</f>
        <v>-0.4</v>
      </c>
      <c r="W43" s="92">
        <f t="shared" si="0"/>
        <v>99.8</v>
      </c>
      <c r="X43" s="92">
        <f>+'1 pr.asignavimai'!G100</f>
        <v>180.5</v>
      </c>
      <c r="Y43" s="92">
        <f>+'1 pr.asignavimai'!H100</f>
        <v>180.1</v>
      </c>
      <c r="Z43" s="92">
        <f>+'1 pr.asignavimai'!I100</f>
        <v>0</v>
      </c>
      <c r="AA43" s="92">
        <f>+'1 pr.asignavimai'!J100</f>
        <v>0</v>
      </c>
      <c r="AB43" s="92">
        <f>+'1 pr.asignavimai'!K100</f>
        <v>0</v>
      </c>
      <c r="AC43" s="92">
        <f>+'1 pr.asignavimai'!L100</f>
        <v>0</v>
      </c>
    </row>
    <row r="44" spans="1:29" ht="48.75" customHeight="1">
      <c r="A44" s="101"/>
      <c r="B44" s="102"/>
      <c r="C44" s="76" t="s">
        <v>11</v>
      </c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92">
        <f>+'1 pr.asignavimai'!C114</f>
        <v>14818.2</v>
      </c>
      <c r="U44" s="92">
        <f>+'1 pr.asignavimai'!D114</f>
        <v>14718.9</v>
      </c>
      <c r="V44" s="92">
        <f>+'1 pr.asignavimai'!E114</f>
        <v>-99.3</v>
      </c>
      <c r="W44" s="92">
        <f t="shared" si="0"/>
        <v>99.3</v>
      </c>
      <c r="X44" s="92">
        <f>+'1 pr.asignavimai'!G114</f>
        <v>14617.8</v>
      </c>
      <c r="Y44" s="92">
        <f>+'1 pr.asignavimai'!H114</f>
        <v>14521.5</v>
      </c>
      <c r="Z44" s="92">
        <f>+'1 pr.asignavimai'!I114</f>
        <v>7375.9</v>
      </c>
      <c r="AA44" s="92">
        <f>+'1 pr.asignavimai'!J114</f>
        <v>7366.6</v>
      </c>
      <c r="AB44" s="92">
        <f>+'1 pr.asignavimai'!K114</f>
        <v>200.4</v>
      </c>
      <c r="AC44" s="92">
        <f>+'1 pr.asignavimai'!L114</f>
        <v>197.4</v>
      </c>
    </row>
    <row r="45" spans="1:29" ht="15.75">
      <c r="A45" s="101"/>
      <c r="B45" s="102"/>
      <c r="C45" s="76" t="s">
        <v>110</v>
      </c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91">
        <f>+T42+T43+T44</f>
        <v>16335.4</v>
      </c>
      <c r="U45" s="91">
        <f aca="true" t="shared" si="7" ref="U45:AC45">+U42+U43+U44</f>
        <v>16150.1</v>
      </c>
      <c r="V45" s="91">
        <f t="shared" si="7"/>
        <v>-185.3</v>
      </c>
      <c r="W45" s="91">
        <f t="shared" si="0"/>
        <v>98.9</v>
      </c>
      <c r="X45" s="91">
        <f t="shared" si="7"/>
        <v>14801</v>
      </c>
      <c r="Y45" s="91">
        <f t="shared" si="7"/>
        <v>14704.2</v>
      </c>
      <c r="Z45" s="91">
        <f t="shared" si="7"/>
        <v>7375.9</v>
      </c>
      <c r="AA45" s="91">
        <f t="shared" si="7"/>
        <v>7366.6</v>
      </c>
      <c r="AB45" s="91">
        <f t="shared" si="7"/>
        <v>1534.4</v>
      </c>
      <c r="AC45" s="91">
        <f t="shared" si="7"/>
        <v>1445.9</v>
      </c>
    </row>
    <row r="46" spans="1:29" ht="31.5">
      <c r="A46" s="101" t="s">
        <v>120</v>
      </c>
      <c r="B46" s="102" t="s">
        <v>67</v>
      </c>
      <c r="C46" s="76" t="s">
        <v>4</v>
      </c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92">
        <f>+'1 pr.asignavimai'!C41</f>
        <v>280</v>
      </c>
      <c r="U46" s="92">
        <f>+'1 pr.asignavimai'!D41</f>
        <v>412</v>
      </c>
      <c r="V46" s="92">
        <f>+'1 pr.asignavimai'!E41</f>
        <v>132</v>
      </c>
      <c r="W46" s="92">
        <f t="shared" si="0"/>
        <v>147.1</v>
      </c>
      <c r="X46" s="92">
        <f>+'1 pr.asignavimai'!G41</f>
        <v>0</v>
      </c>
      <c r="Y46" s="92">
        <f>+'1 pr.asignavimai'!H41</f>
        <v>0</v>
      </c>
      <c r="Z46" s="92">
        <f>+'1 pr.asignavimai'!I41</f>
        <v>0</v>
      </c>
      <c r="AA46" s="92">
        <f>+'1 pr.asignavimai'!J41</f>
        <v>0</v>
      </c>
      <c r="AB46" s="92">
        <f>+'1 pr.asignavimai'!K41</f>
        <v>280</v>
      </c>
      <c r="AC46" s="92">
        <f>+'1 pr.asignavimai'!L41</f>
        <v>412</v>
      </c>
    </row>
    <row r="47" spans="1:29" ht="47.25">
      <c r="A47" s="101"/>
      <c r="B47" s="102"/>
      <c r="C47" s="76" t="s">
        <v>57</v>
      </c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92">
        <f>+'1 pr.asignavimai'!C81</f>
        <v>1518.1</v>
      </c>
      <c r="U47" s="92">
        <f>+'1 pr.asignavimai'!D81</f>
        <v>262.3</v>
      </c>
      <c r="V47" s="92">
        <f>+'1 pr.asignavimai'!E81</f>
        <v>-1255.8</v>
      </c>
      <c r="W47" s="92">
        <f t="shared" si="0"/>
        <v>17.3</v>
      </c>
      <c r="X47" s="92">
        <f>+'1 pr.asignavimai'!G81</f>
        <v>27.9</v>
      </c>
      <c r="Y47" s="92">
        <f>+'1 pr.asignavimai'!H81</f>
        <v>26.4</v>
      </c>
      <c r="Z47" s="92">
        <f>+'1 pr.asignavimai'!I81</f>
        <v>20.9</v>
      </c>
      <c r="AA47" s="92">
        <f>+'1 pr.asignavimai'!J81</f>
        <v>19.9</v>
      </c>
      <c r="AB47" s="92">
        <f>+'1 pr.asignavimai'!K81</f>
        <v>1490.2</v>
      </c>
      <c r="AC47" s="92">
        <f>+'1 pr.asignavimai'!L81</f>
        <v>235.9</v>
      </c>
    </row>
    <row r="48" spans="1:29" ht="31.5">
      <c r="A48" s="101"/>
      <c r="B48" s="102"/>
      <c r="C48" s="76" t="s">
        <v>10</v>
      </c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92">
        <f>+'1 pr.asignavimai'!C101</f>
        <v>77.6</v>
      </c>
      <c r="U48" s="92">
        <f>+'1 pr.asignavimai'!D101</f>
        <v>71</v>
      </c>
      <c r="V48" s="92">
        <f>+'1 pr.asignavimai'!E101</f>
        <v>-6.6</v>
      </c>
      <c r="W48" s="92">
        <f t="shared" si="0"/>
        <v>91.5</v>
      </c>
      <c r="X48" s="92">
        <f>+'1 pr.asignavimai'!G101</f>
        <v>68</v>
      </c>
      <c r="Y48" s="92">
        <f>+'1 pr.asignavimai'!H101</f>
        <v>61.4</v>
      </c>
      <c r="Z48" s="92">
        <f>+'1 pr.asignavimai'!I101</f>
        <v>0</v>
      </c>
      <c r="AA48" s="92">
        <f>+'1 pr.asignavimai'!J101</f>
        <v>0</v>
      </c>
      <c r="AB48" s="92">
        <f>+'1 pr.asignavimai'!K101</f>
        <v>9.6</v>
      </c>
      <c r="AC48" s="92">
        <f>+'1 pr.asignavimai'!L101</f>
        <v>9.6</v>
      </c>
    </row>
    <row r="49" spans="1:29" ht="31.5">
      <c r="A49" s="101"/>
      <c r="B49" s="102"/>
      <c r="C49" s="76" t="s">
        <v>12</v>
      </c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92">
        <f>+'1 pr.asignavimai'!C119</f>
        <v>48299.7</v>
      </c>
      <c r="U49" s="92">
        <f>+'1 pr.asignavimai'!D119</f>
        <v>47910.7</v>
      </c>
      <c r="V49" s="92">
        <f>+'1 pr.asignavimai'!E119</f>
        <v>-389</v>
      </c>
      <c r="W49" s="92">
        <f t="shared" si="0"/>
        <v>99.2</v>
      </c>
      <c r="X49" s="92">
        <f>+'1 pr.asignavimai'!G119</f>
        <v>48192.6</v>
      </c>
      <c r="Y49" s="92">
        <f>+'1 pr.asignavimai'!H119</f>
        <v>47804.5</v>
      </c>
      <c r="Z49" s="92">
        <f>+'1 pr.asignavimai'!I119</f>
        <v>7747.6</v>
      </c>
      <c r="AA49" s="92">
        <f>+'1 pr.asignavimai'!J119</f>
        <v>7620.4</v>
      </c>
      <c r="AB49" s="92">
        <f>+'1 pr.asignavimai'!K119</f>
        <v>107.1</v>
      </c>
      <c r="AC49" s="92">
        <f>+'1 pr.asignavimai'!L119</f>
        <v>106.2</v>
      </c>
    </row>
    <row r="50" spans="1:29" ht="15.75">
      <c r="A50" s="101"/>
      <c r="B50" s="102"/>
      <c r="C50" s="76" t="s">
        <v>110</v>
      </c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91">
        <f>+T46+T47+T48+T49</f>
        <v>50175.4</v>
      </c>
      <c r="U50" s="91">
        <f aca="true" t="shared" si="8" ref="U50:AC50">+U46+U47+U48+U49</f>
        <v>48656</v>
      </c>
      <c r="V50" s="91">
        <f t="shared" si="8"/>
        <v>-1519.4</v>
      </c>
      <c r="W50" s="91">
        <f t="shared" si="0"/>
        <v>97</v>
      </c>
      <c r="X50" s="91">
        <f t="shared" si="8"/>
        <v>48288.5</v>
      </c>
      <c r="Y50" s="91">
        <f t="shared" si="8"/>
        <v>47892.3</v>
      </c>
      <c r="Z50" s="91">
        <f t="shared" si="8"/>
        <v>7768.5</v>
      </c>
      <c r="AA50" s="91">
        <f t="shared" si="8"/>
        <v>7640.3</v>
      </c>
      <c r="AB50" s="91">
        <f t="shared" si="8"/>
        <v>1886.9</v>
      </c>
      <c r="AC50" s="91">
        <f t="shared" si="8"/>
        <v>763.7</v>
      </c>
    </row>
    <row r="51" spans="1:29" ht="47.25">
      <c r="A51" s="101" t="s">
        <v>121</v>
      </c>
      <c r="B51" s="102" t="s">
        <v>252</v>
      </c>
      <c r="C51" s="76" t="s">
        <v>57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92">
        <f>+'1 pr.asignavimai'!C85</f>
        <v>600</v>
      </c>
      <c r="U51" s="92">
        <f>+'1 pr.asignavimai'!D85</f>
        <v>600</v>
      </c>
      <c r="V51" s="92">
        <f>+'1 pr.asignavimai'!E85</f>
        <v>0</v>
      </c>
      <c r="W51" s="92">
        <f t="shared" si="0"/>
        <v>100</v>
      </c>
      <c r="X51" s="92">
        <f>+'1 pr.asignavimai'!G85</f>
        <v>0</v>
      </c>
      <c r="Y51" s="92">
        <f>+'1 pr.asignavimai'!H85</f>
        <v>0</v>
      </c>
      <c r="Z51" s="92">
        <f>+'1 pr.asignavimai'!I85</f>
        <v>0</v>
      </c>
      <c r="AA51" s="92">
        <f>+'1 pr.asignavimai'!J85</f>
        <v>0</v>
      </c>
      <c r="AB51" s="92">
        <f>+'1 pr.asignavimai'!K85</f>
        <v>600</v>
      </c>
      <c r="AC51" s="92">
        <f>+'1 pr.asignavimai'!L85</f>
        <v>600</v>
      </c>
    </row>
    <row r="52" spans="1:29" ht="31.5">
      <c r="A52" s="101"/>
      <c r="B52" s="102"/>
      <c r="C52" s="76" t="s">
        <v>12</v>
      </c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92">
        <f>+'1 pr.asignavimai'!C131</f>
        <v>5924</v>
      </c>
      <c r="U52" s="92">
        <f>+'1 pr.asignavimai'!D131</f>
        <v>6002.2</v>
      </c>
      <c r="V52" s="92">
        <f>+'1 pr.asignavimai'!E131</f>
        <v>78.2</v>
      </c>
      <c r="W52" s="92">
        <f t="shared" si="0"/>
        <v>101.3</v>
      </c>
      <c r="X52" s="92">
        <f>+'1 pr.asignavimai'!G131</f>
        <v>5924</v>
      </c>
      <c r="Y52" s="92">
        <f>+'1 pr.asignavimai'!H131</f>
        <v>6002.2</v>
      </c>
      <c r="Z52" s="92">
        <f>+'1 pr.asignavimai'!I131</f>
        <v>3571.2</v>
      </c>
      <c r="AA52" s="92">
        <f>+'1 pr.asignavimai'!J131</f>
        <v>3571.2</v>
      </c>
      <c r="AB52" s="92">
        <f>+'1 pr.asignavimai'!K131</f>
        <v>0</v>
      </c>
      <c r="AC52" s="92">
        <f>+'1 pr.asignavimai'!L131</f>
        <v>0</v>
      </c>
    </row>
    <row r="53" spans="1:29" ht="15.75">
      <c r="A53" s="101"/>
      <c r="B53" s="102"/>
      <c r="C53" s="76" t="s">
        <v>110</v>
      </c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91">
        <f>+T51+T52</f>
        <v>6524</v>
      </c>
      <c r="U53" s="91">
        <f aca="true" t="shared" si="9" ref="U53:AC53">+U51+U52</f>
        <v>6602.2</v>
      </c>
      <c r="V53" s="91">
        <f t="shared" si="9"/>
        <v>78.2</v>
      </c>
      <c r="W53" s="91">
        <f t="shared" si="0"/>
        <v>101.2</v>
      </c>
      <c r="X53" s="91">
        <f t="shared" si="9"/>
        <v>5924</v>
      </c>
      <c r="Y53" s="91">
        <f t="shared" si="9"/>
        <v>6002.2</v>
      </c>
      <c r="Z53" s="91">
        <f t="shared" si="9"/>
        <v>3571.2</v>
      </c>
      <c r="AA53" s="91">
        <f t="shared" si="9"/>
        <v>3571.2</v>
      </c>
      <c r="AB53" s="91">
        <f t="shared" si="9"/>
        <v>600</v>
      </c>
      <c r="AC53" s="91">
        <f t="shared" si="9"/>
        <v>600</v>
      </c>
    </row>
    <row r="54" spans="1:29" ht="47.25">
      <c r="A54" s="75" t="s">
        <v>122</v>
      </c>
      <c r="B54" s="72" t="s">
        <v>243</v>
      </c>
      <c r="C54" s="76" t="s">
        <v>44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91">
        <f>+'1 pr.asignavimai'!C9</f>
        <v>376.4</v>
      </c>
      <c r="U54" s="91">
        <f>+'1 pr.asignavimai'!D9</f>
        <v>373.5</v>
      </c>
      <c r="V54" s="91">
        <f>+'1 pr.asignavimai'!E9</f>
        <v>-2.9</v>
      </c>
      <c r="W54" s="91">
        <f t="shared" si="0"/>
        <v>99.2</v>
      </c>
      <c r="X54" s="91">
        <f>+'1 pr.asignavimai'!G9</f>
        <v>363.7</v>
      </c>
      <c r="Y54" s="91">
        <f>+'1 pr.asignavimai'!H9</f>
        <v>360.9</v>
      </c>
      <c r="Z54" s="91">
        <f>+'1 pr.asignavimai'!I9</f>
        <v>254.9</v>
      </c>
      <c r="AA54" s="91">
        <f>+'1 pr.asignavimai'!J9</f>
        <v>252.3</v>
      </c>
      <c r="AB54" s="91">
        <f>+'1 pr.asignavimai'!K9</f>
        <v>12.7</v>
      </c>
      <c r="AC54" s="91">
        <f>+'1 pr.asignavimai'!L9</f>
        <v>12.6</v>
      </c>
    </row>
    <row r="55" spans="1:29" ht="15.75">
      <c r="A55" s="74" t="s">
        <v>123</v>
      </c>
      <c r="B55" s="77" t="s">
        <v>353</v>
      </c>
      <c r="C55" s="62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93">
        <f>+T14+T15+T18+T19+T22+T26+T31+T35+T41+T45+T50++T53+T54+T36</f>
        <v>387294.3</v>
      </c>
      <c r="U55" s="93">
        <f aca="true" t="shared" si="10" ref="U55:AC55">+U14+U15+U18+U19+U22+U26+U31+U35+U41+U45+U50++U53+U54+U36</f>
        <v>382832.6</v>
      </c>
      <c r="V55" s="93">
        <f t="shared" si="10"/>
        <v>-4461.7</v>
      </c>
      <c r="W55" s="93">
        <f t="shared" si="0"/>
        <v>98.8</v>
      </c>
      <c r="X55" s="93">
        <f t="shared" si="10"/>
        <v>361135.3</v>
      </c>
      <c r="Y55" s="93">
        <f t="shared" si="10"/>
        <v>360384.8</v>
      </c>
      <c r="Z55" s="93">
        <f t="shared" si="10"/>
        <v>162026.4</v>
      </c>
      <c r="AA55" s="93">
        <f t="shared" si="10"/>
        <v>161651.7</v>
      </c>
      <c r="AB55" s="93">
        <f t="shared" si="10"/>
        <v>26159</v>
      </c>
      <c r="AC55" s="93">
        <f t="shared" si="10"/>
        <v>22447.8</v>
      </c>
    </row>
    <row r="56" spans="1:29" ht="15.75">
      <c r="A56" s="67"/>
      <c r="B56" s="68"/>
      <c r="C56" s="68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70"/>
      <c r="U56" s="70"/>
      <c r="V56" s="70"/>
      <c r="W56" s="71"/>
      <c r="X56" s="70"/>
      <c r="Y56" s="71"/>
      <c r="Z56" s="70"/>
      <c r="AA56" s="71"/>
      <c r="AB56" s="70"/>
      <c r="AC56" s="71"/>
    </row>
    <row r="57" spans="2:22" ht="12.75">
      <c r="B57" s="23"/>
      <c r="C57" s="23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23"/>
      <c r="U57" s="23"/>
      <c r="V57" s="23"/>
    </row>
    <row r="58" spans="4:19" ht="12.75"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</sheetData>
  <sheetProtection/>
  <autoFilter ref="C1:C58"/>
  <mergeCells count="56">
    <mergeCell ref="Q11:R11"/>
    <mergeCell ref="W9:W12"/>
    <mergeCell ref="A27:A31"/>
    <mergeCell ref="B27:B31"/>
    <mergeCell ref="K11:K12"/>
    <mergeCell ref="L10:L12"/>
    <mergeCell ref="C9:C12"/>
    <mergeCell ref="E10:G10"/>
    <mergeCell ref="E11:F11"/>
    <mergeCell ref="G11:G12"/>
    <mergeCell ref="A51:A53"/>
    <mergeCell ref="B51:B53"/>
    <mergeCell ref="A32:A35"/>
    <mergeCell ref="B32:B35"/>
    <mergeCell ref="A42:A45"/>
    <mergeCell ref="B42:B45"/>
    <mergeCell ref="A37:A41"/>
    <mergeCell ref="B37:B41"/>
    <mergeCell ref="A46:A50"/>
    <mergeCell ref="B46:B50"/>
    <mergeCell ref="X9:AC9"/>
    <mergeCell ref="X10:AA10"/>
    <mergeCell ref="AB10:AC10"/>
    <mergeCell ref="X11:X12"/>
    <mergeCell ref="Y11:Y12"/>
    <mergeCell ref="AC11:AC12"/>
    <mergeCell ref="Z11:AA11"/>
    <mergeCell ref="AB11:AB12"/>
    <mergeCell ref="M11:N11"/>
    <mergeCell ref="V9:V12"/>
    <mergeCell ref="T9:T12"/>
    <mergeCell ref="U9:U12"/>
    <mergeCell ref="D9:G9"/>
    <mergeCell ref="H9:K9"/>
    <mergeCell ref="L9:O9"/>
    <mergeCell ref="O11:O12"/>
    <mergeCell ref="P9:S9"/>
    <mergeCell ref="D10:D12"/>
    <mergeCell ref="C4:F4"/>
    <mergeCell ref="C5:F5"/>
    <mergeCell ref="B6:AC6"/>
    <mergeCell ref="H10:H12"/>
    <mergeCell ref="I10:K10"/>
    <mergeCell ref="I11:J11"/>
    <mergeCell ref="P10:P12"/>
    <mergeCell ref="Q10:S10"/>
    <mergeCell ref="M10:O10"/>
    <mergeCell ref="S11:S12"/>
    <mergeCell ref="A23:A26"/>
    <mergeCell ref="B23:B26"/>
    <mergeCell ref="A16:A18"/>
    <mergeCell ref="B16:B18"/>
    <mergeCell ref="A9:A12"/>
    <mergeCell ref="B9:B12"/>
    <mergeCell ref="A20:A22"/>
    <mergeCell ref="B20:B22"/>
  </mergeCells>
  <printOptions/>
  <pageMargins left="0.7874015748031497" right="0.1968503937007874" top="0.7874015748031497" bottom="0.3937007874015748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showZeros="0" zoomScalePageLayoutView="0" workbookViewId="0" topLeftCell="A7">
      <selection activeCell="I14" sqref="I14"/>
    </sheetView>
  </sheetViews>
  <sheetFormatPr defaultColWidth="10.140625" defaultRowHeight="12.75"/>
  <cols>
    <col min="1" max="1" width="6.00390625" style="26" customWidth="1"/>
    <col min="2" max="2" width="34.7109375" style="0" customWidth="1"/>
    <col min="3" max="3" width="11.00390625" style="0" customWidth="1"/>
  </cols>
  <sheetData>
    <row r="1" spans="1:3" ht="14.25" customHeight="1">
      <c r="A1" s="3"/>
      <c r="B1" s="1"/>
      <c r="C1" s="1" t="s">
        <v>0</v>
      </c>
    </row>
    <row r="2" spans="1:3" ht="14.25" customHeight="1">
      <c r="A2" s="3"/>
      <c r="B2" s="1"/>
      <c r="C2" s="1" t="s">
        <v>350</v>
      </c>
    </row>
    <row r="3" spans="1:3" ht="14.25" customHeight="1">
      <c r="A3" s="3"/>
      <c r="B3" s="1"/>
      <c r="C3" s="1" t="s">
        <v>263</v>
      </c>
    </row>
    <row r="4" spans="1:3" ht="14.25" customHeight="1">
      <c r="A4" s="3"/>
      <c r="B4" s="3"/>
      <c r="C4" s="3"/>
    </row>
    <row r="5" spans="1:6" ht="47.25" customHeight="1">
      <c r="A5" s="107" t="s">
        <v>354</v>
      </c>
      <c r="B5" s="107"/>
      <c r="C5" s="107"/>
      <c r="D5" s="107"/>
      <c r="E5" s="107"/>
      <c r="F5" s="107"/>
    </row>
    <row r="6" spans="1:2" ht="15.75" customHeight="1">
      <c r="A6" s="41"/>
      <c r="B6" s="41"/>
    </row>
    <row r="7" spans="1:2" ht="15" customHeight="1">
      <c r="A7" s="3"/>
      <c r="B7" s="3"/>
    </row>
    <row r="8" spans="1:2" ht="31.5" customHeight="1">
      <c r="A8" s="31"/>
      <c r="B8" s="1"/>
    </row>
    <row r="9" spans="1:6" ht="15.75" customHeight="1">
      <c r="A9" s="116" t="s">
        <v>1</v>
      </c>
      <c r="B9" s="116" t="s">
        <v>40</v>
      </c>
      <c r="C9" s="115" t="s">
        <v>129</v>
      </c>
      <c r="D9" s="115"/>
      <c r="E9" s="115"/>
      <c r="F9" s="115"/>
    </row>
    <row r="10" spans="1:6" ht="63">
      <c r="A10" s="116"/>
      <c r="B10" s="116"/>
      <c r="C10" s="22" t="s">
        <v>279</v>
      </c>
      <c r="D10" s="22" t="s">
        <v>273</v>
      </c>
      <c r="E10" s="22" t="s">
        <v>280</v>
      </c>
      <c r="F10" s="22" t="s">
        <v>268</v>
      </c>
    </row>
    <row r="11" spans="1:6" ht="15.75">
      <c r="A11" s="4">
        <v>1</v>
      </c>
      <c r="B11" s="24">
        <v>2</v>
      </c>
      <c r="C11" s="25">
        <v>3</v>
      </c>
      <c r="D11" s="25">
        <v>4</v>
      </c>
      <c r="E11" s="25">
        <v>5</v>
      </c>
      <c r="F11" s="25">
        <v>6</v>
      </c>
    </row>
    <row r="12" spans="1:6" ht="31.5">
      <c r="A12" s="30">
        <v>1</v>
      </c>
      <c r="B12" s="29" t="s">
        <v>57</v>
      </c>
      <c r="C12" s="39"/>
      <c r="D12" s="39"/>
      <c r="E12" s="39"/>
      <c r="F12" s="39"/>
    </row>
    <row r="13" spans="1:6" ht="31.5">
      <c r="A13" s="30">
        <f>+A12+1</f>
        <v>2</v>
      </c>
      <c r="B13" s="22" t="s">
        <v>124</v>
      </c>
      <c r="C13" s="28">
        <v>2034.3</v>
      </c>
      <c r="D13" s="47">
        <f>+'1 pr.asignavimai'!L46</f>
        <v>977.7</v>
      </c>
      <c r="E13" s="47">
        <f>+D13-C13</f>
        <v>-1056.6</v>
      </c>
      <c r="F13" s="47">
        <f>+D13/C13*100</f>
        <v>48.1</v>
      </c>
    </row>
    <row r="14" spans="1:6" ht="31.5">
      <c r="A14" s="30" t="s">
        <v>111</v>
      </c>
      <c r="B14" s="22" t="s">
        <v>352</v>
      </c>
      <c r="C14" s="28">
        <v>1666.7</v>
      </c>
      <c r="D14" s="47">
        <f>+'1 pr.asignavimai'!L54</f>
        <v>1162.5</v>
      </c>
      <c r="E14" s="47">
        <f aca="true" t="shared" si="0" ref="E14:E21">+D14-C14</f>
        <v>-504.2</v>
      </c>
      <c r="F14" s="47">
        <f aca="true" t="shared" si="1" ref="F14:F22">+D14/C14*100</f>
        <v>69.7</v>
      </c>
    </row>
    <row r="15" spans="1:6" s="11" customFormat="1" ht="15.75">
      <c r="A15" s="30" t="s">
        <v>112</v>
      </c>
      <c r="B15" s="22" t="s">
        <v>58</v>
      </c>
      <c r="C15" s="28">
        <v>150</v>
      </c>
      <c r="D15" s="47"/>
      <c r="E15" s="47">
        <f t="shared" si="0"/>
        <v>-150</v>
      </c>
      <c r="F15" s="47">
        <f t="shared" si="1"/>
        <v>0</v>
      </c>
    </row>
    <row r="16" spans="1:6" s="11" customFormat="1" ht="31.5">
      <c r="A16" s="30" t="s">
        <v>113</v>
      </c>
      <c r="B16" s="22" t="s">
        <v>125</v>
      </c>
      <c r="C16" s="28">
        <v>2411.2</v>
      </c>
      <c r="D16" s="47">
        <f>+'1 pr.asignavimai'!L63</f>
        <v>2273</v>
      </c>
      <c r="E16" s="47">
        <f t="shared" si="0"/>
        <v>-138.2</v>
      </c>
      <c r="F16" s="47">
        <f t="shared" si="1"/>
        <v>94.3</v>
      </c>
    </row>
    <row r="17" spans="1:6" s="11" customFormat="1" ht="31.5">
      <c r="A17" s="30" t="s">
        <v>114</v>
      </c>
      <c r="B17" s="6" t="s">
        <v>62</v>
      </c>
      <c r="C17" s="28">
        <v>1986.1</v>
      </c>
      <c r="D17" s="47">
        <f>+'1 pr.asignavimai'!L67</f>
        <v>1387.3</v>
      </c>
      <c r="E17" s="47">
        <f t="shared" si="0"/>
        <v>-598.8</v>
      </c>
      <c r="F17" s="47">
        <f t="shared" si="1"/>
        <v>69.9</v>
      </c>
    </row>
    <row r="18" spans="1:6" ht="47.25">
      <c r="A18" s="30" t="s">
        <v>115</v>
      </c>
      <c r="B18" s="6" t="s">
        <v>65</v>
      </c>
      <c r="C18" s="28">
        <v>18.8</v>
      </c>
      <c r="D18" s="47">
        <f>+'1 pr.asignavimai'!L72</f>
        <v>18.7</v>
      </c>
      <c r="E18" s="47">
        <f t="shared" si="0"/>
        <v>-0.1</v>
      </c>
      <c r="F18" s="47">
        <f t="shared" si="1"/>
        <v>99.5</v>
      </c>
    </row>
    <row r="19" spans="1:6" s="11" customFormat="1" ht="31.5">
      <c r="A19" s="30" t="s">
        <v>116</v>
      </c>
      <c r="B19" s="22" t="s">
        <v>82</v>
      </c>
      <c r="C19" s="28">
        <v>1998.6</v>
      </c>
      <c r="D19" s="47">
        <f>+'1 pr.asignavimai'!L76</f>
        <v>1804.9</v>
      </c>
      <c r="E19" s="47">
        <f t="shared" si="0"/>
        <v>-193.7</v>
      </c>
      <c r="F19" s="47">
        <f t="shared" si="1"/>
        <v>90.3</v>
      </c>
    </row>
    <row r="20" spans="1:6" s="11" customFormat="1" ht="31.5">
      <c r="A20" s="30" t="s">
        <v>117</v>
      </c>
      <c r="B20" s="22" t="s">
        <v>126</v>
      </c>
      <c r="C20" s="28"/>
      <c r="D20" s="47"/>
      <c r="E20" s="47">
        <f t="shared" si="0"/>
        <v>0</v>
      </c>
      <c r="F20" s="47"/>
    </row>
    <row r="21" spans="1:6" s="11" customFormat="1" ht="31.5">
      <c r="A21" s="30" t="s">
        <v>118</v>
      </c>
      <c r="B21" s="22" t="s">
        <v>84</v>
      </c>
      <c r="C21" s="28">
        <v>1008.2</v>
      </c>
      <c r="D21" s="47">
        <f>+'1 pr.asignavimai'!L84</f>
        <v>195.7</v>
      </c>
      <c r="E21" s="47">
        <f t="shared" si="0"/>
        <v>-812.5</v>
      </c>
      <c r="F21" s="47">
        <f t="shared" si="1"/>
        <v>19.4</v>
      </c>
    </row>
    <row r="22" spans="1:6" ht="15" customHeight="1">
      <c r="A22" s="30" t="s">
        <v>119</v>
      </c>
      <c r="B22" s="12" t="s">
        <v>72</v>
      </c>
      <c r="C22" s="27">
        <f>SUM(C13:C21)</f>
        <v>11273.9</v>
      </c>
      <c r="D22" s="27">
        <f>SUM(D13:D21)</f>
        <v>7819.8</v>
      </c>
      <c r="E22" s="27">
        <f>SUM(E13:E21)</f>
        <v>-3454.1</v>
      </c>
      <c r="F22" s="46">
        <f t="shared" si="1"/>
        <v>69.4</v>
      </c>
    </row>
    <row r="24" ht="15">
      <c r="B24" s="23"/>
    </row>
  </sheetData>
  <sheetProtection/>
  <mergeCells count="4">
    <mergeCell ref="C9:F9"/>
    <mergeCell ref="A5:F5"/>
    <mergeCell ref="A9:A10"/>
    <mergeCell ref="B9:B10"/>
  </mergeCells>
  <printOptions/>
  <pageMargins left="1.1811023622047245" right="0.3937007874015748" top="0.984251968503937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4"/>
  <sheetViews>
    <sheetView showZeros="0" zoomScalePageLayoutView="0" workbookViewId="0" topLeftCell="A1">
      <pane xSplit="2" ySplit="10" topLeftCell="C140" activePane="bottomRight" state="frozen"/>
      <selection pane="topLeft" activeCell="A1" sqref="A1"/>
      <selection pane="topRight" activeCell="K1" sqref="K1"/>
      <selection pane="bottomLeft" activeCell="A10" sqref="A10"/>
      <selection pane="bottomRight" activeCell="U132" sqref="T132:U132"/>
    </sheetView>
  </sheetViews>
  <sheetFormatPr defaultColWidth="9.140625" defaultRowHeight="12.75"/>
  <cols>
    <col min="1" max="1" width="5.140625" style="1" customWidth="1"/>
    <col min="2" max="2" width="39.57421875" style="1" customWidth="1"/>
    <col min="3" max="3" width="8.28125" style="0" customWidth="1"/>
    <col min="4" max="4" width="9.28125" style="0" customWidth="1"/>
    <col min="5" max="5" width="10.7109375" style="0" customWidth="1"/>
    <col min="6" max="6" width="8.57421875" style="0" customWidth="1"/>
    <col min="7" max="7" width="9.00390625" style="0" customWidth="1"/>
    <col min="8" max="8" width="10.140625" style="0" customWidth="1"/>
    <col min="9" max="9" width="9.28125" style="0" customWidth="1"/>
    <col min="10" max="10" width="7.7109375" style="0" customWidth="1"/>
    <col min="11" max="11" width="9.8515625" style="0" customWidth="1"/>
    <col min="12" max="12" width="8.28125" style="0" customWidth="1"/>
    <col min="13" max="13" width="7.28125" style="0" customWidth="1"/>
    <col min="14" max="14" width="9.28125" style="0" customWidth="1"/>
  </cols>
  <sheetData>
    <row r="1" ht="15.75">
      <c r="I1" s="43" t="s">
        <v>0</v>
      </c>
    </row>
    <row r="2" ht="15.75">
      <c r="I2" s="43" t="s">
        <v>324</v>
      </c>
    </row>
    <row r="3" ht="15.75">
      <c r="I3" s="43" t="s">
        <v>127</v>
      </c>
    </row>
    <row r="4" ht="11.25" customHeight="1">
      <c r="L4" t="s">
        <v>282</v>
      </c>
    </row>
    <row r="5" spans="1:13" ht="39" customHeight="1">
      <c r="A5" s="14"/>
      <c r="B5" s="120" t="s">
        <v>325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</row>
    <row r="6" spans="1:5" ht="21.75" customHeight="1">
      <c r="A6" s="14"/>
      <c r="B6" s="14"/>
      <c r="C6" s="36"/>
      <c r="D6" s="36"/>
      <c r="E6" s="36"/>
    </row>
    <row r="7" spans="1:14" ht="15" customHeight="1">
      <c r="A7" s="2"/>
      <c r="B7" s="3"/>
      <c r="C7" s="48"/>
      <c r="D7" s="48"/>
      <c r="E7" s="48"/>
      <c r="F7" s="48"/>
      <c r="G7" s="48"/>
      <c r="H7" s="48"/>
      <c r="I7" s="48"/>
      <c r="J7" s="48"/>
      <c r="K7" s="48"/>
      <c r="L7" s="48"/>
      <c r="M7" s="124" t="s">
        <v>13</v>
      </c>
      <c r="N7" s="124"/>
    </row>
    <row r="8" spans="1:14" ht="21.75" customHeight="1">
      <c r="A8" s="117" t="s">
        <v>1</v>
      </c>
      <c r="B8" s="117" t="s">
        <v>128</v>
      </c>
      <c r="C8" s="123" t="s">
        <v>9</v>
      </c>
      <c r="D8" s="123"/>
      <c r="E8" s="123"/>
      <c r="F8" s="98" t="s">
        <v>14</v>
      </c>
      <c r="G8" s="98"/>
      <c r="H8" s="98"/>
      <c r="I8" s="98"/>
      <c r="J8" s="98"/>
      <c r="K8" s="98"/>
      <c r="L8" s="98"/>
      <c r="M8" s="98"/>
      <c r="N8" s="98"/>
    </row>
    <row r="9" spans="1:14" ht="48" customHeight="1">
      <c r="A9" s="118"/>
      <c r="B9" s="118"/>
      <c r="C9" s="123"/>
      <c r="D9" s="123"/>
      <c r="E9" s="123"/>
      <c r="F9" s="121" t="s">
        <v>283</v>
      </c>
      <c r="G9" s="121"/>
      <c r="H9" s="121"/>
      <c r="I9" s="122" t="s">
        <v>284</v>
      </c>
      <c r="J9" s="122"/>
      <c r="K9" s="122"/>
      <c r="L9" s="122" t="s">
        <v>285</v>
      </c>
      <c r="M9" s="122"/>
      <c r="N9" s="122"/>
    </row>
    <row r="10" spans="1:14" ht="66" customHeight="1">
      <c r="A10" s="119"/>
      <c r="B10" s="119"/>
      <c r="C10" s="44" t="s">
        <v>272</v>
      </c>
      <c r="D10" s="44" t="s">
        <v>273</v>
      </c>
      <c r="E10" s="19" t="s">
        <v>286</v>
      </c>
      <c r="F10" s="44" t="s">
        <v>272</v>
      </c>
      <c r="G10" s="44" t="s">
        <v>273</v>
      </c>
      <c r="H10" s="19" t="s">
        <v>286</v>
      </c>
      <c r="I10" s="44" t="s">
        <v>272</v>
      </c>
      <c r="J10" s="44" t="s">
        <v>293</v>
      </c>
      <c r="K10" s="19" t="s">
        <v>286</v>
      </c>
      <c r="L10" s="44" t="s">
        <v>272</v>
      </c>
      <c r="M10" s="44" t="s">
        <v>293</v>
      </c>
      <c r="N10" s="19" t="s">
        <v>299</v>
      </c>
    </row>
    <row r="11" spans="1:14" ht="15" customHeight="1">
      <c r="A11" s="4">
        <v>1</v>
      </c>
      <c r="B11" s="5" t="s">
        <v>2</v>
      </c>
      <c r="C11" s="4">
        <v>3</v>
      </c>
      <c r="D11" s="5" t="s">
        <v>3</v>
      </c>
      <c r="E11" s="4">
        <v>5</v>
      </c>
      <c r="F11" s="5" t="s">
        <v>15</v>
      </c>
      <c r="G11" s="4">
        <v>7</v>
      </c>
      <c r="H11" s="5" t="s">
        <v>296</v>
      </c>
      <c r="I11" s="4">
        <v>9</v>
      </c>
      <c r="J11" s="5" t="s">
        <v>297</v>
      </c>
      <c r="K11" s="4">
        <v>11</v>
      </c>
      <c r="L11" s="5" t="s">
        <v>298</v>
      </c>
      <c r="M11" s="4">
        <v>13</v>
      </c>
      <c r="N11" s="5" t="s">
        <v>300</v>
      </c>
    </row>
    <row r="12" spans="1:14" ht="18" customHeight="1">
      <c r="A12" s="37">
        <v>1</v>
      </c>
      <c r="B12" s="16" t="s">
        <v>4</v>
      </c>
      <c r="C12" s="33">
        <f>F12+I12+L12</f>
        <v>40.5</v>
      </c>
      <c r="D12" s="33">
        <f>G12+J12+M12</f>
        <v>40.5</v>
      </c>
      <c r="E12" s="33">
        <f>D12-C12</f>
        <v>0</v>
      </c>
      <c r="F12" s="15"/>
      <c r="G12" s="15"/>
      <c r="H12" s="33">
        <f>G12-F12</f>
        <v>0</v>
      </c>
      <c r="I12" s="15"/>
      <c r="J12" s="15"/>
      <c r="K12" s="33">
        <f>J12-I12</f>
        <v>0</v>
      </c>
      <c r="L12" s="15">
        <v>40.5</v>
      </c>
      <c r="M12" s="15">
        <v>40.5</v>
      </c>
      <c r="N12" s="33">
        <f>M12-L12</f>
        <v>0</v>
      </c>
    </row>
    <row r="13" spans="1:14" ht="19.5" customHeight="1">
      <c r="A13" s="37">
        <v>2</v>
      </c>
      <c r="B13" s="16" t="s">
        <v>10</v>
      </c>
      <c r="C13" s="33">
        <f aca="true" t="shared" si="0" ref="C13:N13">+C14+C15</f>
        <v>83.4</v>
      </c>
      <c r="D13" s="33">
        <f t="shared" si="0"/>
        <v>69</v>
      </c>
      <c r="E13" s="33">
        <f t="shared" si="0"/>
        <v>-14.4</v>
      </c>
      <c r="F13" s="33">
        <f t="shared" si="0"/>
        <v>0</v>
      </c>
      <c r="G13" s="33">
        <f t="shared" si="0"/>
        <v>0</v>
      </c>
      <c r="H13" s="33">
        <f t="shared" si="0"/>
        <v>0</v>
      </c>
      <c r="I13" s="33">
        <f t="shared" si="0"/>
        <v>35</v>
      </c>
      <c r="J13" s="33">
        <f t="shared" si="0"/>
        <v>26.9</v>
      </c>
      <c r="K13" s="33">
        <f t="shared" si="0"/>
        <v>-8.1</v>
      </c>
      <c r="L13" s="33">
        <f t="shared" si="0"/>
        <v>48.4</v>
      </c>
      <c r="M13" s="33">
        <f t="shared" si="0"/>
        <v>42.1</v>
      </c>
      <c r="N13" s="33">
        <f t="shared" si="0"/>
        <v>-6.3</v>
      </c>
    </row>
    <row r="14" spans="1:14" ht="16.5" customHeight="1">
      <c r="A14" s="37">
        <v>3</v>
      </c>
      <c r="B14" s="32" t="s">
        <v>10</v>
      </c>
      <c r="C14" s="34">
        <f>F14+I14+L14</f>
        <v>5</v>
      </c>
      <c r="D14" s="34">
        <f>G14+J14+M14</f>
        <v>4.4</v>
      </c>
      <c r="E14" s="34">
        <f aca="true" t="shared" si="1" ref="E14:E78">D14-C14</f>
        <v>-0.6</v>
      </c>
      <c r="F14" s="8"/>
      <c r="G14" s="8"/>
      <c r="H14" s="33">
        <f aca="true" t="shared" si="2" ref="H14:H78">G14-F14</f>
        <v>0</v>
      </c>
      <c r="I14" s="8">
        <v>5</v>
      </c>
      <c r="J14" s="8">
        <v>4.4</v>
      </c>
      <c r="K14" s="34">
        <f aca="true" t="shared" si="3" ref="K14:K78">J14-I14</f>
        <v>-0.6</v>
      </c>
      <c r="L14" s="8">
        <v>0</v>
      </c>
      <c r="M14" s="8"/>
      <c r="N14" s="33">
        <f aca="true" t="shared" si="4" ref="N14:N78">M14-L14</f>
        <v>0</v>
      </c>
    </row>
    <row r="15" spans="1:14" ht="31.5">
      <c r="A15" s="37">
        <v>4</v>
      </c>
      <c r="B15" s="32" t="s">
        <v>5</v>
      </c>
      <c r="C15" s="34">
        <f>F15+I15+L15</f>
        <v>78.4</v>
      </c>
      <c r="D15" s="34">
        <f>G15+J15+M15</f>
        <v>64.6</v>
      </c>
      <c r="E15" s="34">
        <f t="shared" si="1"/>
        <v>-13.8</v>
      </c>
      <c r="F15" s="8"/>
      <c r="G15" s="8"/>
      <c r="H15" s="33">
        <f t="shared" si="2"/>
        <v>0</v>
      </c>
      <c r="I15" s="8">
        <v>30</v>
      </c>
      <c r="J15" s="8">
        <v>22.5</v>
      </c>
      <c r="K15" s="34">
        <f t="shared" si="3"/>
        <v>-7.5</v>
      </c>
      <c r="L15" s="8">
        <v>48.4</v>
      </c>
      <c r="M15" s="8">
        <v>42.1</v>
      </c>
      <c r="N15" s="34">
        <f t="shared" si="4"/>
        <v>-6.3</v>
      </c>
    </row>
    <row r="16" spans="1:14" s="11" customFormat="1" ht="15.75">
      <c r="A16" s="37">
        <v>5</v>
      </c>
      <c r="B16" s="16" t="s">
        <v>11</v>
      </c>
      <c r="C16" s="33">
        <f aca="true" t="shared" si="5" ref="C16:N16">SUM(C17:C123)</f>
        <v>18686.3</v>
      </c>
      <c r="D16" s="33">
        <f t="shared" si="5"/>
        <v>17805.4</v>
      </c>
      <c r="E16" s="33">
        <f t="shared" si="5"/>
        <v>-880.9</v>
      </c>
      <c r="F16" s="33">
        <f t="shared" si="5"/>
        <v>13696.4</v>
      </c>
      <c r="G16" s="33">
        <f t="shared" si="5"/>
        <v>12904.4</v>
      </c>
      <c r="H16" s="33">
        <f t="shared" si="5"/>
        <v>-792</v>
      </c>
      <c r="I16" s="33">
        <f t="shared" si="5"/>
        <v>4537</v>
      </c>
      <c r="J16" s="33">
        <f t="shared" si="5"/>
        <v>4485.9</v>
      </c>
      <c r="K16" s="33">
        <f t="shared" si="5"/>
        <v>-51.1</v>
      </c>
      <c r="L16" s="33">
        <f t="shared" si="5"/>
        <v>452.9</v>
      </c>
      <c r="M16" s="33">
        <f t="shared" si="5"/>
        <v>415.1</v>
      </c>
      <c r="N16" s="33">
        <f t="shared" si="5"/>
        <v>-37.8</v>
      </c>
    </row>
    <row r="17" spans="1:14" ht="15.75">
      <c r="A17" s="37">
        <v>6</v>
      </c>
      <c r="B17" s="32" t="s">
        <v>132</v>
      </c>
      <c r="C17" s="34">
        <f aca="true" t="shared" si="6" ref="C17:D81">F17+I17+L17</f>
        <v>240</v>
      </c>
      <c r="D17" s="34">
        <f t="shared" si="6"/>
        <v>287.3</v>
      </c>
      <c r="E17" s="34">
        <f t="shared" si="1"/>
        <v>47.3</v>
      </c>
      <c r="F17" s="8">
        <v>120</v>
      </c>
      <c r="G17" s="8">
        <v>117.4</v>
      </c>
      <c r="H17" s="34">
        <f t="shared" si="2"/>
        <v>-2.6</v>
      </c>
      <c r="I17" s="8">
        <v>120</v>
      </c>
      <c r="J17" s="8">
        <f>199.8-29.9</f>
        <v>169.9</v>
      </c>
      <c r="K17" s="34">
        <f t="shared" si="3"/>
        <v>49.9</v>
      </c>
      <c r="L17" s="8">
        <v>0</v>
      </c>
      <c r="M17" s="8"/>
      <c r="N17" s="34">
        <f t="shared" si="4"/>
        <v>0</v>
      </c>
    </row>
    <row r="18" spans="1:14" ht="15.75">
      <c r="A18" s="37">
        <v>7</v>
      </c>
      <c r="B18" s="32" t="s">
        <v>133</v>
      </c>
      <c r="C18" s="34">
        <f t="shared" si="6"/>
        <v>40</v>
      </c>
      <c r="D18" s="34">
        <f t="shared" si="6"/>
        <v>50.1</v>
      </c>
      <c r="E18" s="34">
        <f t="shared" si="1"/>
        <v>10.1</v>
      </c>
      <c r="F18" s="8">
        <v>40</v>
      </c>
      <c r="G18" s="8">
        <v>50.1</v>
      </c>
      <c r="H18" s="34">
        <f t="shared" si="2"/>
        <v>10.1</v>
      </c>
      <c r="I18" s="8">
        <v>0</v>
      </c>
      <c r="J18" s="8"/>
      <c r="K18" s="34">
        <f t="shared" si="3"/>
        <v>0</v>
      </c>
      <c r="L18" s="8">
        <v>0</v>
      </c>
      <c r="M18" s="8"/>
      <c r="N18" s="34">
        <f t="shared" si="4"/>
        <v>0</v>
      </c>
    </row>
    <row r="19" spans="1:14" ht="15" customHeight="1">
      <c r="A19" s="37">
        <v>8</v>
      </c>
      <c r="B19" s="32" t="s">
        <v>7</v>
      </c>
      <c r="C19" s="34">
        <f t="shared" si="6"/>
        <v>175.6</v>
      </c>
      <c r="D19" s="34">
        <f t="shared" si="6"/>
        <v>179</v>
      </c>
      <c r="E19" s="34">
        <f t="shared" si="1"/>
        <v>3.4</v>
      </c>
      <c r="F19" s="8">
        <v>82</v>
      </c>
      <c r="G19" s="8">
        <v>84.2</v>
      </c>
      <c r="H19" s="34">
        <f t="shared" si="2"/>
        <v>2.2</v>
      </c>
      <c r="I19" s="8">
        <v>69</v>
      </c>
      <c r="J19" s="8">
        <v>70.6</v>
      </c>
      <c r="K19" s="34">
        <f t="shared" si="3"/>
        <v>1.6</v>
      </c>
      <c r="L19" s="8">
        <v>24.6</v>
      </c>
      <c r="M19" s="8">
        <v>24.2</v>
      </c>
      <c r="N19" s="34">
        <f t="shared" si="4"/>
        <v>-0.4</v>
      </c>
    </row>
    <row r="20" spans="1:14" ht="14.25" customHeight="1">
      <c r="A20" s="37">
        <v>9</v>
      </c>
      <c r="B20" s="32" t="s">
        <v>229</v>
      </c>
      <c r="C20" s="34">
        <f t="shared" si="6"/>
        <v>82.2</v>
      </c>
      <c r="D20" s="34">
        <f t="shared" si="6"/>
        <v>61.5</v>
      </c>
      <c r="E20" s="34">
        <f t="shared" si="1"/>
        <v>-20.7</v>
      </c>
      <c r="F20" s="8">
        <v>82.2</v>
      </c>
      <c r="G20" s="8">
        <v>61.5</v>
      </c>
      <c r="H20" s="34">
        <f t="shared" si="2"/>
        <v>-20.7</v>
      </c>
      <c r="I20" s="8">
        <v>0</v>
      </c>
      <c r="J20" s="8"/>
      <c r="K20" s="34">
        <f t="shared" si="3"/>
        <v>0</v>
      </c>
      <c r="L20" s="8">
        <v>0</v>
      </c>
      <c r="M20" s="8"/>
      <c r="N20" s="34">
        <f t="shared" si="4"/>
        <v>0</v>
      </c>
    </row>
    <row r="21" spans="1:14" ht="33" customHeight="1">
      <c r="A21" s="37">
        <v>10</v>
      </c>
      <c r="B21" s="32" t="s">
        <v>230</v>
      </c>
      <c r="C21" s="34">
        <f t="shared" si="6"/>
        <v>100</v>
      </c>
      <c r="D21" s="34">
        <f t="shared" si="6"/>
        <v>100</v>
      </c>
      <c r="E21" s="34">
        <f t="shared" si="1"/>
        <v>0</v>
      </c>
      <c r="F21" s="8">
        <v>100</v>
      </c>
      <c r="G21" s="8">
        <v>100</v>
      </c>
      <c r="H21" s="34">
        <f t="shared" si="2"/>
        <v>0</v>
      </c>
      <c r="I21" s="8">
        <v>0</v>
      </c>
      <c r="J21" s="8"/>
      <c r="K21" s="34">
        <f t="shared" si="3"/>
        <v>0</v>
      </c>
      <c r="L21" s="8">
        <v>0</v>
      </c>
      <c r="M21" s="8"/>
      <c r="N21" s="34">
        <f t="shared" si="4"/>
        <v>0</v>
      </c>
    </row>
    <row r="22" spans="1:14" ht="32.25" customHeight="1">
      <c r="A22" s="37">
        <v>11</v>
      </c>
      <c r="B22" s="32" t="s">
        <v>134</v>
      </c>
      <c r="C22" s="34">
        <f t="shared" si="6"/>
        <v>118.8</v>
      </c>
      <c r="D22" s="34">
        <f t="shared" si="6"/>
        <v>133.1</v>
      </c>
      <c r="E22" s="34">
        <f t="shared" si="1"/>
        <v>14.3</v>
      </c>
      <c r="F22" s="8">
        <v>0</v>
      </c>
      <c r="G22" s="8"/>
      <c r="H22" s="34">
        <f t="shared" si="2"/>
        <v>0</v>
      </c>
      <c r="I22" s="8">
        <v>110</v>
      </c>
      <c r="J22" s="8">
        <v>124.3</v>
      </c>
      <c r="K22" s="34">
        <f t="shared" si="3"/>
        <v>14.3</v>
      </c>
      <c r="L22" s="8">
        <v>8.8</v>
      </c>
      <c r="M22" s="8">
        <v>8.8</v>
      </c>
      <c r="N22" s="34">
        <f t="shared" si="4"/>
        <v>0</v>
      </c>
    </row>
    <row r="23" spans="1:14" ht="30.75" customHeight="1">
      <c r="A23" s="37">
        <v>12</v>
      </c>
      <c r="B23" s="32" t="s">
        <v>135</v>
      </c>
      <c r="C23" s="34">
        <f t="shared" si="6"/>
        <v>35</v>
      </c>
      <c r="D23" s="34">
        <f t="shared" si="6"/>
        <v>32.8</v>
      </c>
      <c r="E23" s="34">
        <f t="shared" si="1"/>
        <v>-2.2</v>
      </c>
      <c r="F23" s="8">
        <v>0</v>
      </c>
      <c r="G23" s="8"/>
      <c r="H23" s="34">
        <f t="shared" si="2"/>
        <v>0</v>
      </c>
      <c r="I23" s="8">
        <v>35</v>
      </c>
      <c r="J23" s="8">
        <v>32.8</v>
      </c>
      <c r="K23" s="34">
        <f t="shared" si="3"/>
        <v>-2.2</v>
      </c>
      <c r="L23" s="8">
        <v>0</v>
      </c>
      <c r="M23" s="8"/>
      <c r="N23" s="34">
        <f t="shared" si="4"/>
        <v>0</v>
      </c>
    </row>
    <row r="24" spans="1:14" ht="31.5" customHeight="1">
      <c r="A24" s="37">
        <v>13</v>
      </c>
      <c r="B24" s="32" t="s">
        <v>136</v>
      </c>
      <c r="C24" s="34">
        <f t="shared" si="6"/>
        <v>160</v>
      </c>
      <c r="D24" s="34">
        <f t="shared" si="6"/>
        <v>168</v>
      </c>
      <c r="E24" s="34">
        <f t="shared" si="1"/>
        <v>8</v>
      </c>
      <c r="F24" s="8">
        <v>0</v>
      </c>
      <c r="G24" s="8"/>
      <c r="H24" s="34">
        <f t="shared" si="2"/>
        <v>0</v>
      </c>
      <c r="I24" s="8">
        <v>160</v>
      </c>
      <c r="J24" s="8">
        <v>168</v>
      </c>
      <c r="K24" s="34">
        <f t="shared" si="3"/>
        <v>8</v>
      </c>
      <c r="L24" s="8">
        <v>0</v>
      </c>
      <c r="M24" s="8"/>
      <c r="N24" s="34">
        <f t="shared" si="4"/>
        <v>0</v>
      </c>
    </row>
    <row r="25" spans="1:14" ht="31.5">
      <c r="A25" s="37">
        <v>14</v>
      </c>
      <c r="B25" s="32" t="s">
        <v>139</v>
      </c>
      <c r="C25" s="34">
        <f t="shared" si="6"/>
        <v>353</v>
      </c>
      <c r="D25" s="34">
        <f t="shared" si="6"/>
        <v>322.8</v>
      </c>
      <c r="E25" s="34">
        <f t="shared" si="1"/>
        <v>-30.2</v>
      </c>
      <c r="F25" s="8">
        <v>0</v>
      </c>
      <c r="G25" s="8"/>
      <c r="H25" s="34">
        <f t="shared" si="2"/>
        <v>0</v>
      </c>
      <c r="I25" s="8">
        <v>200</v>
      </c>
      <c r="J25" s="8">
        <v>168.8</v>
      </c>
      <c r="K25" s="34">
        <f t="shared" si="3"/>
        <v>-31.2</v>
      </c>
      <c r="L25" s="8">
        <v>153</v>
      </c>
      <c r="M25" s="8">
        <f>154</f>
        <v>154</v>
      </c>
      <c r="N25" s="34">
        <f t="shared" si="4"/>
        <v>1</v>
      </c>
    </row>
    <row r="26" spans="1:14" ht="31.5">
      <c r="A26" s="37">
        <v>15</v>
      </c>
      <c r="B26" s="32" t="s">
        <v>138</v>
      </c>
      <c r="C26" s="34">
        <f t="shared" si="6"/>
        <v>599.2</v>
      </c>
      <c r="D26" s="34">
        <f t="shared" si="6"/>
        <v>685.9</v>
      </c>
      <c r="E26" s="34">
        <f t="shared" si="1"/>
        <v>86.7</v>
      </c>
      <c r="F26" s="8">
        <v>0</v>
      </c>
      <c r="G26" s="8"/>
      <c r="H26" s="34">
        <f t="shared" si="2"/>
        <v>0</v>
      </c>
      <c r="I26" s="8">
        <v>570</v>
      </c>
      <c r="J26" s="8">
        <v>667.5</v>
      </c>
      <c r="K26" s="34">
        <f t="shared" si="3"/>
        <v>97.5</v>
      </c>
      <c r="L26" s="8">
        <v>29.2</v>
      </c>
      <c r="M26" s="8">
        <f>13.9+4.5</f>
        <v>18.4</v>
      </c>
      <c r="N26" s="34">
        <f t="shared" si="4"/>
        <v>-10.8</v>
      </c>
    </row>
    <row r="27" spans="1:14" ht="32.25" customHeight="1">
      <c r="A27" s="37">
        <v>16</v>
      </c>
      <c r="B27" s="32" t="s">
        <v>137</v>
      </c>
      <c r="C27" s="34">
        <f t="shared" si="6"/>
        <v>27</v>
      </c>
      <c r="D27" s="34">
        <f t="shared" si="6"/>
        <v>30</v>
      </c>
      <c r="E27" s="34">
        <f t="shared" si="1"/>
        <v>3</v>
      </c>
      <c r="F27" s="8">
        <v>0</v>
      </c>
      <c r="G27" s="8"/>
      <c r="H27" s="34">
        <f t="shared" si="2"/>
        <v>0</v>
      </c>
      <c r="I27" s="8">
        <v>27</v>
      </c>
      <c r="J27" s="8">
        <v>30</v>
      </c>
      <c r="K27" s="34">
        <f t="shared" si="3"/>
        <v>3</v>
      </c>
      <c r="L27" s="8">
        <v>0</v>
      </c>
      <c r="M27" s="8"/>
      <c r="N27" s="34">
        <f t="shared" si="4"/>
        <v>0</v>
      </c>
    </row>
    <row r="28" spans="1:14" ht="15" customHeight="1">
      <c r="A28" s="37">
        <v>17</v>
      </c>
      <c r="B28" s="32" t="s">
        <v>8</v>
      </c>
      <c r="C28" s="34">
        <f t="shared" si="6"/>
        <v>22.8</v>
      </c>
      <c r="D28" s="34">
        <f t="shared" si="6"/>
        <v>23.1</v>
      </c>
      <c r="E28" s="34">
        <f t="shared" si="1"/>
        <v>0.3</v>
      </c>
      <c r="F28" s="8">
        <v>0</v>
      </c>
      <c r="G28" s="8"/>
      <c r="H28" s="34">
        <f t="shared" si="2"/>
        <v>0</v>
      </c>
      <c r="I28" s="8">
        <v>17</v>
      </c>
      <c r="J28" s="8">
        <v>18.1</v>
      </c>
      <c r="K28" s="34">
        <f t="shared" si="3"/>
        <v>1.1</v>
      </c>
      <c r="L28" s="8">
        <v>5.8</v>
      </c>
      <c r="M28" s="8">
        <v>5</v>
      </c>
      <c r="N28" s="34">
        <f t="shared" si="4"/>
        <v>-0.8</v>
      </c>
    </row>
    <row r="29" spans="1:14" ht="15" customHeight="1">
      <c r="A29" s="37">
        <v>18</v>
      </c>
      <c r="B29" s="6" t="s">
        <v>140</v>
      </c>
      <c r="C29" s="34">
        <f t="shared" si="6"/>
        <v>380</v>
      </c>
      <c r="D29" s="34">
        <f t="shared" si="6"/>
        <v>422.8</v>
      </c>
      <c r="E29" s="34">
        <f t="shared" si="1"/>
        <v>42.8</v>
      </c>
      <c r="F29" s="8">
        <v>0</v>
      </c>
      <c r="G29" s="8"/>
      <c r="H29" s="34">
        <f t="shared" si="2"/>
        <v>0</v>
      </c>
      <c r="I29" s="8">
        <v>375</v>
      </c>
      <c r="J29" s="8">
        <v>420.1</v>
      </c>
      <c r="K29" s="34">
        <f t="shared" si="3"/>
        <v>45.1</v>
      </c>
      <c r="L29" s="8">
        <v>5</v>
      </c>
      <c r="M29" s="8">
        <v>2.7</v>
      </c>
      <c r="N29" s="34">
        <f t="shared" si="4"/>
        <v>-2.3</v>
      </c>
    </row>
    <row r="30" spans="1:14" ht="15" customHeight="1">
      <c r="A30" s="37">
        <v>19</v>
      </c>
      <c r="B30" s="6" t="s">
        <v>141</v>
      </c>
      <c r="C30" s="34">
        <f t="shared" si="6"/>
        <v>8.3</v>
      </c>
      <c r="D30" s="34">
        <f t="shared" si="6"/>
        <v>8.3</v>
      </c>
      <c r="E30" s="34">
        <f t="shared" si="1"/>
        <v>0</v>
      </c>
      <c r="F30" s="8">
        <v>4.3</v>
      </c>
      <c r="G30" s="8">
        <v>4.3</v>
      </c>
      <c r="H30" s="34">
        <f t="shared" si="2"/>
        <v>0</v>
      </c>
      <c r="I30" s="8">
        <v>0</v>
      </c>
      <c r="J30" s="8"/>
      <c r="K30" s="34">
        <f t="shared" si="3"/>
        <v>0</v>
      </c>
      <c r="L30" s="8">
        <v>4</v>
      </c>
      <c r="M30" s="8">
        <v>4</v>
      </c>
      <c r="N30" s="34">
        <f t="shared" si="4"/>
        <v>0</v>
      </c>
    </row>
    <row r="31" spans="1:14" ht="15" customHeight="1">
      <c r="A31" s="37">
        <v>20</v>
      </c>
      <c r="B31" s="6" t="s">
        <v>142</v>
      </c>
      <c r="C31" s="34">
        <f t="shared" si="6"/>
        <v>108.1</v>
      </c>
      <c r="D31" s="34">
        <f t="shared" si="6"/>
        <v>86.9</v>
      </c>
      <c r="E31" s="34">
        <f t="shared" si="1"/>
        <v>-21.2</v>
      </c>
      <c r="F31" s="8">
        <v>0</v>
      </c>
      <c r="G31" s="8"/>
      <c r="H31" s="34">
        <f t="shared" si="2"/>
        <v>0</v>
      </c>
      <c r="I31" s="8">
        <v>104.5</v>
      </c>
      <c r="J31" s="8">
        <v>83.3</v>
      </c>
      <c r="K31" s="34">
        <f t="shared" si="3"/>
        <v>-21.2</v>
      </c>
      <c r="L31" s="8">
        <v>3.6</v>
      </c>
      <c r="M31" s="8">
        <v>3.6</v>
      </c>
      <c r="N31" s="34">
        <f t="shared" si="4"/>
        <v>0</v>
      </c>
    </row>
    <row r="32" spans="1:14" ht="15" customHeight="1">
      <c r="A32" s="37">
        <v>21</v>
      </c>
      <c r="B32" s="6" t="s">
        <v>301</v>
      </c>
      <c r="C32" s="34">
        <f t="shared" si="6"/>
        <v>1.8</v>
      </c>
      <c r="D32" s="34">
        <f t="shared" si="6"/>
        <v>1.4</v>
      </c>
      <c r="E32" s="34">
        <f t="shared" si="1"/>
        <v>-0.4</v>
      </c>
      <c r="F32" s="8">
        <v>0</v>
      </c>
      <c r="G32" s="8"/>
      <c r="H32" s="34">
        <f t="shared" si="2"/>
        <v>0</v>
      </c>
      <c r="I32" s="8">
        <v>0</v>
      </c>
      <c r="J32" s="8"/>
      <c r="K32" s="34">
        <f t="shared" si="3"/>
        <v>0</v>
      </c>
      <c r="L32" s="8">
        <v>1.8</v>
      </c>
      <c r="M32" s="8">
        <v>1.4</v>
      </c>
      <c r="N32" s="34">
        <f t="shared" si="4"/>
        <v>-0.4</v>
      </c>
    </row>
    <row r="33" spans="1:14" ht="15.75">
      <c r="A33" s="37">
        <v>22</v>
      </c>
      <c r="B33" s="6" t="s">
        <v>360</v>
      </c>
      <c r="C33" s="34">
        <f>F33+I33+L33</f>
        <v>4</v>
      </c>
      <c r="D33" s="34">
        <f>G33+J33+M33</f>
        <v>0</v>
      </c>
      <c r="E33" s="34">
        <f>D33-C33</f>
        <v>-4</v>
      </c>
      <c r="F33" s="8">
        <v>0</v>
      </c>
      <c r="G33" s="8"/>
      <c r="H33" s="34">
        <f t="shared" si="2"/>
        <v>0</v>
      </c>
      <c r="I33" s="8">
        <v>0</v>
      </c>
      <c r="J33" s="8"/>
      <c r="K33" s="34">
        <f t="shared" si="3"/>
        <v>0</v>
      </c>
      <c r="L33" s="8">
        <v>4</v>
      </c>
      <c r="M33" s="8"/>
      <c r="N33" s="34">
        <f t="shared" si="4"/>
        <v>-4</v>
      </c>
    </row>
    <row r="34" spans="1:14" ht="15" customHeight="1">
      <c r="A34" s="37">
        <v>23</v>
      </c>
      <c r="B34" s="6" t="s">
        <v>221</v>
      </c>
      <c r="C34" s="34">
        <f t="shared" si="6"/>
        <v>3.8</v>
      </c>
      <c r="D34" s="34">
        <f t="shared" si="6"/>
        <v>4.3</v>
      </c>
      <c r="E34" s="34">
        <f t="shared" si="1"/>
        <v>0.5</v>
      </c>
      <c r="F34" s="8">
        <v>0</v>
      </c>
      <c r="G34" s="8"/>
      <c r="H34" s="34">
        <f t="shared" si="2"/>
        <v>0</v>
      </c>
      <c r="I34" s="8">
        <v>0</v>
      </c>
      <c r="J34" s="8"/>
      <c r="K34" s="34">
        <f t="shared" si="3"/>
        <v>0</v>
      </c>
      <c r="L34" s="8">
        <v>3.8</v>
      </c>
      <c r="M34" s="8">
        <v>4.3</v>
      </c>
      <c r="N34" s="34">
        <f t="shared" si="4"/>
        <v>0.5</v>
      </c>
    </row>
    <row r="35" spans="1:14" ht="16.5" customHeight="1">
      <c r="A35" s="37">
        <v>24</v>
      </c>
      <c r="B35" s="6" t="s">
        <v>143</v>
      </c>
      <c r="C35" s="34">
        <f aca="true" t="shared" si="7" ref="C35:D37">F35+I35+L35</f>
        <v>118.1</v>
      </c>
      <c r="D35" s="34">
        <f t="shared" si="7"/>
        <v>109.8</v>
      </c>
      <c r="E35" s="34">
        <f>D35-C35</f>
        <v>-8.3</v>
      </c>
      <c r="F35" s="8">
        <v>0</v>
      </c>
      <c r="G35" s="8"/>
      <c r="H35" s="34">
        <f>G35-F35</f>
        <v>0</v>
      </c>
      <c r="I35" s="8">
        <v>118.1</v>
      </c>
      <c r="J35" s="8">
        <v>109.8</v>
      </c>
      <c r="K35" s="34">
        <f>J35-I35</f>
        <v>-8.3</v>
      </c>
      <c r="L35" s="8">
        <v>0</v>
      </c>
      <c r="M35" s="8"/>
      <c r="N35" s="34">
        <f>M35-L35</f>
        <v>0</v>
      </c>
    </row>
    <row r="36" spans="1:14" ht="15" customHeight="1">
      <c r="A36" s="37">
        <v>25</v>
      </c>
      <c r="B36" s="6" t="s">
        <v>144</v>
      </c>
      <c r="C36" s="34">
        <f t="shared" si="7"/>
        <v>126.9</v>
      </c>
      <c r="D36" s="34">
        <f t="shared" si="7"/>
        <v>63.8</v>
      </c>
      <c r="E36" s="34">
        <f>D36-C36</f>
        <v>-63.1</v>
      </c>
      <c r="F36" s="8">
        <v>0</v>
      </c>
      <c r="G36" s="8"/>
      <c r="H36" s="34">
        <f>G36-F36</f>
        <v>0</v>
      </c>
      <c r="I36" s="8">
        <v>126.9</v>
      </c>
      <c r="J36" s="8">
        <v>63.8</v>
      </c>
      <c r="K36" s="34">
        <f>J36-I36</f>
        <v>-63.1</v>
      </c>
      <c r="L36" s="8">
        <v>0</v>
      </c>
      <c r="M36" s="8"/>
      <c r="N36" s="34">
        <f>M36-L36</f>
        <v>0</v>
      </c>
    </row>
    <row r="37" spans="1:14" ht="17.25" customHeight="1">
      <c r="A37" s="37">
        <v>26</v>
      </c>
      <c r="B37" s="6" t="s">
        <v>146</v>
      </c>
      <c r="C37" s="34">
        <f t="shared" si="7"/>
        <v>21.6</v>
      </c>
      <c r="D37" s="34">
        <f t="shared" si="7"/>
        <v>27.7</v>
      </c>
      <c r="E37" s="34">
        <f>D37-C37</f>
        <v>6.1</v>
      </c>
      <c r="F37" s="8">
        <v>18.1</v>
      </c>
      <c r="G37" s="8">
        <v>23.7</v>
      </c>
      <c r="H37" s="34">
        <f>G37-F37</f>
        <v>5.6</v>
      </c>
      <c r="I37" s="8"/>
      <c r="J37" s="8"/>
      <c r="K37" s="34"/>
      <c r="L37" s="8">
        <v>3.5</v>
      </c>
      <c r="M37" s="8">
        <v>4</v>
      </c>
      <c r="N37" s="34">
        <f>M37-L37</f>
        <v>0.5</v>
      </c>
    </row>
    <row r="38" spans="1:14" ht="17.25" customHeight="1">
      <c r="A38" s="37">
        <v>27</v>
      </c>
      <c r="B38" s="6" t="s">
        <v>145</v>
      </c>
      <c r="C38" s="34">
        <f t="shared" si="6"/>
        <v>622.8</v>
      </c>
      <c r="D38" s="34">
        <f t="shared" si="6"/>
        <v>544.7</v>
      </c>
      <c r="E38" s="34">
        <f t="shared" si="1"/>
        <v>-78.1</v>
      </c>
      <c r="F38" s="8">
        <v>370</v>
      </c>
      <c r="G38" s="8">
        <v>322.1</v>
      </c>
      <c r="H38" s="34">
        <f t="shared" si="2"/>
        <v>-47.9</v>
      </c>
      <c r="I38" s="8">
        <v>247.1</v>
      </c>
      <c r="J38" s="8">
        <v>216.6</v>
      </c>
      <c r="K38" s="34">
        <f t="shared" si="3"/>
        <v>-30.5</v>
      </c>
      <c r="L38" s="8">
        <v>5.7</v>
      </c>
      <c r="M38" s="8">
        <v>6</v>
      </c>
      <c r="N38" s="34">
        <f t="shared" si="4"/>
        <v>0.3</v>
      </c>
    </row>
    <row r="39" spans="1:14" ht="16.5" customHeight="1">
      <c r="A39" s="37">
        <v>28</v>
      </c>
      <c r="B39" s="6" t="s">
        <v>222</v>
      </c>
      <c r="C39" s="34">
        <f>F39+I39+L39</f>
        <v>407.1</v>
      </c>
      <c r="D39" s="34">
        <f>G39+J39+M39</f>
        <v>448.5</v>
      </c>
      <c r="E39" s="34">
        <f>D39-C39</f>
        <v>41.4</v>
      </c>
      <c r="F39" s="8">
        <v>73.9</v>
      </c>
      <c r="G39" s="8">
        <v>80.7</v>
      </c>
      <c r="H39" s="34">
        <f>G39-F39</f>
        <v>6.8</v>
      </c>
      <c r="I39" s="8">
        <v>324.7</v>
      </c>
      <c r="J39" s="8">
        <v>358.9</v>
      </c>
      <c r="K39" s="34">
        <f>J39-I39</f>
        <v>34.2</v>
      </c>
      <c r="L39" s="8">
        <v>8.5</v>
      </c>
      <c r="M39" s="8">
        <v>8.9</v>
      </c>
      <c r="N39" s="34">
        <f>M39-L39</f>
        <v>0.4</v>
      </c>
    </row>
    <row r="40" spans="1:14" ht="15.75" customHeight="1">
      <c r="A40" s="37">
        <v>29</v>
      </c>
      <c r="B40" s="6" t="s">
        <v>223</v>
      </c>
      <c r="C40" s="34">
        <f t="shared" si="6"/>
        <v>185.8</v>
      </c>
      <c r="D40" s="34">
        <f t="shared" si="6"/>
        <v>161.7</v>
      </c>
      <c r="E40" s="34">
        <f t="shared" si="1"/>
        <v>-24.1</v>
      </c>
      <c r="F40" s="8"/>
      <c r="G40" s="8"/>
      <c r="H40" s="34">
        <f t="shared" si="2"/>
        <v>0</v>
      </c>
      <c r="I40" s="8">
        <v>176</v>
      </c>
      <c r="J40" s="8">
        <v>152.1</v>
      </c>
      <c r="K40" s="34">
        <f t="shared" si="3"/>
        <v>-23.9</v>
      </c>
      <c r="L40" s="8">
        <v>9.8</v>
      </c>
      <c r="M40" s="8">
        <v>9.6</v>
      </c>
      <c r="N40" s="34">
        <f t="shared" si="4"/>
        <v>-0.2</v>
      </c>
    </row>
    <row r="41" spans="1:14" ht="30.75" customHeight="1">
      <c r="A41" s="37">
        <v>30</v>
      </c>
      <c r="B41" s="6" t="s">
        <v>147</v>
      </c>
      <c r="C41" s="34">
        <f t="shared" si="6"/>
        <v>242.1</v>
      </c>
      <c r="D41" s="34">
        <f t="shared" si="6"/>
        <v>261.9</v>
      </c>
      <c r="E41" s="34">
        <f t="shared" si="1"/>
        <v>19.8</v>
      </c>
      <c r="F41" s="8">
        <v>5.6</v>
      </c>
      <c r="G41" s="8">
        <v>2.8</v>
      </c>
      <c r="H41" s="34">
        <f t="shared" si="2"/>
        <v>-2.8</v>
      </c>
      <c r="I41" s="8">
        <v>220.5</v>
      </c>
      <c r="J41" s="8">
        <v>243.1</v>
      </c>
      <c r="K41" s="34">
        <f t="shared" si="3"/>
        <v>22.6</v>
      </c>
      <c r="L41" s="8">
        <v>16</v>
      </c>
      <c r="M41" s="8">
        <v>16</v>
      </c>
      <c r="N41" s="34">
        <f t="shared" si="4"/>
        <v>0</v>
      </c>
    </row>
    <row r="42" spans="1:14" ht="15" customHeight="1">
      <c r="A42" s="37">
        <v>31</v>
      </c>
      <c r="B42" s="6" t="s">
        <v>148</v>
      </c>
      <c r="C42" s="34">
        <f t="shared" si="6"/>
        <v>22.2</v>
      </c>
      <c r="D42" s="34">
        <f t="shared" si="6"/>
        <v>17.3</v>
      </c>
      <c r="E42" s="34">
        <f t="shared" si="1"/>
        <v>-4.9</v>
      </c>
      <c r="F42" s="8">
        <v>15.9</v>
      </c>
      <c r="G42" s="8">
        <v>11.8</v>
      </c>
      <c r="H42" s="34">
        <f t="shared" si="2"/>
        <v>-4.1</v>
      </c>
      <c r="I42" s="8">
        <v>0</v>
      </c>
      <c r="J42" s="8"/>
      <c r="K42" s="34">
        <f t="shared" si="3"/>
        <v>0</v>
      </c>
      <c r="L42" s="8">
        <v>6.3</v>
      </c>
      <c r="M42" s="8">
        <v>5.5</v>
      </c>
      <c r="N42" s="34">
        <f t="shared" si="4"/>
        <v>-0.8</v>
      </c>
    </row>
    <row r="43" spans="1:14" ht="15" customHeight="1">
      <c r="A43" s="37">
        <v>32</v>
      </c>
      <c r="B43" s="6" t="s">
        <v>302</v>
      </c>
      <c r="C43" s="34">
        <f t="shared" si="6"/>
        <v>17.8</v>
      </c>
      <c r="D43" s="34">
        <f t="shared" si="6"/>
        <v>17.8</v>
      </c>
      <c r="E43" s="34">
        <f t="shared" si="1"/>
        <v>0</v>
      </c>
      <c r="F43" s="8">
        <v>17.8</v>
      </c>
      <c r="G43" s="8">
        <v>17.8</v>
      </c>
      <c r="H43" s="34">
        <f t="shared" si="2"/>
        <v>0</v>
      </c>
      <c r="I43" s="8">
        <v>0</v>
      </c>
      <c r="J43" s="8"/>
      <c r="K43" s="34">
        <f t="shared" si="3"/>
        <v>0</v>
      </c>
      <c r="L43" s="8">
        <v>0</v>
      </c>
      <c r="M43" s="8"/>
      <c r="N43" s="34">
        <f t="shared" si="4"/>
        <v>0</v>
      </c>
    </row>
    <row r="44" spans="1:14" ht="15" customHeight="1">
      <c r="A44" s="37">
        <v>33</v>
      </c>
      <c r="B44" s="6" t="s">
        <v>224</v>
      </c>
      <c r="C44" s="34">
        <f t="shared" si="6"/>
        <v>13.7</v>
      </c>
      <c r="D44" s="34">
        <f t="shared" si="6"/>
        <v>14.4</v>
      </c>
      <c r="E44" s="34">
        <f t="shared" si="1"/>
        <v>0.7</v>
      </c>
      <c r="F44" s="8">
        <v>7.2</v>
      </c>
      <c r="G44" s="8">
        <v>6.5</v>
      </c>
      <c r="H44" s="34">
        <f t="shared" si="2"/>
        <v>-0.7</v>
      </c>
      <c r="I44" s="8">
        <v>0</v>
      </c>
      <c r="J44" s="8"/>
      <c r="K44" s="34">
        <f t="shared" si="3"/>
        <v>0</v>
      </c>
      <c r="L44" s="8">
        <v>6.5</v>
      </c>
      <c r="M44" s="8">
        <v>7.9</v>
      </c>
      <c r="N44" s="34">
        <f t="shared" si="4"/>
        <v>1.4</v>
      </c>
    </row>
    <row r="45" spans="1:14" ht="18.75" customHeight="1">
      <c r="A45" s="37">
        <v>34</v>
      </c>
      <c r="B45" s="6" t="s">
        <v>225</v>
      </c>
      <c r="C45" s="34">
        <f t="shared" si="6"/>
        <v>131</v>
      </c>
      <c r="D45" s="34">
        <f t="shared" si="6"/>
        <v>156.6</v>
      </c>
      <c r="E45" s="34">
        <f t="shared" si="1"/>
        <v>25.6</v>
      </c>
      <c r="F45" s="8">
        <v>0</v>
      </c>
      <c r="G45" s="8"/>
      <c r="H45" s="34">
        <f t="shared" si="2"/>
        <v>0</v>
      </c>
      <c r="I45" s="8">
        <v>130</v>
      </c>
      <c r="J45" s="8">
        <v>156.6</v>
      </c>
      <c r="K45" s="34">
        <f t="shared" si="3"/>
        <v>26.6</v>
      </c>
      <c r="L45" s="8">
        <v>1</v>
      </c>
      <c r="M45" s="8"/>
      <c r="N45" s="34">
        <f t="shared" si="4"/>
        <v>-1</v>
      </c>
    </row>
    <row r="46" spans="1:14" ht="15" customHeight="1">
      <c r="A46" s="37">
        <v>35</v>
      </c>
      <c r="B46" s="6" t="s">
        <v>149</v>
      </c>
      <c r="C46" s="34">
        <f t="shared" si="6"/>
        <v>92.4</v>
      </c>
      <c r="D46" s="34">
        <f t="shared" si="6"/>
        <v>87.2</v>
      </c>
      <c r="E46" s="34">
        <f t="shared" si="1"/>
        <v>-5.2</v>
      </c>
      <c r="F46" s="8">
        <v>9.6</v>
      </c>
      <c r="G46" s="8">
        <v>10.6</v>
      </c>
      <c r="H46" s="34">
        <f t="shared" si="2"/>
        <v>1</v>
      </c>
      <c r="I46" s="8">
        <v>74.3</v>
      </c>
      <c r="J46" s="8">
        <f>67.7</f>
        <v>67.7</v>
      </c>
      <c r="K46" s="34">
        <f t="shared" si="3"/>
        <v>-6.6</v>
      </c>
      <c r="L46" s="8">
        <v>8.5</v>
      </c>
      <c r="M46" s="8">
        <v>8.9</v>
      </c>
      <c r="N46" s="34">
        <f t="shared" si="4"/>
        <v>0.4</v>
      </c>
    </row>
    <row r="47" spans="1:14" ht="15" customHeight="1">
      <c r="A47" s="37">
        <v>36</v>
      </c>
      <c r="B47" s="6" t="s">
        <v>150</v>
      </c>
      <c r="C47" s="34">
        <f t="shared" si="6"/>
        <v>78.6</v>
      </c>
      <c r="D47" s="34">
        <f t="shared" si="6"/>
        <v>84.4</v>
      </c>
      <c r="E47" s="34">
        <f t="shared" si="1"/>
        <v>5.8</v>
      </c>
      <c r="F47" s="8">
        <v>0</v>
      </c>
      <c r="G47" s="8"/>
      <c r="H47" s="34">
        <f t="shared" si="2"/>
        <v>0</v>
      </c>
      <c r="I47" s="8">
        <v>73.4</v>
      </c>
      <c r="J47" s="8">
        <v>83.5</v>
      </c>
      <c r="K47" s="34">
        <f t="shared" si="3"/>
        <v>10.1</v>
      </c>
      <c r="L47" s="8">
        <v>5.2</v>
      </c>
      <c r="M47" s="8">
        <v>0.9</v>
      </c>
      <c r="N47" s="34">
        <f t="shared" si="4"/>
        <v>-4.3</v>
      </c>
    </row>
    <row r="48" spans="1:14" ht="16.5" customHeight="1">
      <c r="A48" s="37">
        <v>37</v>
      </c>
      <c r="B48" s="6" t="s">
        <v>151</v>
      </c>
      <c r="C48" s="34">
        <f t="shared" si="6"/>
        <v>59.5</v>
      </c>
      <c r="D48" s="34">
        <f t="shared" si="6"/>
        <v>62.6</v>
      </c>
      <c r="E48" s="34">
        <f t="shared" si="1"/>
        <v>3.1</v>
      </c>
      <c r="F48" s="8">
        <v>0</v>
      </c>
      <c r="G48" s="8"/>
      <c r="H48" s="34">
        <f t="shared" si="2"/>
        <v>0</v>
      </c>
      <c r="I48" s="8">
        <v>52.7</v>
      </c>
      <c r="J48" s="8">
        <f>56.3</f>
        <v>56.3</v>
      </c>
      <c r="K48" s="34">
        <f t="shared" si="3"/>
        <v>3.6</v>
      </c>
      <c r="L48" s="8">
        <v>6.8</v>
      </c>
      <c r="M48" s="8">
        <v>6.3</v>
      </c>
      <c r="N48" s="34">
        <f t="shared" si="4"/>
        <v>-0.5</v>
      </c>
    </row>
    <row r="49" spans="1:14" ht="31.5" customHeight="1">
      <c r="A49" s="37">
        <v>38</v>
      </c>
      <c r="B49" s="6" t="s">
        <v>152</v>
      </c>
      <c r="C49" s="34">
        <f t="shared" si="6"/>
        <v>63</v>
      </c>
      <c r="D49" s="34">
        <f t="shared" si="6"/>
        <v>27.4</v>
      </c>
      <c r="E49" s="34">
        <f t="shared" si="1"/>
        <v>-35.6</v>
      </c>
      <c r="F49" s="8">
        <v>0</v>
      </c>
      <c r="G49" s="8"/>
      <c r="H49" s="34">
        <f t="shared" si="2"/>
        <v>0</v>
      </c>
      <c r="I49" s="8">
        <v>60</v>
      </c>
      <c r="J49" s="8">
        <v>27</v>
      </c>
      <c r="K49" s="34">
        <f t="shared" si="3"/>
        <v>-33</v>
      </c>
      <c r="L49" s="8">
        <v>3</v>
      </c>
      <c r="M49" s="8">
        <v>0.4</v>
      </c>
      <c r="N49" s="34">
        <f t="shared" si="4"/>
        <v>-2.6</v>
      </c>
    </row>
    <row r="50" spans="1:14" ht="14.25" customHeight="1">
      <c r="A50" s="37">
        <v>39</v>
      </c>
      <c r="B50" s="6" t="s">
        <v>154</v>
      </c>
      <c r="C50" s="34">
        <f aca="true" t="shared" si="8" ref="C50:C56">F50+I50+L50</f>
        <v>2.2</v>
      </c>
      <c r="D50" s="34">
        <f aca="true" t="shared" si="9" ref="D50:D56">G50+J50+M50</f>
        <v>0.9</v>
      </c>
      <c r="E50" s="34">
        <f aca="true" t="shared" si="10" ref="E50:E56">D50-C50</f>
        <v>-1.3</v>
      </c>
      <c r="F50" s="8"/>
      <c r="G50" s="8"/>
      <c r="H50" s="34"/>
      <c r="I50" s="8"/>
      <c r="J50" s="8"/>
      <c r="K50" s="34"/>
      <c r="L50" s="8">
        <v>2.2</v>
      </c>
      <c r="M50" s="8">
        <v>0.9</v>
      </c>
      <c r="N50" s="34">
        <f t="shared" si="4"/>
        <v>-1.3</v>
      </c>
    </row>
    <row r="51" spans="1:14" ht="15.75">
      <c r="A51" s="37">
        <v>40</v>
      </c>
      <c r="B51" s="6" t="s">
        <v>226</v>
      </c>
      <c r="C51" s="34">
        <f t="shared" si="8"/>
        <v>438.7</v>
      </c>
      <c r="D51" s="34">
        <f t="shared" si="9"/>
        <v>292.8</v>
      </c>
      <c r="E51" s="34">
        <f t="shared" si="10"/>
        <v>-145.9</v>
      </c>
      <c r="F51" s="8">
        <v>0</v>
      </c>
      <c r="G51" s="8"/>
      <c r="H51" s="34">
        <f aca="true" t="shared" si="11" ref="H51:H57">G51-F51</f>
        <v>0</v>
      </c>
      <c r="I51" s="8">
        <v>438.7</v>
      </c>
      <c r="J51" s="8">
        <v>292.8</v>
      </c>
      <c r="K51" s="34">
        <f aca="true" t="shared" si="12" ref="K51:K56">J51-I51</f>
        <v>-145.9</v>
      </c>
      <c r="L51" s="8">
        <v>0</v>
      </c>
      <c r="M51" s="8"/>
      <c r="N51" s="34">
        <f aca="true" t="shared" si="13" ref="N51:N56">M51-L51</f>
        <v>0</v>
      </c>
    </row>
    <row r="52" spans="1:14" ht="15.75">
      <c r="A52" s="37">
        <v>41</v>
      </c>
      <c r="B52" s="6" t="s">
        <v>155</v>
      </c>
      <c r="C52" s="34">
        <f t="shared" si="8"/>
        <v>141</v>
      </c>
      <c r="D52" s="34">
        <f t="shared" si="9"/>
        <v>158.5</v>
      </c>
      <c r="E52" s="34">
        <f t="shared" si="10"/>
        <v>17.5</v>
      </c>
      <c r="F52" s="8">
        <v>0</v>
      </c>
      <c r="G52" s="8"/>
      <c r="H52" s="34">
        <f t="shared" si="11"/>
        <v>0</v>
      </c>
      <c r="I52" s="8">
        <v>140</v>
      </c>
      <c r="J52" s="8">
        <v>158.5</v>
      </c>
      <c r="K52" s="34">
        <f t="shared" si="12"/>
        <v>18.5</v>
      </c>
      <c r="L52" s="8">
        <v>1</v>
      </c>
      <c r="M52" s="8"/>
      <c r="N52" s="34">
        <f t="shared" si="13"/>
        <v>-1</v>
      </c>
    </row>
    <row r="53" spans="1:14" ht="15.75" customHeight="1">
      <c r="A53" s="37">
        <v>42</v>
      </c>
      <c r="B53" s="6" t="s">
        <v>227</v>
      </c>
      <c r="C53" s="34">
        <f t="shared" si="8"/>
        <v>139</v>
      </c>
      <c r="D53" s="34">
        <f t="shared" si="9"/>
        <v>143.4</v>
      </c>
      <c r="E53" s="34">
        <f t="shared" si="10"/>
        <v>4.4</v>
      </c>
      <c r="F53" s="8">
        <v>68.2</v>
      </c>
      <c r="G53" s="8">
        <v>72.2</v>
      </c>
      <c r="H53" s="34">
        <f t="shared" si="11"/>
        <v>4</v>
      </c>
      <c r="I53" s="8">
        <v>70.8</v>
      </c>
      <c r="J53" s="8">
        <v>71.2</v>
      </c>
      <c r="K53" s="34">
        <f t="shared" si="12"/>
        <v>0.4</v>
      </c>
      <c r="L53" s="8">
        <v>0</v>
      </c>
      <c r="M53" s="8"/>
      <c r="N53" s="34">
        <f t="shared" si="13"/>
        <v>0</v>
      </c>
    </row>
    <row r="54" spans="1:14" ht="17.25" customHeight="1">
      <c r="A54" s="37">
        <v>43</v>
      </c>
      <c r="B54" s="6" t="s">
        <v>287</v>
      </c>
      <c r="C54" s="34">
        <f t="shared" si="8"/>
        <v>144.5</v>
      </c>
      <c r="D54" s="34">
        <f t="shared" si="9"/>
        <v>175</v>
      </c>
      <c r="E54" s="34">
        <f t="shared" si="10"/>
        <v>30.5</v>
      </c>
      <c r="F54" s="8">
        <v>9.9</v>
      </c>
      <c r="G54" s="8">
        <v>11.9</v>
      </c>
      <c r="H54" s="34">
        <f t="shared" si="11"/>
        <v>2</v>
      </c>
      <c r="I54" s="8">
        <v>130</v>
      </c>
      <c r="J54" s="8">
        <v>158.6</v>
      </c>
      <c r="K54" s="34">
        <f t="shared" si="12"/>
        <v>28.6</v>
      </c>
      <c r="L54" s="8">
        <v>4.6</v>
      </c>
      <c r="M54" s="8">
        <v>4.5</v>
      </c>
      <c r="N54" s="34">
        <f t="shared" si="13"/>
        <v>-0.1</v>
      </c>
    </row>
    <row r="55" spans="1:14" ht="33" customHeight="1">
      <c r="A55" s="37">
        <v>44</v>
      </c>
      <c r="B55" s="6" t="s">
        <v>156</v>
      </c>
      <c r="C55" s="34">
        <f t="shared" si="8"/>
        <v>2</v>
      </c>
      <c r="D55" s="34">
        <f t="shared" si="9"/>
        <v>2.8</v>
      </c>
      <c r="E55" s="34">
        <f t="shared" si="10"/>
        <v>0.8</v>
      </c>
      <c r="F55" s="8">
        <v>0</v>
      </c>
      <c r="G55" s="8"/>
      <c r="H55" s="34">
        <f t="shared" si="11"/>
        <v>0</v>
      </c>
      <c r="I55" s="8">
        <v>0</v>
      </c>
      <c r="J55" s="8"/>
      <c r="K55" s="34">
        <f t="shared" si="12"/>
        <v>0</v>
      </c>
      <c r="L55" s="8">
        <v>2</v>
      </c>
      <c r="M55" s="8">
        <f>3.1-0.3</f>
        <v>2.8</v>
      </c>
      <c r="N55" s="34">
        <f t="shared" si="13"/>
        <v>0.8</v>
      </c>
    </row>
    <row r="56" spans="1:14" ht="15" customHeight="1">
      <c r="A56" s="37">
        <v>45</v>
      </c>
      <c r="B56" s="6" t="s">
        <v>228</v>
      </c>
      <c r="C56" s="34">
        <f t="shared" si="8"/>
        <v>0.7</v>
      </c>
      <c r="D56" s="34">
        <f t="shared" si="9"/>
        <v>0.7</v>
      </c>
      <c r="E56" s="34">
        <f t="shared" si="10"/>
        <v>0</v>
      </c>
      <c r="F56" s="8">
        <v>0</v>
      </c>
      <c r="G56" s="8"/>
      <c r="H56" s="34">
        <f t="shared" si="11"/>
        <v>0</v>
      </c>
      <c r="I56" s="8">
        <v>0</v>
      </c>
      <c r="J56" s="8"/>
      <c r="K56" s="34">
        <f t="shared" si="12"/>
        <v>0</v>
      </c>
      <c r="L56" s="8">
        <v>0.7</v>
      </c>
      <c r="M56" s="8">
        <v>0.7</v>
      </c>
      <c r="N56" s="34">
        <f t="shared" si="13"/>
        <v>0</v>
      </c>
    </row>
    <row r="57" spans="1:14" ht="15" customHeight="1">
      <c r="A57" s="37">
        <v>46</v>
      </c>
      <c r="B57" s="6" t="s">
        <v>361</v>
      </c>
      <c r="C57" s="34">
        <f>F57+I57+L57</f>
        <v>2.8</v>
      </c>
      <c r="D57" s="34">
        <f>G57+J57+M57</f>
        <v>2.2</v>
      </c>
      <c r="E57" s="34">
        <f>D57-C57</f>
        <v>-0.6</v>
      </c>
      <c r="F57" s="8">
        <v>2.8</v>
      </c>
      <c r="G57" s="8">
        <v>2.2</v>
      </c>
      <c r="H57" s="34">
        <f t="shared" si="11"/>
        <v>-0.6</v>
      </c>
      <c r="I57" s="8"/>
      <c r="J57" s="8"/>
      <c r="K57" s="34"/>
      <c r="L57" s="8"/>
      <c r="M57" s="8"/>
      <c r="N57" s="34"/>
    </row>
    <row r="58" spans="1:14" ht="15.75">
      <c r="A58" s="37">
        <v>47</v>
      </c>
      <c r="B58" s="6" t="s">
        <v>153</v>
      </c>
      <c r="C58" s="34">
        <f>F58+I58+L58</f>
        <v>57.3</v>
      </c>
      <c r="D58" s="34">
        <f>G58+J58+M58</f>
        <v>69.9</v>
      </c>
      <c r="E58" s="34">
        <f>D58-C58</f>
        <v>12.6</v>
      </c>
      <c r="F58" s="8">
        <v>56.3</v>
      </c>
      <c r="G58" s="8">
        <v>68.9</v>
      </c>
      <c r="H58" s="34">
        <f>G58-F58</f>
        <v>12.6</v>
      </c>
      <c r="I58" s="8">
        <v>0</v>
      </c>
      <c r="J58" s="8"/>
      <c r="K58" s="34">
        <f>J58-I58</f>
        <v>0</v>
      </c>
      <c r="L58" s="8">
        <v>1</v>
      </c>
      <c r="M58" s="8">
        <v>1</v>
      </c>
      <c r="N58" s="34">
        <f>M58-L58</f>
        <v>0</v>
      </c>
    </row>
    <row r="59" spans="1:14" ht="31.5" customHeight="1">
      <c r="A59" s="37">
        <v>48</v>
      </c>
      <c r="B59" s="6" t="s">
        <v>362</v>
      </c>
      <c r="C59" s="34">
        <f t="shared" si="6"/>
        <v>9</v>
      </c>
      <c r="D59" s="34">
        <f t="shared" si="6"/>
        <v>8.7</v>
      </c>
      <c r="E59" s="34">
        <f t="shared" si="1"/>
        <v>-0.3</v>
      </c>
      <c r="F59" s="8">
        <v>0</v>
      </c>
      <c r="G59" s="8"/>
      <c r="H59" s="34">
        <f t="shared" si="2"/>
        <v>0</v>
      </c>
      <c r="I59" s="8">
        <v>0</v>
      </c>
      <c r="J59" s="8"/>
      <c r="K59" s="34">
        <f t="shared" si="3"/>
        <v>0</v>
      </c>
      <c r="L59" s="8">
        <v>9</v>
      </c>
      <c r="M59" s="8">
        <v>8.7</v>
      </c>
      <c r="N59" s="34">
        <f t="shared" si="4"/>
        <v>-0.3</v>
      </c>
    </row>
    <row r="60" spans="1:14" ht="31.5" customHeight="1">
      <c r="A60" s="37">
        <v>49</v>
      </c>
      <c r="B60" s="6" t="s">
        <v>157</v>
      </c>
      <c r="C60" s="34">
        <f t="shared" si="6"/>
        <v>2.8</v>
      </c>
      <c r="D60" s="34">
        <f t="shared" si="6"/>
        <v>1.2</v>
      </c>
      <c r="E60" s="34">
        <f t="shared" si="1"/>
        <v>-1.6</v>
      </c>
      <c r="F60" s="8">
        <v>2.8</v>
      </c>
      <c r="G60" s="8">
        <v>1.2</v>
      </c>
      <c r="H60" s="34">
        <f t="shared" si="2"/>
        <v>-1.6</v>
      </c>
      <c r="I60" s="8">
        <v>0</v>
      </c>
      <c r="J60" s="8"/>
      <c r="K60" s="34">
        <f t="shared" si="3"/>
        <v>0</v>
      </c>
      <c r="L60" s="8">
        <v>0</v>
      </c>
      <c r="M60" s="8"/>
      <c r="N60" s="34">
        <f t="shared" si="4"/>
        <v>0</v>
      </c>
    </row>
    <row r="61" spans="1:14" ht="17.25" customHeight="1">
      <c r="A61" s="37">
        <v>50</v>
      </c>
      <c r="B61" s="6" t="s">
        <v>158</v>
      </c>
      <c r="C61" s="34">
        <f t="shared" si="6"/>
        <v>302.1</v>
      </c>
      <c r="D61" s="34">
        <f t="shared" si="6"/>
        <v>313</v>
      </c>
      <c r="E61" s="34">
        <f t="shared" si="1"/>
        <v>10.9</v>
      </c>
      <c r="F61" s="8">
        <v>300.1</v>
      </c>
      <c r="G61" s="8">
        <v>311</v>
      </c>
      <c r="H61" s="34">
        <f t="shared" si="2"/>
        <v>10.9</v>
      </c>
      <c r="I61" s="8">
        <v>0</v>
      </c>
      <c r="J61" s="8"/>
      <c r="K61" s="34">
        <f t="shared" si="3"/>
        <v>0</v>
      </c>
      <c r="L61" s="8">
        <v>2</v>
      </c>
      <c r="M61" s="8">
        <v>2</v>
      </c>
      <c r="N61" s="34">
        <f t="shared" si="4"/>
        <v>0</v>
      </c>
    </row>
    <row r="62" spans="1:14" ht="15" customHeight="1">
      <c r="A62" s="37">
        <v>51</v>
      </c>
      <c r="B62" s="6" t="s">
        <v>160</v>
      </c>
      <c r="C62" s="34">
        <f aca="true" t="shared" si="14" ref="C62:C67">F62+I62+L62</f>
        <v>193.8</v>
      </c>
      <c r="D62" s="34">
        <f aca="true" t="shared" si="15" ref="D62:D67">G62+J62+M62</f>
        <v>182.3</v>
      </c>
      <c r="E62" s="34">
        <f aca="true" t="shared" si="16" ref="E62:E67">D62-C62</f>
        <v>-11.5</v>
      </c>
      <c r="F62" s="8">
        <v>193.8</v>
      </c>
      <c r="G62" s="8">
        <v>182.3</v>
      </c>
      <c r="H62" s="34">
        <f aca="true" t="shared" si="17" ref="H62:H67">G62-F62</f>
        <v>-11.5</v>
      </c>
      <c r="I62" s="8">
        <v>0</v>
      </c>
      <c r="J62" s="8"/>
      <c r="K62" s="34">
        <f aca="true" t="shared" si="18" ref="K62:K67">J62-I62</f>
        <v>0</v>
      </c>
      <c r="L62" s="8">
        <v>0</v>
      </c>
      <c r="M62" s="8"/>
      <c r="N62" s="34">
        <f aca="true" t="shared" si="19" ref="N62:N67">M62-L62</f>
        <v>0</v>
      </c>
    </row>
    <row r="63" spans="1:14" ht="15" customHeight="1">
      <c r="A63" s="37">
        <v>52</v>
      </c>
      <c r="B63" s="6" t="s">
        <v>161</v>
      </c>
      <c r="C63" s="34">
        <f t="shared" si="14"/>
        <v>380.8</v>
      </c>
      <c r="D63" s="34">
        <f t="shared" si="15"/>
        <v>342.6</v>
      </c>
      <c r="E63" s="34">
        <f t="shared" si="16"/>
        <v>-38.2</v>
      </c>
      <c r="F63" s="8">
        <v>377.9</v>
      </c>
      <c r="G63" s="8">
        <v>339.9</v>
      </c>
      <c r="H63" s="34">
        <f t="shared" si="17"/>
        <v>-38</v>
      </c>
      <c r="I63" s="8">
        <v>0</v>
      </c>
      <c r="J63" s="8"/>
      <c r="K63" s="34">
        <f t="shared" si="18"/>
        <v>0</v>
      </c>
      <c r="L63" s="8">
        <v>2.9</v>
      </c>
      <c r="M63" s="8">
        <v>2.7</v>
      </c>
      <c r="N63" s="34">
        <f t="shared" si="19"/>
        <v>-0.2</v>
      </c>
    </row>
    <row r="64" spans="1:14" ht="15" customHeight="1">
      <c r="A64" s="37">
        <v>53</v>
      </c>
      <c r="B64" s="6" t="s">
        <v>162</v>
      </c>
      <c r="C64" s="34">
        <f t="shared" si="14"/>
        <v>198.5</v>
      </c>
      <c r="D64" s="34">
        <f t="shared" si="15"/>
        <v>201.3</v>
      </c>
      <c r="E64" s="34">
        <f t="shared" si="16"/>
        <v>2.8</v>
      </c>
      <c r="F64" s="8">
        <v>197.1</v>
      </c>
      <c r="G64" s="8">
        <v>199.9</v>
      </c>
      <c r="H64" s="34">
        <f t="shared" si="17"/>
        <v>2.8</v>
      </c>
      <c r="I64" s="8">
        <v>0</v>
      </c>
      <c r="J64" s="8"/>
      <c r="K64" s="34">
        <f t="shared" si="18"/>
        <v>0</v>
      </c>
      <c r="L64" s="8">
        <v>1.4</v>
      </c>
      <c r="M64" s="8">
        <v>1.4</v>
      </c>
      <c r="N64" s="34">
        <f t="shared" si="19"/>
        <v>0</v>
      </c>
    </row>
    <row r="65" spans="1:14" ht="17.25" customHeight="1">
      <c r="A65" s="37">
        <v>54</v>
      </c>
      <c r="B65" s="6" t="s">
        <v>163</v>
      </c>
      <c r="C65" s="34">
        <f t="shared" si="14"/>
        <v>213</v>
      </c>
      <c r="D65" s="34">
        <f t="shared" si="15"/>
        <v>175.1</v>
      </c>
      <c r="E65" s="34">
        <f t="shared" si="16"/>
        <v>-37.9</v>
      </c>
      <c r="F65" s="8">
        <v>213</v>
      </c>
      <c r="G65" s="8">
        <v>175.1</v>
      </c>
      <c r="H65" s="34">
        <f t="shared" si="17"/>
        <v>-37.9</v>
      </c>
      <c r="I65" s="8">
        <v>0</v>
      </c>
      <c r="J65" s="8"/>
      <c r="K65" s="34">
        <f t="shared" si="18"/>
        <v>0</v>
      </c>
      <c r="L65" s="8">
        <v>0</v>
      </c>
      <c r="M65" s="8"/>
      <c r="N65" s="34">
        <f t="shared" si="19"/>
        <v>0</v>
      </c>
    </row>
    <row r="66" spans="1:14" ht="30.75" customHeight="1">
      <c r="A66" s="37">
        <v>55</v>
      </c>
      <c r="B66" s="6" t="s">
        <v>203</v>
      </c>
      <c r="C66" s="34">
        <f t="shared" si="14"/>
        <v>303.9</v>
      </c>
      <c r="D66" s="34">
        <f t="shared" si="15"/>
        <v>308.2</v>
      </c>
      <c r="E66" s="34">
        <f t="shared" si="16"/>
        <v>4.3</v>
      </c>
      <c r="F66" s="8">
        <v>303.9</v>
      </c>
      <c r="G66" s="8">
        <v>308.2</v>
      </c>
      <c r="H66" s="34">
        <f t="shared" si="17"/>
        <v>4.3</v>
      </c>
      <c r="I66" s="8">
        <v>0</v>
      </c>
      <c r="J66" s="8"/>
      <c r="K66" s="34">
        <f t="shared" si="18"/>
        <v>0</v>
      </c>
      <c r="L66" s="8">
        <v>0</v>
      </c>
      <c r="M66" s="8"/>
      <c r="N66" s="34">
        <f t="shared" si="19"/>
        <v>0</v>
      </c>
    </row>
    <row r="67" spans="1:14" ht="15" customHeight="1">
      <c r="A67" s="37">
        <v>56</v>
      </c>
      <c r="B67" s="6" t="s">
        <v>164</v>
      </c>
      <c r="C67" s="34">
        <f t="shared" si="14"/>
        <v>241.2</v>
      </c>
      <c r="D67" s="34">
        <f t="shared" si="15"/>
        <v>201.1</v>
      </c>
      <c r="E67" s="34">
        <f t="shared" si="16"/>
        <v>-40.1</v>
      </c>
      <c r="F67" s="8">
        <v>241.2</v>
      </c>
      <c r="G67" s="8">
        <v>201.1</v>
      </c>
      <c r="H67" s="34">
        <f t="shared" si="17"/>
        <v>-40.1</v>
      </c>
      <c r="I67" s="8">
        <v>0</v>
      </c>
      <c r="J67" s="8"/>
      <c r="K67" s="34">
        <f t="shared" si="18"/>
        <v>0</v>
      </c>
      <c r="L67" s="8">
        <v>0</v>
      </c>
      <c r="M67" s="8"/>
      <c r="N67" s="34">
        <f t="shared" si="19"/>
        <v>0</v>
      </c>
    </row>
    <row r="68" spans="1:14" ht="31.5">
      <c r="A68" s="37">
        <v>57</v>
      </c>
      <c r="B68" s="6" t="s">
        <v>204</v>
      </c>
      <c r="C68" s="34">
        <f t="shared" si="6"/>
        <v>130.7</v>
      </c>
      <c r="D68" s="34">
        <f t="shared" si="6"/>
        <v>116.1</v>
      </c>
      <c r="E68" s="34">
        <f t="shared" si="1"/>
        <v>-14.6</v>
      </c>
      <c r="F68" s="8">
        <v>125.6</v>
      </c>
      <c r="G68" s="8">
        <v>110.2</v>
      </c>
      <c r="H68" s="34">
        <f t="shared" si="2"/>
        <v>-15.4</v>
      </c>
      <c r="I68" s="8">
        <v>0</v>
      </c>
      <c r="J68" s="8"/>
      <c r="K68" s="34">
        <f t="shared" si="3"/>
        <v>0</v>
      </c>
      <c r="L68" s="8">
        <v>5.1</v>
      </c>
      <c r="M68" s="8">
        <v>5.9</v>
      </c>
      <c r="N68" s="34">
        <f t="shared" si="4"/>
        <v>0.8</v>
      </c>
    </row>
    <row r="69" spans="1:14" ht="15.75" customHeight="1">
      <c r="A69" s="37">
        <v>58</v>
      </c>
      <c r="B69" s="6" t="s">
        <v>159</v>
      </c>
      <c r="C69" s="34">
        <f>F69+I69+L69</f>
        <v>208.1</v>
      </c>
      <c r="D69" s="34">
        <f>G69+J69+M69</f>
        <v>201.9</v>
      </c>
      <c r="E69" s="34">
        <f>D69-C69</f>
        <v>-6.2</v>
      </c>
      <c r="F69" s="8">
        <v>206.2</v>
      </c>
      <c r="G69" s="8">
        <v>200</v>
      </c>
      <c r="H69" s="34">
        <f>G69-F69</f>
        <v>-6.2</v>
      </c>
      <c r="I69" s="8">
        <v>0</v>
      </c>
      <c r="J69" s="8"/>
      <c r="K69" s="34">
        <f>J69-I69</f>
        <v>0</v>
      </c>
      <c r="L69" s="8">
        <v>1.9</v>
      </c>
      <c r="M69" s="8">
        <v>1.9</v>
      </c>
      <c r="N69" s="34">
        <f>M69-L69</f>
        <v>0</v>
      </c>
    </row>
    <row r="70" spans="1:14" ht="16.5" customHeight="1">
      <c r="A70" s="37">
        <v>59</v>
      </c>
      <c r="B70" s="6" t="s">
        <v>201</v>
      </c>
      <c r="C70" s="34">
        <f t="shared" si="6"/>
        <v>244.4</v>
      </c>
      <c r="D70" s="34">
        <f t="shared" si="6"/>
        <v>303.8</v>
      </c>
      <c r="E70" s="34">
        <f t="shared" si="1"/>
        <v>59.4</v>
      </c>
      <c r="F70" s="8">
        <v>240.2</v>
      </c>
      <c r="G70" s="8">
        <v>300.8</v>
      </c>
      <c r="H70" s="34">
        <f t="shared" si="2"/>
        <v>60.6</v>
      </c>
      <c r="I70" s="8">
        <v>0</v>
      </c>
      <c r="J70" s="8"/>
      <c r="K70" s="34">
        <f t="shared" si="3"/>
        <v>0</v>
      </c>
      <c r="L70" s="8">
        <v>4.2</v>
      </c>
      <c r="M70" s="8">
        <v>3</v>
      </c>
      <c r="N70" s="34">
        <f t="shared" si="4"/>
        <v>-1.2</v>
      </c>
    </row>
    <row r="71" spans="1:14" ht="18" customHeight="1">
      <c r="A71" s="37">
        <v>60</v>
      </c>
      <c r="B71" s="6" t="s">
        <v>165</v>
      </c>
      <c r="C71" s="34">
        <f>F71+I71+L71</f>
        <v>283.4</v>
      </c>
      <c r="D71" s="34">
        <f>G71+J71+M71</f>
        <v>247.9</v>
      </c>
      <c r="E71" s="34">
        <f>D71-C71</f>
        <v>-35.5</v>
      </c>
      <c r="F71" s="8">
        <v>282.6</v>
      </c>
      <c r="G71" s="8">
        <v>247.1</v>
      </c>
      <c r="H71" s="34">
        <f>G71-F71</f>
        <v>-35.5</v>
      </c>
      <c r="I71" s="8">
        <v>0</v>
      </c>
      <c r="J71" s="8"/>
      <c r="K71" s="34">
        <f>J71-I71</f>
        <v>0</v>
      </c>
      <c r="L71" s="8">
        <v>0.8</v>
      </c>
      <c r="M71" s="8">
        <v>0.8</v>
      </c>
      <c r="N71" s="34">
        <f>M71-L71</f>
        <v>0</v>
      </c>
    </row>
    <row r="72" spans="1:14" ht="15" customHeight="1">
      <c r="A72" s="37">
        <v>61</v>
      </c>
      <c r="B72" s="6" t="s">
        <v>166</v>
      </c>
      <c r="C72" s="34">
        <f t="shared" si="6"/>
        <v>154.9</v>
      </c>
      <c r="D72" s="34">
        <f t="shared" si="6"/>
        <v>146.7</v>
      </c>
      <c r="E72" s="34">
        <f t="shared" si="1"/>
        <v>-8.2</v>
      </c>
      <c r="F72" s="8">
        <v>152.6</v>
      </c>
      <c r="G72" s="8">
        <v>145.5</v>
      </c>
      <c r="H72" s="34">
        <f t="shared" si="2"/>
        <v>-7.1</v>
      </c>
      <c r="I72" s="8">
        <v>0</v>
      </c>
      <c r="J72" s="8"/>
      <c r="K72" s="34">
        <f t="shared" si="3"/>
        <v>0</v>
      </c>
      <c r="L72" s="8">
        <v>2.3</v>
      </c>
      <c r="M72" s="8">
        <v>1.2</v>
      </c>
      <c r="N72" s="34">
        <f t="shared" si="4"/>
        <v>-1.1</v>
      </c>
    </row>
    <row r="73" spans="1:14" ht="15" customHeight="1">
      <c r="A73" s="37">
        <v>62</v>
      </c>
      <c r="B73" s="6" t="s">
        <v>202</v>
      </c>
      <c r="C73" s="34">
        <f t="shared" si="6"/>
        <v>184</v>
      </c>
      <c r="D73" s="34">
        <f t="shared" si="6"/>
        <v>143.1</v>
      </c>
      <c r="E73" s="34">
        <f t="shared" si="1"/>
        <v>-40.9</v>
      </c>
      <c r="F73" s="8">
        <v>180</v>
      </c>
      <c r="G73" s="8">
        <v>139.6</v>
      </c>
      <c r="H73" s="34">
        <f t="shared" si="2"/>
        <v>-40.4</v>
      </c>
      <c r="I73" s="8">
        <v>0</v>
      </c>
      <c r="J73" s="8"/>
      <c r="K73" s="34">
        <f t="shared" si="3"/>
        <v>0</v>
      </c>
      <c r="L73" s="8">
        <v>4</v>
      </c>
      <c r="M73" s="8">
        <v>3.5</v>
      </c>
      <c r="N73" s="34">
        <f t="shared" si="4"/>
        <v>-0.5</v>
      </c>
    </row>
    <row r="74" spans="1:14" ht="15.75" customHeight="1">
      <c r="A74" s="37">
        <v>63</v>
      </c>
      <c r="B74" s="6" t="s">
        <v>167</v>
      </c>
      <c r="C74" s="34">
        <f t="shared" si="6"/>
        <v>164.3</v>
      </c>
      <c r="D74" s="34">
        <f t="shared" si="6"/>
        <v>153.4</v>
      </c>
      <c r="E74" s="34">
        <f t="shared" si="1"/>
        <v>-10.9</v>
      </c>
      <c r="F74" s="8">
        <v>164.3</v>
      </c>
      <c r="G74" s="8">
        <v>153.4</v>
      </c>
      <c r="H74" s="34">
        <f t="shared" si="2"/>
        <v>-10.9</v>
      </c>
      <c r="I74" s="8">
        <v>0</v>
      </c>
      <c r="J74" s="8"/>
      <c r="K74" s="34">
        <f t="shared" si="3"/>
        <v>0</v>
      </c>
      <c r="L74" s="8">
        <v>0</v>
      </c>
      <c r="M74" s="8"/>
      <c r="N74" s="34">
        <f t="shared" si="4"/>
        <v>0</v>
      </c>
    </row>
    <row r="75" spans="1:14" ht="15.75">
      <c r="A75" s="37">
        <v>64</v>
      </c>
      <c r="B75" s="6" t="s">
        <v>288</v>
      </c>
      <c r="C75" s="34">
        <f t="shared" si="6"/>
        <v>201.9</v>
      </c>
      <c r="D75" s="34">
        <f t="shared" si="6"/>
        <v>220.4</v>
      </c>
      <c r="E75" s="34">
        <f t="shared" si="1"/>
        <v>18.5</v>
      </c>
      <c r="F75" s="8">
        <v>201.9</v>
      </c>
      <c r="G75" s="8">
        <v>220.4</v>
      </c>
      <c r="H75" s="34">
        <f t="shared" si="2"/>
        <v>18.5</v>
      </c>
      <c r="I75" s="8">
        <v>0</v>
      </c>
      <c r="J75" s="8"/>
      <c r="K75" s="34">
        <f t="shared" si="3"/>
        <v>0</v>
      </c>
      <c r="L75" s="8">
        <v>0</v>
      </c>
      <c r="M75" s="8"/>
      <c r="N75" s="34">
        <f t="shared" si="4"/>
        <v>0</v>
      </c>
    </row>
    <row r="76" spans="1:14" ht="15.75">
      <c r="A76" s="37">
        <v>65</v>
      </c>
      <c r="B76" s="6" t="s">
        <v>289</v>
      </c>
      <c r="C76" s="34">
        <f t="shared" si="6"/>
        <v>249.8</v>
      </c>
      <c r="D76" s="34">
        <f t="shared" si="6"/>
        <v>259.4</v>
      </c>
      <c r="E76" s="34">
        <f t="shared" si="1"/>
        <v>9.6</v>
      </c>
      <c r="F76" s="8">
        <v>249.8</v>
      </c>
      <c r="G76" s="8">
        <v>259.4</v>
      </c>
      <c r="H76" s="34">
        <f t="shared" si="2"/>
        <v>9.6</v>
      </c>
      <c r="I76" s="8">
        <v>0</v>
      </c>
      <c r="J76" s="8"/>
      <c r="K76" s="34">
        <f t="shared" si="3"/>
        <v>0</v>
      </c>
      <c r="L76" s="8">
        <v>0</v>
      </c>
      <c r="M76" s="8"/>
      <c r="N76" s="34">
        <f t="shared" si="4"/>
        <v>0</v>
      </c>
    </row>
    <row r="77" spans="1:14" ht="15" customHeight="1">
      <c r="A77" s="37">
        <v>66</v>
      </c>
      <c r="B77" s="6" t="s">
        <v>290</v>
      </c>
      <c r="C77" s="34">
        <f t="shared" si="6"/>
        <v>340.6</v>
      </c>
      <c r="D77" s="34">
        <f t="shared" si="6"/>
        <v>259.5</v>
      </c>
      <c r="E77" s="34">
        <f t="shared" si="1"/>
        <v>-81.1</v>
      </c>
      <c r="F77" s="8">
        <v>339.4</v>
      </c>
      <c r="G77" s="8">
        <v>258</v>
      </c>
      <c r="H77" s="34">
        <f t="shared" si="2"/>
        <v>-81.4</v>
      </c>
      <c r="I77" s="8">
        <v>0</v>
      </c>
      <c r="J77" s="8"/>
      <c r="K77" s="34">
        <f t="shared" si="3"/>
        <v>0</v>
      </c>
      <c r="L77" s="8">
        <v>1.2</v>
      </c>
      <c r="M77" s="8">
        <v>1.5</v>
      </c>
      <c r="N77" s="34">
        <f t="shared" si="4"/>
        <v>0.3</v>
      </c>
    </row>
    <row r="78" spans="1:14" ht="14.25" customHeight="1">
      <c r="A78" s="37">
        <v>67</v>
      </c>
      <c r="B78" s="6" t="s">
        <v>168</v>
      </c>
      <c r="C78" s="34">
        <f t="shared" si="6"/>
        <v>195.2</v>
      </c>
      <c r="D78" s="34">
        <f t="shared" si="6"/>
        <v>138.1</v>
      </c>
      <c r="E78" s="34">
        <f t="shared" si="1"/>
        <v>-57.1</v>
      </c>
      <c r="F78" s="8">
        <v>195.2</v>
      </c>
      <c r="G78" s="8">
        <v>138.1</v>
      </c>
      <c r="H78" s="34">
        <f t="shared" si="2"/>
        <v>-57.1</v>
      </c>
      <c r="I78" s="8">
        <v>0</v>
      </c>
      <c r="J78" s="8"/>
      <c r="K78" s="34">
        <f t="shared" si="3"/>
        <v>0</v>
      </c>
      <c r="L78" s="8">
        <v>0</v>
      </c>
      <c r="M78" s="8"/>
      <c r="N78" s="34">
        <f t="shared" si="4"/>
        <v>0</v>
      </c>
    </row>
    <row r="79" spans="1:14" ht="15.75">
      <c r="A79" s="37">
        <v>68</v>
      </c>
      <c r="B79" s="6" t="s">
        <v>169</v>
      </c>
      <c r="C79" s="34">
        <f t="shared" si="6"/>
        <v>287</v>
      </c>
      <c r="D79" s="34">
        <f t="shared" si="6"/>
        <v>244</v>
      </c>
      <c r="E79" s="34">
        <f aca="true" t="shared" si="20" ref="E79:E131">D79-C79</f>
        <v>-43</v>
      </c>
      <c r="F79" s="8">
        <v>285</v>
      </c>
      <c r="G79" s="8">
        <v>242.5</v>
      </c>
      <c r="H79" s="34">
        <f aca="true" t="shared" si="21" ref="H79:H131">G79-F79</f>
        <v>-42.5</v>
      </c>
      <c r="I79" s="8">
        <v>0</v>
      </c>
      <c r="J79" s="8"/>
      <c r="K79" s="34">
        <f aca="true" t="shared" si="22" ref="K79:K131">J79-I79</f>
        <v>0</v>
      </c>
      <c r="L79" s="8">
        <v>2</v>
      </c>
      <c r="M79" s="8">
        <v>1.5</v>
      </c>
      <c r="N79" s="34">
        <f aca="true" t="shared" si="23" ref="N79:N128">M79-L79</f>
        <v>-0.5</v>
      </c>
    </row>
    <row r="80" spans="1:14" ht="15.75">
      <c r="A80" s="37">
        <v>69</v>
      </c>
      <c r="B80" s="6" t="s">
        <v>170</v>
      </c>
      <c r="C80" s="34">
        <f t="shared" si="6"/>
        <v>185.7</v>
      </c>
      <c r="D80" s="34">
        <f t="shared" si="6"/>
        <v>174.3</v>
      </c>
      <c r="E80" s="34">
        <f t="shared" si="20"/>
        <v>-11.4</v>
      </c>
      <c r="F80" s="8">
        <v>185.7</v>
      </c>
      <c r="G80" s="8">
        <v>174.3</v>
      </c>
      <c r="H80" s="34">
        <f t="shared" si="21"/>
        <v>-11.4</v>
      </c>
      <c r="I80" s="8">
        <v>0</v>
      </c>
      <c r="J80" s="8"/>
      <c r="K80" s="34">
        <f t="shared" si="22"/>
        <v>0</v>
      </c>
      <c r="L80" s="8">
        <v>0</v>
      </c>
      <c r="M80" s="8"/>
      <c r="N80" s="34">
        <f t="shared" si="23"/>
        <v>0</v>
      </c>
    </row>
    <row r="81" spans="1:14" ht="15.75">
      <c r="A81" s="37">
        <v>70</v>
      </c>
      <c r="B81" s="6" t="s">
        <v>171</v>
      </c>
      <c r="C81" s="34">
        <f t="shared" si="6"/>
        <v>128.9</v>
      </c>
      <c r="D81" s="34">
        <f t="shared" si="6"/>
        <v>110.4</v>
      </c>
      <c r="E81" s="34">
        <f t="shared" si="20"/>
        <v>-18.5</v>
      </c>
      <c r="F81" s="8">
        <v>128.9</v>
      </c>
      <c r="G81" s="8">
        <v>110.4</v>
      </c>
      <c r="H81" s="34">
        <f t="shared" si="21"/>
        <v>-18.5</v>
      </c>
      <c r="I81" s="8">
        <v>0</v>
      </c>
      <c r="J81" s="8"/>
      <c r="K81" s="34">
        <f t="shared" si="22"/>
        <v>0</v>
      </c>
      <c r="L81" s="8">
        <v>0</v>
      </c>
      <c r="M81" s="8"/>
      <c r="N81" s="34">
        <f t="shared" si="23"/>
        <v>0</v>
      </c>
    </row>
    <row r="82" spans="1:14" ht="15.75">
      <c r="A82" s="37">
        <v>71</v>
      </c>
      <c r="B82" s="6" t="s">
        <v>172</v>
      </c>
      <c r="C82" s="34">
        <f aca="true" t="shared" si="24" ref="C82:D123">F82+I82+L82</f>
        <v>240.1</v>
      </c>
      <c r="D82" s="34">
        <f t="shared" si="24"/>
        <v>245</v>
      </c>
      <c r="E82" s="34">
        <f t="shared" si="20"/>
        <v>4.9</v>
      </c>
      <c r="F82" s="8">
        <v>238.5</v>
      </c>
      <c r="G82" s="8">
        <v>243.1</v>
      </c>
      <c r="H82" s="34">
        <f t="shared" si="21"/>
        <v>4.6</v>
      </c>
      <c r="I82" s="8">
        <v>0</v>
      </c>
      <c r="J82" s="8"/>
      <c r="K82" s="34">
        <f t="shared" si="22"/>
        <v>0</v>
      </c>
      <c r="L82" s="8">
        <v>1.6</v>
      </c>
      <c r="M82" s="8">
        <v>1.9</v>
      </c>
      <c r="N82" s="34">
        <f t="shared" si="23"/>
        <v>0.3</v>
      </c>
    </row>
    <row r="83" spans="1:14" ht="15.75">
      <c r="A83" s="37">
        <v>72</v>
      </c>
      <c r="B83" s="6" t="s">
        <v>173</v>
      </c>
      <c r="C83" s="34">
        <f t="shared" si="24"/>
        <v>265.1</v>
      </c>
      <c r="D83" s="34">
        <f t="shared" si="24"/>
        <v>248</v>
      </c>
      <c r="E83" s="34">
        <f t="shared" si="20"/>
        <v>-17.1</v>
      </c>
      <c r="F83" s="8">
        <v>261.6</v>
      </c>
      <c r="G83" s="8">
        <v>244.5</v>
      </c>
      <c r="H83" s="34">
        <f t="shared" si="21"/>
        <v>-17.1</v>
      </c>
      <c r="I83" s="8">
        <v>0</v>
      </c>
      <c r="J83" s="8"/>
      <c r="K83" s="34">
        <f t="shared" si="22"/>
        <v>0</v>
      </c>
      <c r="L83" s="8">
        <v>3.5</v>
      </c>
      <c r="M83" s="8">
        <v>3.5</v>
      </c>
      <c r="N83" s="34">
        <f t="shared" si="23"/>
        <v>0</v>
      </c>
    </row>
    <row r="84" spans="1:14" ht="15.75">
      <c r="A84" s="37">
        <v>73</v>
      </c>
      <c r="B84" s="6" t="s">
        <v>174</v>
      </c>
      <c r="C84" s="34">
        <f t="shared" si="24"/>
        <v>227.2</v>
      </c>
      <c r="D84" s="34">
        <f t="shared" si="24"/>
        <v>223</v>
      </c>
      <c r="E84" s="34">
        <f t="shared" si="20"/>
        <v>-4.2</v>
      </c>
      <c r="F84" s="8">
        <v>227.2</v>
      </c>
      <c r="G84" s="8">
        <v>223</v>
      </c>
      <c r="H84" s="34">
        <f t="shared" si="21"/>
        <v>-4.2</v>
      </c>
      <c r="I84" s="8">
        <v>0</v>
      </c>
      <c r="J84" s="8"/>
      <c r="K84" s="34">
        <f t="shared" si="22"/>
        <v>0</v>
      </c>
      <c r="L84" s="8">
        <v>0</v>
      </c>
      <c r="M84" s="8"/>
      <c r="N84" s="34">
        <f t="shared" si="23"/>
        <v>0</v>
      </c>
    </row>
    <row r="85" spans="1:14" ht="15.75">
      <c r="A85" s="37">
        <v>74</v>
      </c>
      <c r="B85" s="6" t="s">
        <v>175</v>
      </c>
      <c r="C85" s="34">
        <f t="shared" si="24"/>
        <v>150.4</v>
      </c>
      <c r="D85" s="34">
        <f t="shared" si="24"/>
        <v>113.2</v>
      </c>
      <c r="E85" s="34">
        <f t="shared" si="20"/>
        <v>-37.2</v>
      </c>
      <c r="F85" s="8">
        <v>147.1</v>
      </c>
      <c r="G85" s="8">
        <v>109.9</v>
      </c>
      <c r="H85" s="34">
        <f t="shared" si="21"/>
        <v>-37.2</v>
      </c>
      <c r="I85" s="8">
        <v>0</v>
      </c>
      <c r="J85" s="8"/>
      <c r="K85" s="34">
        <f t="shared" si="22"/>
        <v>0</v>
      </c>
      <c r="L85" s="8">
        <v>3.3</v>
      </c>
      <c r="M85" s="8">
        <v>3.3</v>
      </c>
      <c r="N85" s="34">
        <f t="shared" si="23"/>
        <v>0</v>
      </c>
    </row>
    <row r="86" spans="1:14" ht="15.75">
      <c r="A86" s="37">
        <v>75</v>
      </c>
      <c r="B86" s="6" t="s">
        <v>205</v>
      </c>
      <c r="C86" s="34">
        <f t="shared" si="24"/>
        <v>225.3</v>
      </c>
      <c r="D86" s="34">
        <f t="shared" si="24"/>
        <v>229.9</v>
      </c>
      <c r="E86" s="34">
        <f t="shared" si="20"/>
        <v>4.6</v>
      </c>
      <c r="F86" s="8">
        <v>223.7</v>
      </c>
      <c r="G86" s="8">
        <v>228.4</v>
      </c>
      <c r="H86" s="34">
        <f t="shared" si="21"/>
        <v>4.7</v>
      </c>
      <c r="I86" s="8">
        <v>0</v>
      </c>
      <c r="J86" s="8"/>
      <c r="K86" s="34">
        <f t="shared" si="22"/>
        <v>0</v>
      </c>
      <c r="L86" s="8">
        <v>1.6</v>
      </c>
      <c r="M86" s="8">
        <f>1.5</f>
        <v>1.5</v>
      </c>
      <c r="N86" s="34">
        <f t="shared" si="23"/>
        <v>-0.1</v>
      </c>
    </row>
    <row r="87" spans="1:14" ht="15" customHeight="1">
      <c r="A87" s="37">
        <v>76</v>
      </c>
      <c r="B87" s="7" t="s">
        <v>176</v>
      </c>
      <c r="C87" s="34">
        <f t="shared" si="24"/>
        <v>172.5</v>
      </c>
      <c r="D87" s="34">
        <f t="shared" si="24"/>
        <v>134.1</v>
      </c>
      <c r="E87" s="34">
        <f t="shared" si="20"/>
        <v>-38.4</v>
      </c>
      <c r="F87" s="8">
        <v>172.5</v>
      </c>
      <c r="G87" s="8">
        <v>134.1</v>
      </c>
      <c r="H87" s="34">
        <f t="shared" si="21"/>
        <v>-38.4</v>
      </c>
      <c r="I87" s="8">
        <v>0</v>
      </c>
      <c r="J87" s="8"/>
      <c r="K87" s="34">
        <f t="shared" si="22"/>
        <v>0</v>
      </c>
      <c r="L87" s="8">
        <v>0</v>
      </c>
      <c r="M87" s="8"/>
      <c r="N87" s="34">
        <f t="shared" si="23"/>
        <v>0</v>
      </c>
    </row>
    <row r="88" spans="1:14" ht="15" customHeight="1">
      <c r="A88" s="37">
        <v>77</v>
      </c>
      <c r="B88" s="6" t="s">
        <v>177</v>
      </c>
      <c r="C88" s="34">
        <f t="shared" si="24"/>
        <v>155.8</v>
      </c>
      <c r="D88" s="34">
        <f t="shared" si="24"/>
        <v>156.9</v>
      </c>
      <c r="E88" s="34">
        <f t="shared" si="20"/>
        <v>1.1</v>
      </c>
      <c r="F88" s="8">
        <v>155.8</v>
      </c>
      <c r="G88" s="8">
        <v>156.9</v>
      </c>
      <c r="H88" s="34">
        <f t="shared" si="21"/>
        <v>1.1</v>
      </c>
      <c r="I88" s="8">
        <v>0</v>
      </c>
      <c r="J88" s="8"/>
      <c r="K88" s="34">
        <f t="shared" si="22"/>
        <v>0</v>
      </c>
      <c r="L88" s="8">
        <v>0</v>
      </c>
      <c r="M88" s="8"/>
      <c r="N88" s="34">
        <f t="shared" si="23"/>
        <v>0</v>
      </c>
    </row>
    <row r="89" spans="1:14" ht="15" customHeight="1">
      <c r="A89" s="37">
        <v>78</v>
      </c>
      <c r="B89" s="6" t="s">
        <v>178</v>
      </c>
      <c r="C89" s="34">
        <f t="shared" si="24"/>
        <v>162.1</v>
      </c>
      <c r="D89" s="34">
        <f t="shared" si="24"/>
        <v>121.3</v>
      </c>
      <c r="E89" s="34">
        <f t="shared" si="20"/>
        <v>-40.8</v>
      </c>
      <c r="F89" s="8">
        <v>162.1</v>
      </c>
      <c r="G89" s="8">
        <v>121.3</v>
      </c>
      <c r="H89" s="34">
        <f t="shared" si="21"/>
        <v>-40.8</v>
      </c>
      <c r="I89" s="8">
        <v>0</v>
      </c>
      <c r="J89" s="8"/>
      <c r="K89" s="34">
        <f t="shared" si="22"/>
        <v>0</v>
      </c>
      <c r="L89" s="8">
        <v>0</v>
      </c>
      <c r="M89" s="8"/>
      <c r="N89" s="34">
        <f t="shared" si="23"/>
        <v>0</v>
      </c>
    </row>
    <row r="90" spans="1:14" ht="15" customHeight="1">
      <c r="A90" s="37">
        <v>79</v>
      </c>
      <c r="B90" s="6" t="s">
        <v>179</v>
      </c>
      <c r="C90" s="34">
        <f t="shared" si="24"/>
        <v>254.6</v>
      </c>
      <c r="D90" s="34">
        <f t="shared" si="24"/>
        <v>238.6</v>
      </c>
      <c r="E90" s="34">
        <f t="shared" si="20"/>
        <v>-16</v>
      </c>
      <c r="F90" s="8">
        <v>250.9</v>
      </c>
      <c r="G90" s="8">
        <v>235.1</v>
      </c>
      <c r="H90" s="34">
        <f t="shared" si="21"/>
        <v>-15.8</v>
      </c>
      <c r="I90" s="8">
        <v>0</v>
      </c>
      <c r="J90" s="8"/>
      <c r="K90" s="34">
        <f t="shared" si="22"/>
        <v>0</v>
      </c>
      <c r="L90" s="8">
        <v>3.7</v>
      </c>
      <c r="M90" s="8">
        <v>3.5</v>
      </c>
      <c r="N90" s="34">
        <f t="shared" si="23"/>
        <v>-0.2</v>
      </c>
    </row>
    <row r="91" spans="1:14" ht="15" customHeight="1">
      <c r="A91" s="37">
        <v>80</v>
      </c>
      <c r="B91" s="6" t="s">
        <v>180</v>
      </c>
      <c r="C91" s="34">
        <f t="shared" si="24"/>
        <v>179.4</v>
      </c>
      <c r="D91" s="34">
        <f t="shared" si="24"/>
        <v>136.5</v>
      </c>
      <c r="E91" s="34">
        <f t="shared" si="20"/>
        <v>-42.9</v>
      </c>
      <c r="F91" s="8">
        <v>176.4</v>
      </c>
      <c r="G91" s="8">
        <v>133.5</v>
      </c>
      <c r="H91" s="34">
        <f t="shared" si="21"/>
        <v>-42.9</v>
      </c>
      <c r="I91" s="8">
        <v>0</v>
      </c>
      <c r="J91" s="8"/>
      <c r="K91" s="34">
        <f t="shared" si="22"/>
        <v>0</v>
      </c>
      <c r="L91" s="8">
        <v>3</v>
      </c>
      <c r="M91" s="8">
        <v>3</v>
      </c>
      <c r="N91" s="34">
        <f t="shared" si="23"/>
        <v>0</v>
      </c>
    </row>
    <row r="92" spans="1:14" ht="15" customHeight="1">
      <c r="A92" s="37">
        <v>81</v>
      </c>
      <c r="B92" s="6" t="s">
        <v>181</v>
      </c>
      <c r="C92" s="34">
        <f t="shared" si="24"/>
        <v>267.6</v>
      </c>
      <c r="D92" s="34">
        <f t="shared" si="24"/>
        <v>282.5</v>
      </c>
      <c r="E92" s="34">
        <f t="shared" si="20"/>
        <v>14.9</v>
      </c>
      <c r="F92" s="8">
        <v>265.8</v>
      </c>
      <c r="G92" s="8">
        <v>280.5</v>
      </c>
      <c r="H92" s="34">
        <f t="shared" si="21"/>
        <v>14.7</v>
      </c>
      <c r="I92" s="8">
        <v>0</v>
      </c>
      <c r="J92" s="8"/>
      <c r="K92" s="34">
        <f t="shared" si="22"/>
        <v>0</v>
      </c>
      <c r="L92" s="8">
        <v>1.8</v>
      </c>
      <c r="M92" s="8">
        <v>2</v>
      </c>
      <c r="N92" s="34">
        <f t="shared" si="23"/>
        <v>0.2</v>
      </c>
    </row>
    <row r="93" spans="1:14" ht="15" customHeight="1">
      <c r="A93" s="37">
        <v>82</v>
      </c>
      <c r="B93" s="6" t="s">
        <v>182</v>
      </c>
      <c r="C93" s="34">
        <f t="shared" si="24"/>
        <v>221.8</v>
      </c>
      <c r="D93" s="34">
        <f t="shared" si="24"/>
        <v>214.3</v>
      </c>
      <c r="E93" s="34">
        <f t="shared" si="20"/>
        <v>-7.5</v>
      </c>
      <c r="F93" s="8">
        <v>220.7</v>
      </c>
      <c r="G93" s="8">
        <v>213.2</v>
      </c>
      <c r="H93" s="34">
        <f t="shared" si="21"/>
        <v>-7.5</v>
      </c>
      <c r="I93" s="8">
        <v>0</v>
      </c>
      <c r="J93" s="8"/>
      <c r="K93" s="34">
        <f t="shared" si="22"/>
        <v>0</v>
      </c>
      <c r="L93" s="8">
        <v>1.1</v>
      </c>
      <c r="M93" s="8">
        <v>1.1</v>
      </c>
      <c r="N93" s="34">
        <f t="shared" si="23"/>
        <v>0</v>
      </c>
    </row>
    <row r="94" spans="1:14" ht="14.25" customHeight="1">
      <c r="A94" s="37">
        <v>83</v>
      </c>
      <c r="B94" s="6" t="s">
        <v>183</v>
      </c>
      <c r="C94" s="34">
        <f t="shared" si="24"/>
        <v>264.3</v>
      </c>
      <c r="D94" s="34">
        <f t="shared" si="24"/>
        <v>247.2</v>
      </c>
      <c r="E94" s="34">
        <f t="shared" si="20"/>
        <v>-17.1</v>
      </c>
      <c r="F94" s="8">
        <v>262</v>
      </c>
      <c r="G94" s="8">
        <v>244.6</v>
      </c>
      <c r="H94" s="34">
        <f t="shared" si="21"/>
        <v>-17.4</v>
      </c>
      <c r="I94" s="8">
        <v>0</v>
      </c>
      <c r="J94" s="8"/>
      <c r="K94" s="34">
        <f t="shared" si="22"/>
        <v>0</v>
      </c>
      <c r="L94" s="8">
        <v>2.3</v>
      </c>
      <c r="M94" s="8">
        <v>2.6</v>
      </c>
      <c r="N94" s="34">
        <f t="shared" si="23"/>
        <v>0.3</v>
      </c>
    </row>
    <row r="95" spans="1:14" ht="15" customHeight="1">
      <c r="A95" s="37">
        <v>84</v>
      </c>
      <c r="B95" s="6" t="s">
        <v>184</v>
      </c>
      <c r="C95" s="34">
        <f t="shared" si="24"/>
        <v>236.8</v>
      </c>
      <c r="D95" s="34">
        <f t="shared" si="24"/>
        <v>226.3</v>
      </c>
      <c r="E95" s="34">
        <f t="shared" si="20"/>
        <v>-10.5</v>
      </c>
      <c r="F95" s="8">
        <v>235.7</v>
      </c>
      <c r="G95" s="8">
        <v>226.1</v>
      </c>
      <c r="H95" s="34">
        <f t="shared" si="21"/>
        <v>-9.6</v>
      </c>
      <c r="I95" s="8">
        <v>0</v>
      </c>
      <c r="J95" s="8"/>
      <c r="K95" s="34">
        <f t="shared" si="22"/>
        <v>0</v>
      </c>
      <c r="L95" s="8">
        <v>1.1</v>
      </c>
      <c r="M95" s="8">
        <f>1-0.8</f>
        <v>0.2</v>
      </c>
      <c r="N95" s="34">
        <f t="shared" si="23"/>
        <v>-0.9</v>
      </c>
    </row>
    <row r="96" spans="1:14" ht="15" customHeight="1">
      <c r="A96" s="37">
        <v>85</v>
      </c>
      <c r="B96" s="6" t="s">
        <v>185</v>
      </c>
      <c r="C96" s="34">
        <f t="shared" si="24"/>
        <v>166.9</v>
      </c>
      <c r="D96" s="34">
        <f t="shared" si="24"/>
        <v>151.3</v>
      </c>
      <c r="E96" s="34">
        <f t="shared" si="20"/>
        <v>-15.6</v>
      </c>
      <c r="F96" s="8">
        <v>166.9</v>
      </c>
      <c r="G96" s="8">
        <v>151.3</v>
      </c>
      <c r="H96" s="34">
        <f t="shared" si="21"/>
        <v>-15.6</v>
      </c>
      <c r="I96" s="8">
        <v>0</v>
      </c>
      <c r="J96" s="8"/>
      <c r="K96" s="34">
        <f t="shared" si="22"/>
        <v>0</v>
      </c>
      <c r="L96" s="8">
        <v>0</v>
      </c>
      <c r="M96" s="8"/>
      <c r="N96" s="34">
        <f t="shared" si="23"/>
        <v>0</v>
      </c>
    </row>
    <row r="97" spans="1:14" ht="15" customHeight="1">
      <c r="A97" s="37">
        <v>86</v>
      </c>
      <c r="B97" s="6" t="s">
        <v>186</v>
      </c>
      <c r="C97" s="34">
        <f t="shared" si="24"/>
        <v>194.7</v>
      </c>
      <c r="D97" s="34">
        <f t="shared" si="24"/>
        <v>194.7</v>
      </c>
      <c r="E97" s="34">
        <f t="shared" si="20"/>
        <v>0</v>
      </c>
      <c r="F97" s="8">
        <v>194.7</v>
      </c>
      <c r="G97" s="8">
        <f>194.6+0.1</f>
        <v>194.7</v>
      </c>
      <c r="H97" s="34">
        <f t="shared" si="21"/>
        <v>0</v>
      </c>
      <c r="I97" s="8">
        <v>0</v>
      </c>
      <c r="J97" s="8"/>
      <c r="K97" s="34">
        <f t="shared" si="22"/>
        <v>0</v>
      </c>
      <c r="L97" s="8">
        <v>0</v>
      </c>
      <c r="M97" s="8"/>
      <c r="N97" s="34">
        <f t="shared" si="23"/>
        <v>0</v>
      </c>
    </row>
    <row r="98" spans="1:14" ht="15" customHeight="1">
      <c r="A98" s="37">
        <v>87</v>
      </c>
      <c r="B98" s="6" t="s">
        <v>187</v>
      </c>
      <c r="C98" s="34">
        <f t="shared" si="24"/>
        <v>250.8</v>
      </c>
      <c r="D98" s="34">
        <f t="shared" si="24"/>
        <v>248.8</v>
      </c>
      <c r="E98" s="34">
        <f t="shared" si="20"/>
        <v>-2</v>
      </c>
      <c r="F98" s="8">
        <v>250.8</v>
      </c>
      <c r="G98" s="8">
        <v>248.8</v>
      </c>
      <c r="H98" s="34">
        <f t="shared" si="21"/>
        <v>-2</v>
      </c>
      <c r="I98" s="8">
        <v>0</v>
      </c>
      <c r="J98" s="8"/>
      <c r="K98" s="34">
        <f t="shared" si="22"/>
        <v>0</v>
      </c>
      <c r="L98" s="8">
        <v>0</v>
      </c>
      <c r="M98" s="8"/>
      <c r="N98" s="34">
        <f t="shared" si="23"/>
        <v>0</v>
      </c>
    </row>
    <row r="99" spans="1:14" ht="15" customHeight="1">
      <c r="A99" s="37">
        <v>88</v>
      </c>
      <c r="B99" s="6" t="s">
        <v>188</v>
      </c>
      <c r="C99" s="34">
        <f t="shared" si="24"/>
        <v>278.7</v>
      </c>
      <c r="D99" s="34">
        <f t="shared" si="24"/>
        <v>279.9</v>
      </c>
      <c r="E99" s="34">
        <f t="shared" si="20"/>
        <v>1.2</v>
      </c>
      <c r="F99" s="8">
        <v>276.6</v>
      </c>
      <c r="G99" s="8">
        <v>277.5</v>
      </c>
      <c r="H99" s="34">
        <f t="shared" si="21"/>
        <v>0.9</v>
      </c>
      <c r="I99" s="8">
        <v>0</v>
      </c>
      <c r="J99" s="8"/>
      <c r="K99" s="34">
        <f t="shared" si="22"/>
        <v>0</v>
      </c>
      <c r="L99" s="8">
        <v>2.1</v>
      </c>
      <c r="M99" s="8">
        <v>2.4</v>
      </c>
      <c r="N99" s="34">
        <f t="shared" si="23"/>
        <v>0.3</v>
      </c>
    </row>
    <row r="100" spans="1:14" ht="15" customHeight="1">
      <c r="A100" s="37">
        <v>89</v>
      </c>
      <c r="B100" s="6" t="s">
        <v>189</v>
      </c>
      <c r="C100" s="34">
        <f t="shared" si="24"/>
        <v>290.3</v>
      </c>
      <c r="D100" s="34">
        <f t="shared" si="24"/>
        <v>222.3</v>
      </c>
      <c r="E100" s="34">
        <f t="shared" si="20"/>
        <v>-68</v>
      </c>
      <c r="F100" s="8">
        <v>288</v>
      </c>
      <c r="G100" s="8">
        <v>220.6</v>
      </c>
      <c r="H100" s="34">
        <f t="shared" si="21"/>
        <v>-67.4</v>
      </c>
      <c r="I100" s="8">
        <v>0</v>
      </c>
      <c r="J100" s="8"/>
      <c r="K100" s="34">
        <f t="shared" si="22"/>
        <v>0</v>
      </c>
      <c r="L100" s="8">
        <v>2.3</v>
      </c>
      <c r="M100" s="8">
        <v>1.7</v>
      </c>
      <c r="N100" s="34">
        <f t="shared" si="23"/>
        <v>-0.6</v>
      </c>
    </row>
    <row r="101" spans="1:14" ht="15" customHeight="1">
      <c r="A101" s="37">
        <v>90</v>
      </c>
      <c r="B101" s="6" t="s">
        <v>190</v>
      </c>
      <c r="C101" s="34">
        <f t="shared" si="24"/>
        <v>260.9</v>
      </c>
      <c r="D101" s="34">
        <f t="shared" si="24"/>
        <v>204.9</v>
      </c>
      <c r="E101" s="34">
        <f t="shared" si="20"/>
        <v>-56</v>
      </c>
      <c r="F101" s="8">
        <v>260.9</v>
      </c>
      <c r="G101" s="8">
        <v>204.9</v>
      </c>
      <c r="H101" s="34">
        <f t="shared" si="21"/>
        <v>-56</v>
      </c>
      <c r="I101" s="8">
        <v>0</v>
      </c>
      <c r="J101" s="8"/>
      <c r="K101" s="34">
        <f t="shared" si="22"/>
        <v>0</v>
      </c>
      <c r="L101" s="8">
        <v>0</v>
      </c>
      <c r="M101" s="8"/>
      <c r="N101" s="34">
        <f t="shared" si="23"/>
        <v>0</v>
      </c>
    </row>
    <row r="102" spans="1:14" ht="15.75">
      <c r="A102" s="37">
        <v>91</v>
      </c>
      <c r="B102" s="6" t="s">
        <v>191</v>
      </c>
      <c r="C102" s="34">
        <f t="shared" si="24"/>
        <v>198.7</v>
      </c>
      <c r="D102" s="34">
        <f t="shared" si="24"/>
        <v>191.7</v>
      </c>
      <c r="E102" s="34">
        <f t="shared" si="20"/>
        <v>-7</v>
      </c>
      <c r="F102" s="8">
        <v>198.7</v>
      </c>
      <c r="G102" s="8">
        <v>191.7</v>
      </c>
      <c r="H102" s="34">
        <f t="shared" si="21"/>
        <v>-7</v>
      </c>
      <c r="I102" s="8">
        <v>0</v>
      </c>
      <c r="J102" s="8"/>
      <c r="K102" s="34">
        <f t="shared" si="22"/>
        <v>0</v>
      </c>
      <c r="L102" s="8">
        <v>0</v>
      </c>
      <c r="M102" s="8"/>
      <c r="N102" s="34">
        <f t="shared" si="23"/>
        <v>0</v>
      </c>
    </row>
    <row r="103" spans="1:14" s="36" customFormat="1" ht="15" customHeight="1">
      <c r="A103" s="37">
        <v>92</v>
      </c>
      <c r="B103" s="6" t="s">
        <v>192</v>
      </c>
      <c r="C103" s="34">
        <f t="shared" si="24"/>
        <v>170.6</v>
      </c>
      <c r="D103" s="34">
        <f t="shared" si="24"/>
        <v>191.8</v>
      </c>
      <c r="E103" s="34">
        <f t="shared" si="20"/>
        <v>21.2</v>
      </c>
      <c r="F103" s="8">
        <v>170.6</v>
      </c>
      <c r="G103" s="8">
        <v>191.8</v>
      </c>
      <c r="H103" s="34">
        <f t="shared" si="21"/>
        <v>21.2</v>
      </c>
      <c r="I103" s="8">
        <v>0</v>
      </c>
      <c r="J103" s="8"/>
      <c r="K103" s="34">
        <f t="shared" si="22"/>
        <v>0</v>
      </c>
      <c r="L103" s="8">
        <v>0</v>
      </c>
      <c r="M103" s="8"/>
      <c r="N103" s="34">
        <f t="shared" si="23"/>
        <v>0</v>
      </c>
    </row>
    <row r="104" spans="1:14" ht="15" customHeight="1">
      <c r="A104" s="37">
        <v>93</v>
      </c>
      <c r="B104" s="6" t="s">
        <v>193</v>
      </c>
      <c r="C104" s="34">
        <f t="shared" si="24"/>
        <v>323.2</v>
      </c>
      <c r="D104" s="34">
        <f t="shared" si="24"/>
        <v>246.9</v>
      </c>
      <c r="E104" s="34">
        <f t="shared" si="20"/>
        <v>-76.3</v>
      </c>
      <c r="F104" s="8">
        <v>322.2</v>
      </c>
      <c r="G104" s="8">
        <v>245.8</v>
      </c>
      <c r="H104" s="34">
        <f t="shared" si="21"/>
        <v>-76.4</v>
      </c>
      <c r="I104" s="8">
        <v>0</v>
      </c>
      <c r="J104" s="8"/>
      <c r="K104" s="34">
        <f t="shared" si="22"/>
        <v>0</v>
      </c>
      <c r="L104" s="8">
        <v>1</v>
      </c>
      <c r="M104" s="8">
        <v>1.1</v>
      </c>
      <c r="N104" s="34">
        <f t="shared" si="23"/>
        <v>0.1</v>
      </c>
    </row>
    <row r="105" spans="1:14" ht="15" customHeight="1">
      <c r="A105" s="37">
        <v>94</v>
      </c>
      <c r="B105" s="6" t="s">
        <v>194</v>
      </c>
      <c r="C105" s="34">
        <f t="shared" si="24"/>
        <v>175.1</v>
      </c>
      <c r="D105" s="34">
        <f t="shared" si="24"/>
        <v>157.8</v>
      </c>
      <c r="E105" s="34">
        <f t="shared" si="20"/>
        <v>-17.3</v>
      </c>
      <c r="F105" s="8">
        <v>173</v>
      </c>
      <c r="G105" s="8">
        <v>155.7</v>
      </c>
      <c r="H105" s="34">
        <f t="shared" si="21"/>
        <v>-17.3</v>
      </c>
      <c r="I105" s="8">
        <v>0</v>
      </c>
      <c r="J105" s="8"/>
      <c r="K105" s="34">
        <f t="shared" si="22"/>
        <v>0</v>
      </c>
      <c r="L105" s="8">
        <v>2.1</v>
      </c>
      <c r="M105" s="8">
        <v>2.1</v>
      </c>
      <c r="N105" s="34">
        <f t="shared" si="23"/>
        <v>0</v>
      </c>
    </row>
    <row r="106" spans="1:14" ht="15" customHeight="1">
      <c r="A106" s="37">
        <v>95</v>
      </c>
      <c r="B106" s="6" t="s">
        <v>195</v>
      </c>
      <c r="C106" s="34">
        <f t="shared" si="24"/>
        <v>231.1</v>
      </c>
      <c r="D106" s="34">
        <f t="shared" si="24"/>
        <v>208.6</v>
      </c>
      <c r="E106" s="34">
        <f t="shared" si="20"/>
        <v>-22.5</v>
      </c>
      <c r="F106" s="8">
        <v>231.1</v>
      </c>
      <c r="G106" s="8">
        <v>208.6</v>
      </c>
      <c r="H106" s="34">
        <f t="shared" si="21"/>
        <v>-22.5</v>
      </c>
      <c r="I106" s="8">
        <v>0</v>
      </c>
      <c r="J106" s="8"/>
      <c r="K106" s="34">
        <f t="shared" si="22"/>
        <v>0</v>
      </c>
      <c r="L106" s="8">
        <v>0</v>
      </c>
      <c r="M106" s="8"/>
      <c r="N106" s="34">
        <f t="shared" si="23"/>
        <v>0</v>
      </c>
    </row>
    <row r="107" spans="1:14" ht="16.5" customHeight="1">
      <c r="A107" s="37">
        <v>96</v>
      </c>
      <c r="B107" s="6" t="s">
        <v>196</v>
      </c>
      <c r="C107" s="34">
        <f t="shared" si="24"/>
        <v>195</v>
      </c>
      <c r="D107" s="34">
        <f t="shared" si="24"/>
        <v>183.9</v>
      </c>
      <c r="E107" s="34">
        <f t="shared" si="20"/>
        <v>-11.1</v>
      </c>
      <c r="F107" s="8">
        <v>195</v>
      </c>
      <c r="G107" s="8">
        <v>183.9</v>
      </c>
      <c r="H107" s="34">
        <f t="shared" si="21"/>
        <v>-11.1</v>
      </c>
      <c r="I107" s="8">
        <v>0</v>
      </c>
      <c r="J107" s="8"/>
      <c r="K107" s="34">
        <f t="shared" si="22"/>
        <v>0</v>
      </c>
      <c r="L107" s="8">
        <v>0</v>
      </c>
      <c r="M107" s="8"/>
      <c r="N107" s="34">
        <f t="shared" si="23"/>
        <v>0</v>
      </c>
    </row>
    <row r="108" spans="1:14" ht="15" customHeight="1">
      <c r="A108" s="37">
        <v>97</v>
      </c>
      <c r="B108" s="6" t="s">
        <v>197</v>
      </c>
      <c r="C108" s="34">
        <f t="shared" si="24"/>
        <v>237.9</v>
      </c>
      <c r="D108" s="34">
        <f t="shared" si="24"/>
        <v>250.7</v>
      </c>
      <c r="E108" s="34">
        <f t="shared" si="20"/>
        <v>12.8</v>
      </c>
      <c r="F108" s="8">
        <v>236.8</v>
      </c>
      <c r="G108" s="8">
        <v>249.4</v>
      </c>
      <c r="H108" s="34">
        <f t="shared" si="21"/>
        <v>12.6</v>
      </c>
      <c r="I108" s="8">
        <v>0</v>
      </c>
      <c r="J108" s="8"/>
      <c r="K108" s="34">
        <f t="shared" si="22"/>
        <v>0</v>
      </c>
      <c r="L108" s="8">
        <v>1.1</v>
      </c>
      <c r="M108" s="8">
        <v>1.3</v>
      </c>
      <c r="N108" s="34">
        <f t="shared" si="23"/>
        <v>0.2</v>
      </c>
    </row>
    <row r="109" spans="1:14" ht="15" customHeight="1">
      <c r="A109" s="37">
        <v>98</v>
      </c>
      <c r="B109" s="6" t="s">
        <v>198</v>
      </c>
      <c r="C109" s="34">
        <f t="shared" si="24"/>
        <v>249.1</v>
      </c>
      <c r="D109" s="34">
        <f t="shared" si="24"/>
        <v>233.2</v>
      </c>
      <c r="E109" s="34">
        <f t="shared" si="20"/>
        <v>-15.9</v>
      </c>
      <c r="F109" s="8">
        <v>247.9</v>
      </c>
      <c r="G109" s="8">
        <v>232</v>
      </c>
      <c r="H109" s="34">
        <f t="shared" si="21"/>
        <v>-15.9</v>
      </c>
      <c r="I109" s="8">
        <v>0</v>
      </c>
      <c r="J109" s="8"/>
      <c r="K109" s="34">
        <f t="shared" si="22"/>
        <v>0</v>
      </c>
      <c r="L109" s="8">
        <v>1.2</v>
      </c>
      <c r="M109" s="8">
        <v>1.2</v>
      </c>
      <c r="N109" s="34">
        <f t="shared" si="23"/>
        <v>0</v>
      </c>
    </row>
    <row r="110" spans="1:14" ht="15" customHeight="1">
      <c r="A110" s="37">
        <v>99</v>
      </c>
      <c r="B110" s="6" t="s">
        <v>199</v>
      </c>
      <c r="C110" s="34">
        <f t="shared" si="24"/>
        <v>302.4</v>
      </c>
      <c r="D110" s="34">
        <f t="shared" si="24"/>
        <v>266.5</v>
      </c>
      <c r="E110" s="34">
        <f t="shared" si="20"/>
        <v>-35.9</v>
      </c>
      <c r="F110" s="8">
        <v>300.4</v>
      </c>
      <c r="G110" s="8">
        <v>265.3</v>
      </c>
      <c r="H110" s="34">
        <f t="shared" si="21"/>
        <v>-35.1</v>
      </c>
      <c r="I110" s="8">
        <v>0</v>
      </c>
      <c r="J110" s="8"/>
      <c r="K110" s="34">
        <f t="shared" si="22"/>
        <v>0</v>
      </c>
      <c r="L110" s="8">
        <v>2</v>
      </c>
      <c r="M110" s="8">
        <f>2.2-1</f>
        <v>1.2</v>
      </c>
      <c r="N110" s="34">
        <f t="shared" si="23"/>
        <v>-0.8</v>
      </c>
    </row>
    <row r="111" spans="1:14" ht="15" customHeight="1">
      <c r="A111" s="37">
        <v>100</v>
      </c>
      <c r="B111" s="6" t="s">
        <v>200</v>
      </c>
      <c r="C111" s="34">
        <f t="shared" si="24"/>
        <v>266.4</v>
      </c>
      <c r="D111" s="34">
        <f t="shared" si="24"/>
        <v>269.5</v>
      </c>
      <c r="E111" s="34">
        <f t="shared" si="20"/>
        <v>3.1</v>
      </c>
      <c r="F111" s="8">
        <v>265.2</v>
      </c>
      <c r="G111" s="8">
        <v>268.2</v>
      </c>
      <c r="H111" s="34">
        <f t="shared" si="21"/>
        <v>3</v>
      </c>
      <c r="I111" s="8">
        <v>0</v>
      </c>
      <c r="J111" s="8"/>
      <c r="K111" s="34">
        <f t="shared" si="22"/>
        <v>0</v>
      </c>
      <c r="L111" s="8">
        <v>1.2</v>
      </c>
      <c r="M111" s="8">
        <v>1.3</v>
      </c>
      <c r="N111" s="34">
        <f t="shared" si="23"/>
        <v>0.1</v>
      </c>
    </row>
    <row r="112" spans="1:14" ht="15" customHeight="1">
      <c r="A112" s="37">
        <v>101</v>
      </c>
      <c r="B112" s="6" t="s">
        <v>206</v>
      </c>
      <c r="C112" s="34">
        <f t="shared" si="24"/>
        <v>228.2</v>
      </c>
      <c r="D112" s="34">
        <f t="shared" si="24"/>
        <v>243.2</v>
      </c>
      <c r="E112" s="34">
        <f t="shared" si="20"/>
        <v>15</v>
      </c>
      <c r="F112" s="8">
        <v>225</v>
      </c>
      <c r="G112" s="8">
        <v>240.2</v>
      </c>
      <c r="H112" s="34">
        <f t="shared" si="21"/>
        <v>15.2</v>
      </c>
      <c r="I112" s="8">
        <v>2.6</v>
      </c>
      <c r="J112" s="8">
        <v>2.9</v>
      </c>
      <c r="K112" s="34">
        <f t="shared" si="22"/>
        <v>0.3</v>
      </c>
      <c r="L112" s="8">
        <v>0.6</v>
      </c>
      <c r="M112" s="8">
        <f>0.4-0.3</f>
        <v>0.1</v>
      </c>
      <c r="N112" s="34">
        <f t="shared" si="23"/>
        <v>-0.5</v>
      </c>
    </row>
    <row r="113" spans="1:14" ht="32.25" customHeight="1">
      <c r="A113" s="37">
        <v>102</v>
      </c>
      <c r="B113" s="6" t="s">
        <v>208</v>
      </c>
      <c r="C113" s="34">
        <f t="shared" si="24"/>
        <v>287</v>
      </c>
      <c r="D113" s="34">
        <f t="shared" si="24"/>
        <v>299</v>
      </c>
      <c r="E113" s="34">
        <f t="shared" si="20"/>
        <v>12</v>
      </c>
      <c r="F113" s="8">
        <v>285</v>
      </c>
      <c r="G113" s="8">
        <v>296.7</v>
      </c>
      <c r="H113" s="34">
        <f t="shared" si="21"/>
        <v>11.7</v>
      </c>
      <c r="I113" s="8">
        <v>2</v>
      </c>
      <c r="J113" s="8">
        <v>2.3</v>
      </c>
      <c r="K113" s="34">
        <f t="shared" si="22"/>
        <v>0.3</v>
      </c>
      <c r="L113" s="8">
        <v>0</v>
      </c>
      <c r="M113" s="8"/>
      <c r="N113" s="34">
        <f t="shared" si="23"/>
        <v>0</v>
      </c>
    </row>
    <row r="114" spans="1:14" ht="15" customHeight="1">
      <c r="A114" s="37">
        <v>103</v>
      </c>
      <c r="B114" s="6" t="s">
        <v>207</v>
      </c>
      <c r="C114" s="34">
        <f t="shared" si="24"/>
        <v>71.8</v>
      </c>
      <c r="D114" s="34">
        <f t="shared" si="24"/>
        <v>65.7</v>
      </c>
      <c r="E114" s="34">
        <f t="shared" si="20"/>
        <v>-6.1</v>
      </c>
      <c r="F114" s="8">
        <v>70</v>
      </c>
      <c r="G114" s="8">
        <v>63.9</v>
      </c>
      <c r="H114" s="34">
        <f t="shared" si="21"/>
        <v>-6.1</v>
      </c>
      <c r="I114" s="8">
        <v>0</v>
      </c>
      <c r="J114" s="8"/>
      <c r="K114" s="34">
        <f t="shared" si="22"/>
        <v>0</v>
      </c>
      <c r="L114" s="8">
        <v>1.8</v>
      </c>
      <c r="M114" s="8">
        <v>1.8</v>
      </c>
      <c r="N114" s="34">
        <f t="shared" si="23"/>
        <v>0</v>
      </c>
    </row>
    <row r="115" spans="1:14" ht="15" customHeight="1">
      <c r="A115" s="37">
        <v>104</v>
      </c>
      <c r="B115" s="6" t="s">
        <v>209</v>
      </c>
      <c r="C115" s="34">
        <f t="shared" si="24"/>
        <v>165.5</v>
      </c>
      <c r="D115" s="34">
        <f t="shared" si="24"/>
        <v>170.4</v>
      </c>
      <c r="E115" s="34">
        <f t="shared" si="20"/>
        <v>4.9</v>
      </c>
      <c r="F115" s="8">
        <v>160</v>
      </c>
      <c r="G115" s="8">
        <v>164.9</v>
      </c>
      <c r="H115" s="34">
        <f t="shared" si="21"/>
        <v>4.9</v>
      </c>
      <c r="I115" s="8">
        <v>0</v>
      </c>
      <c r="J115" s="8"/>
      <c r="K115" s="34">
        <f t="shared" si="22"/>
        <v>0</v>
      </c>
      <c r="L115" s="8">
        <v>5.5</v>
      </c>
      <c r="M115" s="8">
        <v>5.5</v>
      </c>
      <c r="N115" s="34">
        <f t="shared" si="23"/>
        <v>0</v>
      </c>
    </row>
    <row r="116" spans="1:14" ht="15.75">
      <c r="A116" s="37">
        <v>105</v>
      </c>
      <c r="B116" s="6" t="s">
        <v>212</v>
      </c>
      <c r="C116" s="34">
        <f t="shared" si="24"/>
        <v>117.5</v>
      </c>
      <c r="D116" s="34">
        <f t="shared" si="24"/>
        <v>156.1</v>
      </c>
      <c r="E116" s="34">
        <f t="shared" si="20"/>
        <v>38.6</v>
      </c>
      <c r="F116" s="8">
        <v>115</v>
      </c>
      <c r="G116" s="8">
        <v>153.7</v>
      </c>
      <c r="H116" s="34">
        <f t="shared" si="21"/>
        <v>38.7</v>
      </c>
      <c r="I116" s="8">
        <v>0</v>
      </c>
      <c r="J116" s="8"/>
      <c r="K116" s="34">
        <f t="shared" si="22"/>
        <v>0</v>
      </c>
      <c r="L116" s="8">
        <v>2.5</v>
      </c>
      <c r="M116" s="8">
        <v>2.4</v>
      </c>
      <c r="N116" s="34">
        <f t="shared" si="23"/>
        <v>-0.1</v>
      </c>
    </row>
    <row r="117" spans="1:14" ht="15" customHeight="1">
      <c r="A117" s="37">
        <v>106</v>
      </c>
      <c r="B117" s="6" t="s">
        <v>214</v>
      </c>
      <c r="C117" s="34">
        <f t="shared" si="24"/>
        <v>114.8</v>
      </c>
      <c r="D117" s="34">
        <f t="shared" si="24"/>
        <v>130.3</v>
      </c>
      <c r="E117" s="34">
        <f t="shared" si="20"/>
        <v>15.5</v>
      </c>
      <c r="F117" s="8">
        <v>110</v>
      </c>
      <c r="G117" s="8">
        <v>127.2</v>
      </c>
      <c r="H117" s="34">
        <f t="shared" si="21"/>
        <v>17.2</v>
      </c>
      <c r="I117" s="8">
        <v>0</v>
      </c>
      <c r="J117" s="8"/>
      <c r="K117" s="34">
        <f t="shared" si="22"/>
        <v>0</v>
      </c>
      <c r="L117" s="8">
        <v>4.8</v>
      </c>
      <c r="M117" s="8">
        <v>3.1</v>
      </c>
      <c r="N117" s="34">
        <f t="shared" si="23"/>
        <v>-1.7</v>
      </c>
    </row>
    <row r="118" spans="1:14" s="11" customFormat="1" ht="14.25" customHeight="1">
      <c r="A118" s="37">
        <v>107</v>
      </c>
      <c r="B118" s="6" t="s">
        <v>210</v>
      </c>
      <c r="C118" s="34">
        <f t="shared" si="24"/>
        <v>103.6</v>
      </c>
      <c r="D118" s="34">
        <f t="shared" si="24"/>
        <v>107.7</v>
      </c>
      <c r="E118" s="34">
        <f t="shared" si="20"/>
        <v>4.1</v>
      </c>
      <c r="F118" s="8">
        <v>101.6</v>
      </c>
      <c r="G118" s="8">
        <v>106.3</v>
      </c>
      <c r="H118" s="34">
        <f t="shared" si="21"/>
        <v>4.7</v>
      </c>
      <c r="I118" s="8">
        <v>0</v>
      </c>
      <c r="J118" s="8"/>
      <c r="K118" s="34">
        <f t="shared" si="22"/>
        <v>0</v>
      </c>
      <c r="L118" s="8">
        <v>2</v>
      </c>
      <c r="M118" s="8">
        <v>1.4</v>
      </c>
      <c r="N118" s="34">
        <f t="shared" si="23"/>
        <v>-0.6</v>
      </c>
    </row>
    <row r="119" spans="1:14" ht="31.5" customHeight="1">
      <c r="A119" s="37">
        <v>108</v>
      </c>
      <c r="B119" s="6" t="s">
        <v>211</v>
      </c>
      <c r="C119" s="34">
        <f t="shared" si="24"/>
        <v>230</v>
      </c>
      <c r="D119" s="34">
        <f t="shared" si="24"/>
        <v>242.6</v>
      </c>
      <c r="E119" s="34">
        <f t="shared" si="20"/>
        <v>12.6</v>
      </c>
      <c r="F119" s="8">
        <v>0</v>
      </c>
      <c r="G119" s="8"/>
      <c r="H119" s="34">
        <f t="shared" si="21"/>
        <v>0</v>
      </c>
      <c r="I119" s="8">
        <v>230</v>
      </c>
      <c r="J119" s="8">
        <v>242.6</v>
      </c>
      <c r="K119" s="34">
        <f t="shared" si="22"/>
        <v>12.6</v>
      </c>
      <c r="L119" s="8">
        <v>0</v>
      </c>
      <c r="M119" s="8"/>
      <c r="N119" s="34">
        <f t="shared" si="23"/>
        <v>0</v>
      </c>
    </row>
    <row r="120" spans="1:14" ht="15.75">
      <c r="A120" s="37">
        <v>109</v>
      </c>
      <c r="B120" s="6" t="s">
        <v>213</v>
      </c>
      <c r="C120" s="34">
        <f t="shared" si="24"/>
        <v>9</v>
      </c>
      <c r="D120" s="34">
        <f t="shared" si="24"/>
        <v>7.1</v>
      </c>
      <c r="E120" s="34">
        <f t="shared" si="20"/>
        <v>-1.9</v>
      </c>
      <c r="F120" s="8">
        <v>0</v>
      </c>
      <c r="G120" s="8"/>
      <c r="H120" s="34">
        <f t="shared" si="21"/>
        <v>0</v>
      </c>
      <c r="I120" s="8">
        <v>4</v>
      </c>
      <c r="J120" s="8">
        <v>2.8</v>
      </c>
      <c r="K120" s="34">
        <f t="shared" si="22"/>
        <v>-1.2</v>
      </c>
      <c r="L120" s="8">
        <v>5</v>
      </c>
      <c r="M120" s="8">
        <v>4.3</v>
      </c>
      <c r="N120" s="34">
        <f t="shared" si="23"/>
        <v>-0.7</v>
      </c>
    </row>
    <row r="121" spans="1:14" ht="15.75">
      <c r="A121" s="37">
        <v>110</v>
      </c>
      <c r="B121" s="6" t="s">
        <v>363</v>
      </c>
      <c r="C121" s="34">
        <f t="shared" si="24"/>
        <v>78.6</v>
      </c>
      <c r="D121" s="34">
        <f t="shared" si="24"/>
        <v>24.2</v>
      </c>
      <c r="E121" s="34">
        <f t="shared" si="20"/>
        <v>-54.4</v>
      </c>
      <c r="F121" s="8">
        <v>0</v>
      </c>
      <c r="G121" s="8"/>
      <c r="H121" s="34">
        <f t="shared" si="21"/>
        <v>0</v>
      </c>
      <c r="I121" s="8">
        <v>59.6</v>
      </c>
      <c r="J121" s="8">
        <v>21</v>
      </c>
      <c r="K121" s="34">
        <f t="shared" si="22"/>
        <v>-38.6</v>
      </c>
      <c r="L121" s="8">
        <v>19</v>
      </c>
      <c r="M121" s="8">
        <v>3.2</v>
      </c>
      <c r="N121" s="34">
        <f t="shared" si="23"/>
        <v>-15.8</v>
      </c>
    </row>
    <row r="122" spans="1:14" ht="15" customHeight="1">
      <c r="A122" s="37">
        <v>111</v>
      </c>
      <c r="B122" s="6" t="s">
        <v>364</v>
      </c>
      <c r="C122" s="34">
        <f>F122+I122+L122</f>
        <v>63</v>
      </c>
      <c r="D122" s="34">
        <f>G122+J122+M122</f>
        <v>49.4</v>
      </c>
      <c r="E122" s="34">
        <f>D122-C122</f>
        <v>-13.6</v>
      </c>
      <c r="F122" s="8">
        <v>0</v>
      </c>
      <c r="G122" s="8"/>
      <c r="H122" s="34">
        <f t="shared" si="21"/>
        <v>0</v>
      </c>
      <c r="I122" s="8">
        <v>60</v>
      </c>
      <c r="J122" s="8">
        <v>35.8</v>
      </c>
      <c r="K122" s="34">
        <f t="shared" si="22"/>
        <v>-24.2</v>
      </c>
      <c r="L122" s="8">
        <v>3</v>
      </c>
      <c r="M122" s="8">
        <f>16.2-2.6</f>
        <v>13.6</v>
      </c>
      <c r="N122" s="34">
        <f t="shared" si="23"/>
        <v>10.6</v>
      </c>
    </row>
    <row r="123" spans="1:14" ht="31.5">
      <c r="A123" s="37">
        <v>112</v>
      </c>
      <c r="B123" s="6" t="s">
        <v>365</v>
      </c>
      <c r="C123" s="34">
        <f t="shared" si="24"/>
        <v>8.1</v>
      </c>
      <c r="D123" s="34">
        <f t="shared" si="24"/>
        <v>8.6</v>
      </c>
      <c r="E123" s="34">
        <f t="shared" si="20"/>
        <v>0.5</v>
      </c>
      <c r="F123" s="45">
        <v>0</v>
      </c>
      <c r="G123" s="8"/>
      <c r="H123" s="34">
        <f t="shared" si="21"/>
        <v>0</v>
      </c>
      <c r="I123" s="90">
        <v>8.1</v>
      </c>
      <c r="J123" s="8">
        <v>8.6</v>
      </c>
      <c r="K123" s="34">
        <f t="shared" si="22"/>
        <v>0.5</v>
      </c>
      <c r="L123" s="8">
        <v>0</v>
      </c>
      <c r="M123" s="8"/>
      <c r="N123" s="34">
        <f t="shared" si="23"/>
        <v>0</v>
      </c>
    </row>
    <row r="124" spans="1:14" ht="15" customHeight="1">
      <c r="A124" s="37">
        <v>113</v>
      </c>
      <c r="B124" s="12" t="s">
        <v>12</v>
      </c>
      <c r="C124" s="33">
        <f>SUM(C125:C131)</f>
        <v>1743.5</v>
      </c>
      <c r="D124" s="33">
        <f aca="true" t="shared" si="25" ref="D124:N124">SUM(D125:D131)</f>
        <v>1652</v>
      </c>
      <c r="E124" s="33">
        <f t="shared" si="25"/>
        <v>-91.5</v>
      </c>
      <c r="F124" s="33">
        <f t="shared" si="25"/>
        <v>1331.7</v>
      </c>
      <c r="G124" s="33">
        <f t="shared" si="25"/>
        <v>1260.3</v>
      </c>
      <c r="H124" s="33">
        <f t="shared" si="25"/>
        <v>-71.4</v>
      </c>
      <c r="I124" s="33">
        <f t="shared" si="25"/>
        <v>411.8</v>
      </c>
      <c r="J124" s="33">
        <f t="shared" si="25"/>
        <v>391.7</v>
      </c>
      <c r="K124" s="33">
        <f t="shared" si="25"/>
        <v>-20.1</v>
      </c>
      <c r="L124" s="33">
        <f t="shared" si="25"/>
        <v>0</v>
      </c>
      <c r="M124" s="33">
        <f t="shared" si="25"/>
        <v>0</v>
      </c>
      <c r="N124" s="33">
        <f t="shared" si="25"/>
        <v>0</v>
      </c>
    </row>
    <row r="125" spans="1:14" ht="15" customHeight="1">
      <c r="A125" s="37">
        <v>114</v>
      </c>
      <c r="B125" s="32" t="s">
        <v>220</v>
      </c>
      <c r="C125" s="34">
        <f aca="true" t="shared" si="26" ref="C125:D131">F125+I125+L125</f>
        <v>178.6</v>
      </c>
      <c r="D125" s="34">
        <f t="shared" si="26"/>
        <v>152</v>
      </c>
      <c r="E125" s="34">
        <f t="shared" si="20"/>
        <v>-26.6</v>
      </c>
      <c r="F125" s="8">
        <v>0</v>
      </c>
      <c r="G125" s="8"/>
      <c r="H125" s="34">
        <f t="shared" si="21"/>
        <v>0</v>
      </c>
      <c r="I125" s="8">
        <v>178.6</v>
      </c>
      <c r="J125" s="8">
        <v>152</v>
      </c>
      <c r="K125" s="34">
        <f t="shared" si="22"/>
        <v>-26.6</v>
      </c>
      <c r="L125" s="8"/>
      <c r="M125" s="8"/>
      <c r="N125" s="34">
        <f t="shared" si="23"/>
        <v>0</v>
      </c>
    </row>
    <row r="126" spans="1:14" ht="15" customHeight="1">
      <c r="A126" s="37">
        <v>115</v>
      </c>
      <c r="B126" s="32" t="s">
        <v>215</v>
      </c>
      <c r="C126" s="34">
        <f t="shared" si="26"/>
        <v>907.3</v>
      </c>
      <c r="D126" s="34">
        <f t="shared" si="26"/>
        <v>859.7</v>
      </c>
      <c r="E126" s="34">
        <f t="shared" si="20"/>
        <v>-47.6</v>
      </c>
      <c r="F126" s="8">
        <v>900</v>
      </c>
      <c r="G126" s="8">
        <v>852.6</v>
      </c>
      <c r="H126" s="34">
        <f t="shared" si="21"/>
        <v>-47.4</v>
      </c>
      <c r="I126" s="8">
        <v>7.3</v>
      </c>
      <c r="J126" s="8">
        <v>7.1</v>
      </c>
      <c r="K126" s="34">
        <f t="shared" si="22"/>
        <v>-0.2</v>
      </c>
      <c r="L126" s="8"/>
      <c r="M126" s="8"/>
      <c r="N126" s="34">
        <f t="shared" si="23"/>
        <v>0</v>
      </c>
    </row>
    <row r="127" spans="1:14" ht="15" customHeight="1">
      <c r="A127" s="37">
        <v>116</v>
      </c>
      <c r="B127" s="32" t="s">
        <v>6</v>
      </c>
      <c r="C127" s="34">
        <f t="shared" si="26"/>
        <v>174.9</v>
      </c>
      <c r="D127" s="34">
        <f t="shared" si="26"/>
        <v>182.3</v>
      </c>
      <c r="E127" s="34">
        <f t="shared" si="20"/>
        <v>7.4</v>
      </c>
      <c r="F127" s="8">
        <v>105</v>
      </c>
      <c r="G127" s="8">
        <v>110.1</v>
      </c>
      <c r="H127" s="34">
        <f t="shared" si="21"/>
        <v>5.1</v>
      </c>
      <c r="I127" s="8">
        <v>69.9</v>
      </c>
      <c r="J127" s="8">
        <v>72.2</v>
      </c>
      <c r="K127" s="34">
        <f t="shared" si="22"/>
        <v>2.3</v>
      </c>
      <c r="L127" s="8"/>
      <c r="M127" s="8"/>
      <c r="N127" s="34">
        <f t="shared" si="23"/>
        <v>0</v>
      </c>
    </row>
    <row r="128" spans="1:14" ht="15.75">
      <c r="A128" s="37">
        <v>117</v>
      </c>
      <c r="B128" s="32" t="s">
        <v>216</v>
      </c>
      <c r="C128" s="34">
        <f t="shared" si="26"/>
        <v>30</v>
      </c>
      <c r="D128" s="34">
        <f t="shared" si="26"/>
        <v>23.9</v>
      </c>
      <c r="E128" s="34">
        <f t="shared" si="20"/>
        <v>-6.1</v>
      </c>
      <c r="F128" s="8">
        <v>30</v>
      </c>
      <c r="G128" s="8">
        <v>23.9</v>
      </c>
      <c r="H128" s="34">
        <f t="shared" si="21"/>
        <v>-6.1</v>
      </c>
      <c r="I128" s="8">
        <v>0</v>
      </c>
      <c r="J128" s="8"/>
      <c r="K128" s="34">
        <f t="shared" si="22"/>
        <v>0</v>
      </c>
      <c r="L128" s="8"/>
      <c r="M128" s="8"/>
      <c r="N128" s="34">
        <f t="shared" si="23"/>
        <v>0</v>
      </c>
    </row>
    <row r="129" spans="1:14" ht="15.75">
      <c r="A129" s="37">
        <v>118</v>
      </c>
      <c r="B129" s="6" t="s">
        <v>217</v>
      </c>
      <c r="C129" s="34">
        <f t="shared" si="26"/>
        <v>26.7</v>
      </c>
      <c r="D129" s="34">
        <f t="shared" si="26"/>
        <v>23.1</v>
      </c>
      <c r="E129" s="34">
        <f t="shared" si="20"/>
        <v>-3.6</v>
      </c>
      <c r="F129" s="8">
        <v>20.7</v>
      </c>
      <c r="G129" s="8">
        <v>20.7</v>
      </c>
      <c r="H129" s="34">
        <f t="shared" si="21"/>
        <v>0</v>
      </c>
      <c r="I129" s="8">
        <v>6</v>
      </c>
      <c r="J129" s="8">
        <v>2.4</v>
      </c>
      <c r="K129" s="34">
        <f t="shared" si="22"/>
        <v>-3.6</v>
      </c>
      <c r="L129" s="8"/>
      <c r="M129" s="8"/>
      <c r="N129" s="34">
        <f>M129-L129</f>
        <v>0</v>
      </c>
    </row>
    <row r="130" spans="1:14" ht="15.75">
      <c r="A130" s="37">
        <v>119</v>
      </c>
      <c r="B130" s="6" t="s">
        <v>218</v>
      </c>
      <c r="C130" s="34">
        <f t="shared" si="26"/>
        <v>276</v>
      </c>
      <c r="D130" s="34">
        <f t="shared" si="26"/>
        <v>253</v>
      </c>
      <c r="E130" s="34">
        <f t="shared" si="20"/>
        <v>-23</v>
      </c>
      <c r="F130" s="8">
        <v>276</v>
      </c>
      <c r="G130" s="8">
        <v>253</v>
      </c>
      <c r="H130" s="34">
        <f t="shared" si="21"/>
        <v>-23</v>
      </c>
      <c r="I130" s="8">
        <v>0</v>
      </c>
      <c r="J130" s="8"/>
      <c r="K130" s="34">
        <f t="shared" si="22"/>
        <v>0</v>
      </c>
      <c r="L130" s="8"/>
      <c r="M130" s="8"/>
      <c r="N130" s="34">
        <f>M130-L130</f>
        <v>0</v>
      </c>
    </row>
    <row r="131" spans="1:14" ht="15.75">
      <c r="A131" s="37">
        <v>120</v>
      </c>
      <c r="B131" s="6" t="s">
        <v>219</v>
      </c>
      <c r="C131" s="34">
        <f t="shared" si="26"/>
        <v>150</v>
      </c>
      <c r="D131" s="34">
        <f t="shared" si="26"/>
        <v>158</v>
      </c>
      <c r="E131" s="34">
        <f t="shared" si="20"/>
        <v>8</v>
      </c>
      <c r="F131" s="8">
        <v>0</v>
      </c>
      <c r="G131" s="8"/>
      <c r="H131" s="34">
        <f t="shared" si="21"/>
        <v>0</v>
      </c>
      <c r="I131" s="8">
        <v>150</v>
      </c>
      <c r="J131" s="8">
        <v>158</v>
      </c>
      <c r="K131" s="34">
        <f t="shared" si="22"/>
        <v>8</v>
      </c>
      <c r="L131" s="8"/>
      <c r="M131" s="8"/>
      <c r="N131" s="34">
        <f>M131-L131</f>
        <v>0</v>
      </c>
    </row>
    <row r="132" spans="1:17" ht="15.75">
      <c r="A132" s="37">
        <v>121</v>
      </c>
      <c r="B132" s="16" t="s">
        <v>9</v>
      </c>
      <c r="C132" s="33">
        <f>+C124+C16+C13+C12</f>
        <v>20553.7</v>
      </c>
      <c r="D132" s="33">
        <f aca="true" t="shared" si="27" ref="D132:N132">+D124+D16+D13+D12</f>
        <v>19566.9</v>
      </c>
      <c r="E132" s="33">
        <f t="shared" si="27"/>
        <v>-986.8</v>
      </c>
      <c r="F132" s="33">
        <f t="shared" si="27"/>
        <v>15028.1</v>
      </c>
      <c r="G132" s="33">
        <f t="shared" si="27"/>
        <v>14164.7</v>
      </c>
      <c r="H132" s="33">
        <f t="shared" si="27"/>
        <v>-863.4</v>
      </c>
      <c r="I132" s="33">
        <f t="shared" si="27"/>
        <v>4983.8</v>
      </c>
      <c r="J132" s="33">
        <f t="shared" si="27"/>
        <v>4904.5</v>
      </c>
      <c r="K132" s="33">
        <f t="shared" si="27"/>
        <v>-79.3</v>
      </c>
      <c r="L132" s="33">
        <f t="shared" si="27"/>
        <v>541.8</v>
      </c>
      <c r="M132" s="33">
        <f t="shared" si="27"/>
        <v>497.7</v>
      </c>
      <c r="N132" s="33">
        <f t="shared" si="27"/>
        <v>-44.1</v>
      </c>
      <c r="O132" s="9"/>
      <c r="P132" s="9"/>
      <c r="Q132" s="9"/>
    </row>
    <row r="133" spans="1:14" ht="15.75">
      <c r="A133" s="49"/>
      <c r="B133" s="51"/>
      <c r="C133" s="52"/>
      <c r="D133" s="52"/>
      <c r="E133" s="52"/>
      <c r="F133" s="52"/>
      <c r="G133" s="52"/>
      <c r="H133" s="50"/>
      <c r="I133" s="50"/>
      <c r="J133" s="50"/>
      <c r="K133" s="50"/>
      <c r="L133" s="50"/>
      <c r="M133" s="50"/>
      <c r="N133" s="50"/>
    </row>
    <row r="134" ht="15.75">
      <c r="B134" s="35"/>
    </row>
  </sheetData>
  <sheetProtection/>
  <mergeCells count="9">
    <mergeCell ref="A8:A10"/>
    <mergeCell ref="B8:B10"/>
    <mergeCell ref="B5:M5"/>
    <mergeCell ref="F8:N8"/>
    <mergeCell ref="F9:H9"/>
    <mergeCell ref="I9:K9"/>
    <mergeCell ref="L9:N9"/>
    <mergeCell ref="C8:E9"/>
    <mergeCell ref="M7:N7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showZeros="0" zoomScalePageLayoutView="0" workbookViewId="0" topLeftCell="A1">
      <selection activeCell="H25" sqref="H25"/>
    </sheetView>
  </sheetViews>
  <sheetFormatPr defaultColWidth="10.140625" defaultRowHeight="12.75"/>
  <cols>
    <col min="1" max="1" width="4.7109375" style="26" customWidth="1"/>
    <col min="2" max="2" width="37.140625" style="0" customWidth="1"/>
    <col min="3" max="3" width="9.421875" style="0" customWidth="1"/>
    <col min="4" max="4" width="9.28125" style="0" customWidth="1"/>
    <col min="5" max="5" width="9.7109375" style="0" customWidth="1"/>
    <col min="6" max="6" width="8.57421875" style="0" customWidth="1"/>
    <col min="7" max="7" width="9.421875" style="0" customWidth="1"/>
    <col min="8" max="9" width="9.28125" style="0" customWidth="1"/>
    <col min="10" max="10" width="8.57421875" style="0" customWidth="1"/>
    <col min="11" max="11" width="7.8515625" style="0" customWidth="1"/>
    <col min="12" max="12" width="8.7109375" style="0" customWidth="1"/>
  </cols>
  <sheetData>
    <row r="1" spans="3:11" ht="15.75">
      <c r="C1" s="125"/>
      <c r="D1" s="125"/>
      <c r="E1" s="125"/>
      <c r="F1" s="125"/>
      <c r="H1" s="125" t="s">
        <v>270</v>
      </c>
      <c r="I1" s="125"/>
      <c r="J1" s="125"/>
      <c r="K1" s="125"/>
    </row>
    <row r="2" spans="3:11" ht="15.75">
      <c r="C2" s="126"/>
      <c r="D2" s="126"/>
      <c r="E2" s="126"/>
      <c r="F2" s="126"/>
      <c r="H2" s="78" t="s">
        <v>359</v>
      </c>
      <c r="I2" s="78"/>
      <c r="J2" s="78"/>
      <c r="K2" s="78"/>
    </row>
    <row r="3" spans="3:11" ht="15.75">
      <c r="C3" s="126"/>
      <c r="D3" s="126"/>
      <c r="E3" s="126"/>
      <c r="F3" s="126"/>
      <c r="H3" s="126" t="s">
        <v>355</v>
      </c>
      <c r="I3" s="126"/>
      <c r="J3" s="126"/>
      <c r="K3" s="126"/>
    </row>
    <row r="4" spans="3:5" ht="10.5" customHeight="1">
      <c r="C4" s="79"/>
      <c r="D4" s="79"/>
      <c r="E4" s="80"/>
    </row>
    <row r="5" spans="1:12" ht="62.25" customHeight="1">
      <c r="A5" s="107" t="s">
        <v>358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1:7" ht="9" customHeight="1">
      <c r="A6" s="81"/>
      <c r="B6" s="81"/>
      <c r="C6" s="81"/>
      <c r="D6" s="81"/>
      <c r="E6" s="81"/>
      <c r="F6" s="81"/>
      <c r="G6" s="81"/>
    </row>
    <row r="7" spans="1:11" ht="15.75">
      <c r="A7" s="31"/>
      <c r="B7" s="1"/>
      <c r="C7" s="82"/>
      <c r="D7" s="83"/>
      <c r="E7" s="83"/>
      <c r="F7" s="82"/>
      <c r="K7" s="82" t="s">
        <v>13</v>
      </c>
    </row>
    <row r="8" spans="1:12" ht="13.5" customHeight="1">
      <c r="A8" s="97" t="s">
        <v>1</v>
      </c>
      <c r="B8" s="97" t="s">
        <v>40</v>
      </c>
      <c r="C8" s="104" t="s">
        <v>272</v>
      </c>
      <c r="D8" s="104" t="s">
        <v>273</v>
      </c>
      <c r="E8" s="104" t="s">
        <v>274</v>
      </c>
      <c r="F8" s="114" t="s">
        <v>294</v>
      </c>
      <c r="G8" s="108" t="s">
        <v>275</v>
      </c>
      <c r="H8" s="108"/>
      <c r="I8" s="108"/>
      <c r="J8" s="108"/>
      <c r="K8" s="108"/>
      <c r="L8" s="108"/>
    </row>
    <row r="9" spans="1:12" ht="15.75" customHeight="1">
      <c r="A9" s="97"/>
      <c r="B9" s="97"/>
      <c r="C9" s="104"/>
      <c r="D9" s="104"/>
      <c r="E9" s="104"/>
      <c r="F9" s="114"/>
      <c r="G9" s="104" t="s">
        <v>41</v>
      </c>
      <c r="H9" s="104"/>
      <c r="I9" s="104"/>
      <c r="J9" s="104"/>
      <c r="K9" s="104" t="s">
        <v>42</v>
      </c>
      <c r="L9" s="104"/>
    </row>
    <row r="10" spans="1:12" ht="34.5" customHeight="1">
      <c r="A10" s="97"/>
      <c r="B10" s="97"/>
      <c r="C10" s="104"/>
      <c r="D10" s="104"/>
      <c r="E10" s="104"/>
      <c r="F10" s="114"/>
      <c r="G10" s="104" t="s">
        <v>276</v>
      </c>
      <c r="H10" s="104" t="s">
        <v>273</v>
      </c>
      <c r="I10" s="104" t="s">
        <v>277</v>
      </c>
      <c r="J10" s="104"/>
      <c r="K10" s="104" t="s">
        <v>278</v>
      </c>
      <c r="L10" s="104" t="s">
        <v>273</v>
      </c>
    </row>
    <row r="11" spans="1:12" ht="30.75" customHeight="1">
      <c r="A11" s="97"/>
      <c r="B11" s="97"/>
      <c r="C11" s="104"/>
      <c r="D11" s="104"/>
      <c r="E11" s="104"/>
      <c r="F11" s="114"/>
      <c r="G11" s="104"/>
      <c r="H11" s="104"/>
      <c r="I11" s="73" t="s">
        <v>276</v>
      </c>
      <c r="J11" s="73" t="s">
        <v>273</v>
      </c>
      <c r="K11" s="104"/>
      <c r="L11" s="104"/>
    </row>
    <row r="12" spans="1:12" ht="15.75">
      <c r="A12" s="4">
        <v>1</v>
      </c>
      <c r="B12" s="24">
        <v>2</v>
      </c>
      <c r="C12" s="4">
        <v>3</v>
      </c>
      <c r="D12" s="24">
        <v>4</v>
      </c>
      <c r="E12" s="4">
        <v>5</v>
      </c>
      <c r="F12" s="24">
        <v>6</v>
      </c>
      <c r="G12" s="4">
        <v>7</v>
      </c>
      <c r="H12" s="24">
        <v>8</v>
      </c>
      <c r="I12" s="4">
        <v>9</v>
      </c>
      <c r="J12" s="24">
        <v>10</v>
      </c>
      <c r="K12" s="4">
        <v>11</v>
      </c>
      <c r="L12" s="24">
        <v>12</v>
      </c>
    </row>
    <row r="13" spans="1:12" ht="19.5" customHeight="1">
      <c r="A13" s="30">
        <v>1</v>
      </c>
      <c r="B13" s="12" t="s">
        <v>61</v>
      </c>
      <c r="C13" s="15">
        <f>+C14</f>
        <v>10.8</v>
      </c>
      <c r="D13" s="15">
        <f>+D14</f>
        <v>10.7</v>
      </c>
      <c r="E13" s="15">
        <f>+E14</f>
        <v>-0.1</v>
      </c>
      <c r="F13" s="15">
        <f>+D13/C13*100</f>
        <v>99.1</v>
      </c>
      <c r="G13" s="15">
        <f aca="true" t="shared" si="0" ref="G13:L13">+G14</f>
        <v>10.8</v>
      </c>
      <c r="H13" s="15">
        <f t="shared" si="0"/>
        <v>10.7</v>
      </c>
      <c r="I13" s="15">
        <f t="shared" si="0"/>
        <v>0</v>
      </c>
      <c r="J13" s="15">
        <f t="shared" si="0"/>
        <v>0</v>
      </c>
      <c r="K13" s="15">
        <f t="shared" si="0"/>
        <v>0</v>
      </c>
      <c r="L13" s="15">
        <f t="shared" si="0"/>
        <v>0</v>
      </c>
    </row>
    <row r="14" spans="1:12" s="65" customFormat="1" ht="19.5" customHeight="1">
      <c r="A14" s="30">
        <v>2</v>
      </c>
      <c r="B14" s="6" t="s">
        <v>356</v>
      </c>
      <c r="C14" s="8">
        <f>+G14</f>
        <v>10.8</v>
      </c>
      <c r="D14" s="8">
        <f aca="true" t="shared" si="1" ref="D14:D20">+H14</f>
        <v>10.7</v>
      </c>
      <c r="E14" s="8">
        <f>+D14-C14</f>
        <v>-0.1</v>
      </c>
      <c r="F14" s="8">
        <f aca="true" t="shared" si="2" ref="F14:F21">+D14/C14*100</f>
        <v>99.1</v>
      </c>
      <c r="G14" s="8">
        <v>10.8</v>
      </c>
      <c r="H14" s="84">
        <v>10.7</v>
      </c>
      <c r="I14" s="84"/>
      <c r="J14" s="84"/>
      <c r="K14" s="84"/>
      <c r="L14" s="84"/>
    </row>
    <row r="15" spans="1:12" ht="19.5" customHeight="1">
      <c r="A15" s="30">
        <v>3</v>
      </c>
      <c r="B15" s="12" t="s">
        <v>10</v>
      </c>
      <c r="C15" s="15">
        <f>+C16+C17</f>
        <v>3337</v>
      </c>
      <c r="D15" s="15">
        <f>+D16+D17</f>
        <v>3337</v>
      </c>
      <c r="E15" s="15">
        <f>+E16+E17</f>
        <v>0</v>
      </c>
      <c r="F15" s="15">
        <f t="shared" si="2"/>
        <v>100</v>
      </c>
      <c r="G15" s="15">
        <f aca="true" t="shared" si="3" ref="G15:L15">+G16+G17</f>
        <v>3337</v>
      </c>
      <c r="H15" s="15">
        <f t="shared" si="3"/>
        <v>3337</v>
      </c>
      <c r="I15" s="15">
        <f t="shared" si="3"/>
        <v>0</v>
      </c>
      <c r="J15" s="15">
        <f t="shared" si="3"/>
        <v>0</v>
      </c>
      <c r="K15" s="15">
        <f t="shared" si="3"/>
        <v>0</v>
      </c>
      <c r="L15" s="15">
        <f t="shared" si="3"/>
        <v>0</v>
      </c>
    </row>
    <row r="16" spans="1:12" s="65" customFormat="1" ht="33.75" customHeight="1">
      <c r="A16" s="30">
        <v>4</v>
      </c>
      <c r="B16" s="6" t="s">
        <v>79</v>
      </c>
      <c r="C16" s="8">
        <f>+G16</f>
        <v>1742.8</v>
      </c>
      <c r="D16" s="8">
        <f t="shared" si="1"/>
        <v>1742.8</v>
      </c>
      <c r="E16" s="8">
        <f>+D16-C16</f>
        <v>0</v>
      </c>
      <c r="F16" s="8">
        <f t="shared" si="2"/>
        <v>100</v>
      </c>
      <c r="G16" s="8">
        <f>82+19.1+1641.7</f>
        <v>1742.8</v>
      </c>
      <c r="H16" s="84">
        <f>1641.7+101.1</f>
        <v>1742.8</v>
      </c>
      <c r="I16" s="84"/>
      <c r="J16" s="84"/>
      <c r="K16" s="84"/>
      <c r="L16" s="84"/>
    </row>
    <row r="17" spans="1:12" ht="36" customHeight="1">
      <c r="A17" s="30">
        <v>5</v>
      </c>
      <c r="B17" s="22" t="s">
        <v>357</v>
      </c>
      <c r="C17" s="8">
        <f>+G17</f>
        <v>1594.2</v>
      </c>
      <c r="D17" s="8">
        <f t="shared" si="1"/>
        <v>1594.2</v>
      </c>
      <c r="E17" s="8">
        <f>+D17-C17</f>
        <v>0</v>
      </c>
      <c r="F17" s="8">
        <f t="shared" si="2"/>
        <v>100</v>
      </c>
      <c r="G17" s="8">
        <f>583+1011.2</f>
        <v>1594.2</v>
      </c>
      <c r="H17" s="39">
        <f>1364.6-6.5-17.3+253.4</f>
        <v>1594.2</v>
      </c>
      <c r="I17" s="39"/>
      <c r="J17" s="39"/>
      <c r="K17" s="39"/>
      <c r="L17" s="39"/>
    </row>
    <row r="18" spans="1:12" s="11" customFormat="1" ht="17.25" customHeight="1">
      <c r="A18" s="30">
        <v>6</v>
      </c>
      <c r="B18" s="12" t="s">
        <v>11</v>
      </c>
      <c r="C18" s="15">
        <f>+C19+C20</f>
        <v>23.8</v>
      </c>
      <c r="D18" s="15">
        <f>+D19+D20</f>
        <v>23.8</v>
      </c>
      <c r="E18" s="15">
        <f>+E19+E20</f>
        <v>0</v>
      </c>
      <c r="F18" s="15">
        <f t="shared" si="2"/>
        <v>100</v>
      </c>
      <c r="G18" s="15">
        <f aca="true" t="shared" si="4" ref="G18:L18">+G19+G20</f>
        <v>23.8</v>
      </c>
      <c r="H18" s="15">
        <f t="shared" si="4"/>
        <v>23.8</v>
      </c>
      <c r="I18" s="15">
        <f t="shared" si="4"/>
        <v>0</v>
      </c>
      <c r="J18" s="15">
        <f t="shared" si="4"/>
        <v>0</v>
      </c>
      <c r="K18" s="15">
        <f t="shared" si="4"/>
        <v>0</v>
      </c>
      <c r="L18" s="15">
        <f t="shared" si="4"/>
        <v>0</v>
      </c>
    </row>
    <row r="19" spans="1:12" ht="48" customHeight="1">
      <c r="A19" s="30">
        <v>7</v>
      </c>
      <c r="B19" s="6" t="s">
        <v>65</v>
      </c>
      <c r="C19" s="8">
        <f>+G19</f>
        <v>6.5</v>
      </c>
      <c r="D19" s="8">
        <f t="shared" si="1"/>
        <v>6.5</v>
      </c>
      <c r="E19" s="8">
        <f>+D19-C19</f>
        <v>0</v>
      </c>
      <c r="F19" s="8">
        <f t="shared" si="2"/>
        <v>100</v>
      </c>
      <c r="G19" s="8">
        <v>6.5</v>
      </c>
      <c r="H19" s="39">
        <v>6.5</v>
      </c>
      <c r="I19" s="39"/>
      <c r="J19" s="39"/>
      <c r="K19" s="39"/>
      <c r="L19" s="39"/>
    </row>
    <row r="20" spans="1:12" ht="17.25" customHeight="1">
      <c r="A20" s="30">
        <v>8</v>
      </c>
      <c r="B20" s="22" t="s">
        <v>126</v>
      </c>
      <c r="C20" s="8">
        <f>+G20</f>
        <v>17.3</v>
      </c>
      <c r="D20" s="8">
        <f t="shared" si="1"/>
        <v>17.3</v>
      </c>
      <c r="E20" s="8">
        <f>+D20-C20</f>
        <v>0</v>
      </c>
      <c r="F20" s="8">
        <f t="shared" si="2"/>
        <v>100</v>
      </c>
      <c r="G20" s="8">
        <v>17.3</v>
      </c>
      <c r="H20" s="39">
        <v>17.3</v>
      </c>
      <c r="I20" s="39"/>
      <c r="J20" s="39"/>
      <c r="K20" s="39"/>
      <c r="L20" s="39"/>
    </row>
    <row r="21" spans="1:12" ht="15" customHeight="1">
      <c r="A21" s="30">
        <v>9</v>
      </c>
      <c r="B21" s="12" t="s">
        <v>353</v>
      </c>
      <c r="C21" s="15">
        <f>+C13+C15+C18</f>
        <v>3371.6</v>
      </c>
      <c r="D21" s="15">
        <f aca="true" t="shared" si="5" ref="D21:L21">+D13+D15+D18</f>
        <v>3371.5</v>
      </c>
      <c r="E21" s="15">
        <f t="shared" si="5"/>
        <v>-0.1</v>
      </c>
      <c r="F21" s="15">
        <f t="shared" si="2"/>
        <v>100</v>
      </c>
      <c r="G21" s="15">
        <f t="shared" si="5"/>
        <v>3371.6</v>
      </c>
      <c r="H21" s="15">
        <f t="shared" si="5"/>
        <v>3371.5</v>
      </c>
      <c r="I21" s="15">
        <f t="shared" si="5"/>
        <v>0</v>
      </c>
      <c r="J21" s="15">
        <f t="shared" si="5"/>
        <v>0</v>
      </c>
      <c r="K21" s="15">
        <f t="shared" si="5"/>
        <v>0</v>
      </c>
      <c r="L21" s="15">
        <f t="shared" si="5"/>
        <v>0</v>
      </c>
    </row>
    <row r="23" spans="2:4" ht="15">
      <c r="B23" s="23"/>
      <c r="C23" s="23"/>
      <c r="D23" s="23"/>
    </row>
    <row r="24" ht="15">
      <c r="D24" s="9"/>
    </row>
  </sheetData>
  <sheetProtection/>
  <mergeCells count="20">
    <mergeCell ref="C1:F1"/>
    <mergeCell ref="C2:F2"/>
    <mergeCell ref="C3:F3"/>
    <mergeCell ref="F8:F11"/>
    <mergeCell ref="G8:L8"/>
    <mergeCell ref="G9:J9"/>
    <mergeCell ref="K9:L9"/>
    <mergeCell ref="G10:G11"/>
    <mergeCell ref="H10:H11"/>
    <mergeCell ref="I10:J10"/>
    <mergeCell ref="K10:K11"/>
    <mergeCell ref="L10:L11"/>
    <mergeCell ref="A8:A11"/>
    <mergeCell ref="B8:B11"/>
    <mergeCell ref="H1:K1"/>
    <mergeCell ref="H3:K3"/>
    <mergeCell ref="A5:L5"/>
    <mergeCell ref="C8:C11"/>
    <mergeCell ref="D8:D11"/>
    <mergeCell ref="E8:E11"/>
  </mergeCells>
  <printOptions/>
  <pageMargins left="0.984251968503937" right="0.31496062992125984" top="0.7874015748031497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V.Jurksiene</dc:creator>
  <cp:keywords/>
  <dc:description/>
  <cp:lastModifiedBy>Virginija Palaimiene</cp:lastModifiedBy>
  <cp:lastPrinted>2014-05-21T05:57:17Z</cp:lastPrinted>
  <dcterms:created xsi:type="dcterms:W3CDTF">2010-11-16T09:42:48Z</dcterms:created>
  <dcterms:modified xsi:type="dcterms:W3CDTF">2014-06-03T06:41:21Z</dcterms:modified>
  <cp:category/>
  <cp:version/>
  <cp:contentType/>
  <cp:contentStatus/>
</cp:coreProperties>
</file>