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1 lentelė" sheetId="1" r:id="rId1"/>
    <sheet name="bendras lėšų poreikis" sheetId="2" r:id="rId2"/>
    <sheet name="vertinimo kriterijai" sheetId="3" r:id="rId3"/>
  </sheets>
  <definedNames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<sst xmlns="http://schemas.openxmlformats.org/spreadsheetml/2006/main" count="452" uniqueCount="228">
  <si>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</si>
  <si>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</si>
  <si>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</si>
  <si>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</si>
  <si>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</si>
  <si>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</si>
  <si>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Priemonės vykdytojo kodas</t>
  </si>
  <si>
    <t>Finansavimo šaltinis</t>
  </si>
  <si>
    <t>Iš viso</t>
  </si>
  <si>
    <t>Išlaidoms</t>
  </si>
  <si>
    <t>planas</t>
  </si>
  <si>
    <t>01</t>
  </si>
  <si>
    <t>188710823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</si>
  <si>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</si>
  <si>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</si>
  <si>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</si>
  <si>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</si>
  <si>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</si>
  <si>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</si>
  <si>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r>
      <t xml:space="preserve">Valstybės ir savivaldybės biudžeto tarpusavio atsiskaitymų lėšos </t>
    </r>
    <r>
      <rPr>
        <b/>
        <sz val="9"/>
        <rFont val="Times New Roman"/>
        <family val="1"/>
      </rPr>
      <t>SB(TA)</t>
    </r>
  </si>
  <si>
    <r>
      <t xml:space="preserve">Paskolos lėšos </t>
    </r>
    <r>
      <rPr>
        <b/>
        <sz val="9"/>
        <rFont val="Times New Roman"/>
        <family val="1"/>
      </rPr>
      <t>P</t>
    </r>
  </si>
  <si>
    <r>
      <t xml:space="preserve">Valstybės biudžeto lėšos </t>
    </r>
    <r>
      <rPr>
        <b/>
        <sz val="9"/>
        <rFont val="Times New Roman"/>
        <family val="1"/>
      </rPr>
      <t>LRVB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</si>
  <si>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</si>
  <si>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Ekonominės klasifikacijos grupės</t>
  </si>
  <si>
    <t>1.2. turtui įsigyti ir finansiniams įsipareigojimams vykdyti</t>
  </si>
  <si>
    <t>Produkto kriterijaus</t>
  </si>
  <si>
    <t>Pavadinimas</t>
  </si>
  <si>
    <t>Iš jų darbo užmokesčiui</t>
  </si>
  <si>
    <t>Finansavimo šaltinių suvestinė</t>
  </si>
  <si>
    <t>1 lentelės tęsinys</t>
  </si>
  <si>
    <t>SAVIVALDYBĖS  LĖŠOS,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</si>
  <si>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</si>
  <si>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Specialiosios programos lėšos (pajamos už atsitiktines paslaugas) </t>
    </r>
    <r>
      <rPr>
        <b/>
        <sz val="9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</si>
  <si>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9"/>
        <rFont val="Times New Roman"/>
        <family val="1"/>
      </rPr>
      <t>SB(VB)</t>
    </r>
  </si>
  <si>
    <r>
      <t xml:space="preserve">Klaipėdos valstybinio jūrų uosto direkcijos lėšos </t>
    </r>
    <r>
      <rPr>
        <b/>
        <sz val="9"/>
        <rFont val="Times New Roman"/>
        <family val="1"/>
      </rPr>
      <t>KVJUD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</si>
  <si>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</si>
  <si>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>KITI ŠALTINIAI, IŠ VISO:</t>
  </si>
  <si>
    <r>
      <t xml:space="preserve">Savivaldybės biudžeto apyvartos lėšos Europos Sąjungos finansinės paramos programų laikinam lėšų stygiui dengti </t>
    </r>
    <r>
      <rPr>
        <b/>
        <sz val="9"/>
        <rFont val="Times New Roman"/>
        <family val="1"/>
      </rPr>
      <t>SB(ES)</t>
    </r>
  </si>
  <si>
    <t>IŠ VISO:</t>
  </si>
  <si>
    <t>1. IŠ VISO LĖŠŲ POREIKIS:</t>
  </si>
  <si>
    <t>2.2. KITI ŠALTINIAI, IŠ VISO:</t>
  </si>
  <si>
    <t>2.1. SAVIVALDYBĖS  LĖŠOS, IŠ VISO:</t>
  </si>
  <si>
    <t>2. FINANSAVIMO ŠALTINIAI:</t>
  </si>
  <si>
    <t>2.1.2. Savivaldybės privatizavimo fondo lėšos PF</t>
  </si>
  <si>
    <r>
      <t xml:space="preserve">Funkcinės klasifikacijos kodas </t>
    </r>
    <r>
      <rPr>
        <b/>
        <sz val="9"/>
        <rFont val="Times New Roman"/>
        <family val="1"/>
      </rPr>
      <t xml:space="preserve"> *</t>
    </r>
  </si>
  <si>
    <t>1 lentelė</t>
  </si>
  <si>
    <r>
      <t xml:space="preserve">Kelių priežiūros ir plėtros programos lėšos </t>
    </r>
    <r>
      <rPr>
        <b/>
        <sz val="9"/>
        <rFont val="Times New Roman"/>
        <family val="1"/>
      </rPr>
      <t>KPPP</t>
    </r>
  </si>
  <si>
    <r>
      <t xml:space="preserve">Specialiosios programos lėšos (pajamos už atsitiktines paslaugas) </t>
    </r>
    <r>
      <rPr>
        <b/>
        <sz val="9"/>
        <rFont val="Times New Roman"/>
        <family val="1"/>
      </rPr>
      <t>SB(SPN)</t>
    </r>
  </si>
  <si>
    <r>
      <t xml:space="preserve">Privalomojo sveikatos draudimo fondo lėšos </t>
    </r>
    <r>
      <rPr>
        <b/>
        <sz val="9"/>
        <rFont val="Times New Roman"/>
        <family val="1"/>
      </rPr>
      <t>SB(PSDF)</t>
    </r>
  </si>
  <si>
    <r>
      <t xml:space="preserve">Privalomojo sveikatos draudimo fondo lėšos </t>
    </r>
    <r>
      <rPr>
        <b/>
        <sz val="9"/>
        <rFont val="Times New Roman"/>
        <family val="1"/>
      </rPr>
      <t>PSDF(TA)</t>
    </r>
  </si>
  <si>
    <r>
      <t xml:space="preserve">2.1.1.2. 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</si>
  <si>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 2.1.1.3. Specialiosios programos lėšos (pajamos už atsitiktines paslaugas) </t>
    </r>
    <r>
      <rPr>
        <b/>
        <sz val="10"/>
        <rFont val="Times New Roman"/>
        <family val="1"/>
      </rPr>
      <t>SB(SP)</t>
    </r>
  </si>
  <si>
    <r>
      <t xml:space="preserve">2.1.1.4. Specialiosios programos lėšos (pajamos už atsitiktines paslaugas) </t>
    </r>
    <r>
      <rPr>
        <b/>
        <sz val="10"/>
        <rFont val="Times New Roman"/>
        <family val="1"/>
      </rPr>
      <t>SB(SPN)</t>
    </r>
  </si>
  <si>
    <t>Turtui įsigyti ir finansiniams įsipareigojimams vykdyti</t>
  </si>
  <si>
    <t>1.1. išlaidoms, iš jų:</t>
  </si>
  <si>
    <t>1.1.1. darbo užmokesčiui</t>
  </si>
  <si>
    <t xml:space="preserve"> TIKSLŲ, UŽDAVINIŲ, PRIEMONIŲ, PRIEMONIŲ IŠLAIDŲ IR PRODUKTŲ VERTINIMO KRITERIJŲ SUVESTINĖ</t>
  </si>
  <si>
    <t>05 Valstybinių (valstybės perduotų savivaldybėms) funkcijų įgyvendinimo programa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</si>
  <si>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</si>
  <si>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</si>
  <si>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</si>
  <si>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</si>
  <si>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</si>
  <si>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</si>
  <si>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</si>
  <si>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</si>
  <si>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</si>
  <si>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</si>
  <si>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</si>
  <si>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</si>
  <si>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</si>
  <si>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</si>
  <si>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</si>
  <si>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</si>
  <si>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</si>
  <si>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</si>
  <si>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</si>
  <si>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</si>
  <si>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</si>
  <si>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Civilinės būklės aktų registravimas</t>
  </si>
  <si>
    <t>Gyventojų registro tvarkymas ir duomenų teikimas Valstybės registrui</t>
  </si>
  <si>
    <t>Civilinės saugos organizavimas</t>
  </si>
  <si>
    <t>Valstybinės kalbos vartojimo ir taisyklingumo kontrolės vykdymas</t>
  </si>
  <si>
    <t>Savivaldybei priskirtų archyvinių dokumentų tvarkymas</t>
  </si>
  <si>
    <t>Dalyvavimas atrenkant šauktinius į karo tarnybą</t>
  </si>
  <si>
    <t>Dalyvavimas rengiantis mobilizacijai</t>
  </si>
  <si>
    <t>Duomenų teikimas Valstybės suteiktos pagalbos registrui</t>
  </si>
  <si>
    <t>Vaikų ir jaunimo teisių apsaugos užtikrinimas</t>
  </si>
  <si>
    <t>Žemės ūkio funkcijų vykdymas</t>
  </si>
  <si>
    <t>Nuosavybės teisių į gyvenamuosius namus, jų dalis, butus, ūkinės ir komercinės paskirties pastatus atkūrimas</t>
  </si>
  <si>
    <t>Valstybės garantijų nuomininkams, išsikeliantiems iš savininkams grąžintų gyvenamųjų namų ar jų dalių ir butų, vykdymas</t>
  </si>
  <si>
    <t>Gyvenamosios vietos deklaravimo duomenų ir gyvenamosios vietos neturinčių asmenų apskaitos duomenų tvarkymas</t>
  </si>
  <si>
    <t>Valstybinės žemės ir kito valstybės turto valdymas, naudojimas ir disponavimas patikėjimo teise</t>
  </si>
  <si>
    <t>Paramos rezistentams ir nukentėjusiems asmenims teikimas</t>
  </si>
  <si>
    <t>Pašalpų ir kompensacijų administravimas</t>
  </si>
  <si>
    <t xml:space="preserve">Asmenims su sunkia negalia teikiamų socialinės globos paslaugų apmokėjimas </t>
  </si>
  <si>
    <t>Socialinių darbuotojų, dirbančių su socialinės rizikos šeimomis, darbo apmokėjimas</t>
  </si>
  <si>
    <t>Asmenims su sunkia negalia teikiamų socialinės globos paslaugų administravimas</t>
  </si>
  <si>
    <t>Socialinės paramos mokiniams administravimas</t>
  </si>
  <si>
    <t>24</t>
  </si>
  <si>
    <t>25</t>
  </si>
  <si>
    <t>26</t>
  </si>
  <si>
    <t>Darbo rinkos politikos rengimas ir įgyvendinimas</t>
  </si>
  <si>
    <t xml:space="preserve">Tikslinių kompensacijų ir išmokų mokėjimas ir administravimas, siekiant neįgaliesiems kompensuoti specialiųjų poreikių tenkinimo išlaidas </t>
  </si>
  <si>
    <t>Išmokų vaikams mokėjimas ir administravimas</t>
  </si>
  <si>
    <t>Mokinių nemokamo maitinimo ir aprūpinimo mokinio reikmenimis organizavimas</t>
  </si>
  <si>
    <t>SB(VB)</t>
  </si>
  <si>
    <t>LRVB</t>
  </si>
  <si>
    <t>Asignavimai 2009-iesiems metams</t>
  </si>
  <si>
    <t>Asignavimų poreikis biudžetiniams 2010-iesiems metams</t>
  </si>
  <si>
    <t>Asignavimai biudžetiniams 2010-iesiems metams</t>
  </si>
  <si>
    <t>2011-ųjų metų išlaidų projektas</t>
  </si>
  <si>
    <t>2010-ieji metai</t>
  </si>
  <si>
    <t>2011-ieji metai</t>
  </si>
  <si>
    <t>2012-ieji metai</t>
  </si>
  <si>
    <t>SB(TA)</t>
  </si>
  <si>
    <t>SB(TA)*</t>
  </si>
  <si>
    <r>
      <t xml:space="preserve">Valstybės ir savivaldybės biudžeto tarpusavio atsiskaitymų lėšos </t>
    </r>
    <r>
      <rPr>
        <b/>
        <sz val="9"/>
        <rFont val="Times New Roman"/>
        <family val="1"/>
      </rPr>
      <t>SB(TA)*KMT 09-09-24 Nr.T2-305</t>
    </r>
  </si>
  <si>
    <t>Projektas 2011-iesiems metams</t>
  </si>
  <si>
    <t>Projektas 2012-iesiems metams</t>
  </si>
  <si>
    <t xml:space="preserve">Piniginės socialinės paramos nepasiturinčioms šeimoms ir vieniems gyvenantiems asmenims bei paramos mirties atveju teikimas, išmokant pašalpas ir kompensacijas </t>
  </si>
  <si>
    <t>Vidutinis socialinių pašalpų ir kompensacijų gavėjų per mėnesį, tūkst. žm.</t>
  </si>
  <si>
    <t>Vidutinškai per mėn. išmokamų laidojimo pašalpų skaičius</t>
  </si>
  <si>
    <t>0</t>
  </si>
  <si>
    <t>Asmenų su sunkia negalia, kuriems teikiamos socialinės globos paslaugos, skaičius</t>
  </si>
  <si>
    <t>Išmokų gavėjų skaičius, žm.</t>
  </si>
  <si>
    <t>Per mėn. išmokamų išmokų vaikams skaičius, tūkst.</t>
  </si>
  <si>
    <t>Atlikta planinių kompleksinių civilinės saugos būklės patikrinimų, vnt.</t>
  </si>
  <si>
    <t>Išduota pažymų apie deklaruotą gyvenamąją vietą vidut. per metus, sk.</t>
  </si>
  <si>
    <t>Įvykusių savivaldybės karo prievolininkų atrankos komisijos posėdžių skaičius</t>
  </si>
  <si>
    <t>42</t>
  </si>
  <si>
    <t>Nemokamą maitinimą gaunančių bei aprūpinamų mokinio reikmenimis mokinių sk.</t>
  </si>
  <si>
    <t>3</t>
  </si>
  <si>
    <t>Įdarbintų asmenų sk.</t>
  </si>
  <si>
    <t>Įregistruota gimimų, vnt.</t>
  </si>
  <si>
    <t>Įregistruota mirčių, vnt.</t>
  </si>
  <si>
    <t>Įregistruota santuokų, vnt.</t>
  </si>
  <si>
    <t>Įregistruota ištuokų, vnt.</t>
  </si>
  <si>
    <t xml:space="preserve">Strateginis tikslas. </t>
  </si>
  <si>
    <t>VERTINIMO KRITERIJŲ SUVESTINĖ</t>
  </si>
  <si>
    <t>2 lentelė</t>
  </si>
  <si>
    <t xml:space="preserve">Kodas </t>
  </si>
  <si>
    <t>(Savivaldybės strateginio tikslo pavadinimas)</t>
  </si>
  <si>
    <t>(Programos, skirtos šiam strateginiam tikslui įgyvendinti, pavadinimas)</t>
  </si>
  <si>
    <t>Vertinimo kriterijus</t>
  </si>
  <si>
    <t>Vertinimo kriterijaus kodas</t>
  </si>
  <si>
    <t>2009-ųjų metų planas</t>
  </si>
  <si>
    <t>2010-ųjų metų planas</t>
  </si>
  <si>
    <t>2011-ųjų metų planas</t>
  </si>
  <si>
    <t>2012-ųjų metų planas</t>
  </si>
  <si>
    <t>Mato vienetas</t>
  </si>
  <si>
    <t>Rezultato:</t>
  </si>
  <si>
    <t>1-ajam programos tikslui</t>
  </si>
  <si>
    <t xml:space="preserve">1. Socialinės pašalpos gavėjų skaičius nuo gyventojų sk., proc.  </t>
  </si>
  <si>
    <t>R-05-01-01</t>
  </si>
  <si>
    <t>R-05-01-02</t>
  </si>
  <si>
    <t>Produkto:</t>
  </si>
  <si>
    <t>1-ajam uždaviniui</t>
  </si>
  <si>
    <t>1. Įregistruota gimimų, vnt.</t>
  </si>
  <si>
    <t>P-05-01-01-01</t>
  </si>
  <si>
    <t>2. Įregistruota mirčių, vnt.</t>
  </si>
  <si>
    <t>P-05-01-01-02</t>
  </si>
  <si>
    <t>3. Įregistruota santuokų, vnt.</t>
  </si>
  <si>
    <t>P-05-01-01-03</t>
  </si>
  <si>
    <t>4. Įregistruota ištuokų, vnt.</t>
  </si>
  <si>
    <t>P-05-01-01-04</t>
  </si>
  <si>
    <t>5. Atlikta planinių kompleksinių civilinės saugos būklės patikrinimų, vnt.</t>
  </si>
  <si>
    <t>P-05-01-01-05</t>
  </si>
  <si>
    <t>6. Patikrinta slėptuvių parengties būklė,patikrinimų sk.</t>
  </si>
  <si>
    <t>P-05-01-01-06</t>
  </si>
  <si>
    <t>7. Gauta paklausimą dėl archyvinių duomenų išdavimo, sk.</t>
  </si>
  <si>
    <t>P-05-01-01-07</t>
  </si>
  <si>
    <t>8. Įvykusių savivaldybės karo prievolininkų atrankos komisijos posėdžių skaičius</t>
  </si>
  <si>
    <t>P-05-01-01-08</t>
  </si>
  <si>
    <t>P-05-01-01-09</t>
  </si>
  <si>
    <t>P-05-01-01-10</t>
  </si>
  <si>
    <t>11. Išduota pažymų apie deklaruotą gyvenamąją vietą vidut. per metus, sk.</t>
  </si>
  <si>
    <t>P-05-01-01-11</t>
  </si>
  <si>
    <t>P-05-01-01-12</t>
  </si>
  <si>
    <t>13. Vidutinis socialinių pašalpų ir kompensacijų gavėjų per mėnesį, tūkst. žm.</t>
  </si>
  <si>
    <t>P-05-01-01-13</t>
  </si>
  <si>
    <t>14. Vidutinškai per mėn. išmokamų laidojimo pašalpų skaičius</t>
  </si>
  <si>
    <t>P-05-01-01-14</t>
  </si>
  <si>
    <t>15. Asmenų su sunkia negalia, kuriems teikiamos socialinės globos paslaugos, skaičius</t>
  </si>
  <si>
    <t>P-05-01-01-15</t>
  </si>
  <si>
    <t>16. Darbuotojų, dirbančių su socialinės rizikos šeimomis, skaičius</t>
  </si>
  <si>
    <t>P-05-01-01-16</t>
  </si>
  <si>
    <t>17. Nemokamą maitinimą gaunančių bei aprūpinamų mokinio reikmenimis mokinių sk.</t>
  </si>
  <si>
    <t>P-05-01-01-17</t>
  </si>
  <si>
    <t>P-05-01-01-18</t>
  </si>
  <si>
    <t>19. Tikslinių šalpos išmokų ir kompensacijų gavėjų skaičius, žm.</t>
  </si>
  <si>
    <t>P-05-01-01-19</t>
  </si>
  <si>
    <t>20. Per mėn. išmokamų išmokų vaikams skaičius, tūkst.</t>
  </si>
  <si>
    <t>P-05-01-01-20</t>
  </si>
  <si>
    <t>2010-ųjų metų asignavimų planas</t>
  </si>
  <si>
    <t>2010-ųjų metų  asignavimų planas</t>
  </si>
  <si>
    <t>2010-ųjų  asignavimų planas</t>
  </si>
  <si>
    <t>Gauta paklausimų dėl archyvinių duomenų išdavimo, sk.</t>
  </si>
  <si>
    <r>
      <t xml:space="preserve">Valstybės  biudžeto specialiosios tikslinės dotacijos lėšos (iš valstybės investicijų programos) </t>
    </r>
    <r>
      <rPr>
        <b/>
        <sz val="9"/>
        <rFont val="Times New Roman"/>
        <family val="1"/>
      </rPr>
      <t>SB(VIP)</t>
    </r>
  </si>
  <si>
    <r>
      <t>Patikrinta slėptuvių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parengties būklė, patikrinimų sk.</t>
    </r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</si>
  <si>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</si>
  <si>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t>KLAIPĖDOS MIESTO SAVIVALDYBĖS VALSTYBINIŲ (VALSTYBĖS PERDUOTŲ SAVIVALDYBĖMS) FUNKCIJŲ ĮGYVENDINIMO PROGRAMA (Nr. 05)</t>
  </si>
  <si>
    <r>
      <t xml:space="preserve">Įgyvendinamas </t>
    </r>
    <r>
      <rPr>
        <sz val="10"/>
        <rFont val="Times New Roman Baltic"/>
        <family val="1"/>
      </rPr>
      <t>įstaigos strateginio tikslo kodas, programos kodas</t>
    </r>
  </si>
  <si>
    <t>Įgyvendinti savivaldybei teisės aktų priskirtas valstybines funkcijas</t>
  </si>
  <si>
    <t>Efektyviai organizuoti Savivaldybės administracijos darbą, įgyvendinant savivaldybei teisės aktų priskirtas valstybės funkcijas</t>
  </si>
  <si>
    <r>
      <t xml:space="preserve"> 2009</t>
    </r>
    <r>
      <rPr>
        <sz val="12"/>
        <rFont val="Arial"/>
        <family val="0"/>
      </rPr>
      <t>–</t>
    </r>
    <r>
      <rPr>
        <sz val="12"/>
        <rFont val="Times New Roman"/>
        <family val="1"/>
      </rPr>
      <t xml:space="preserve">2012 </t>
    </r>
    <r>
      <rPr>
        <sz val="12"/>
        <rFont val="Times New Roman"/>
        <family val="1"/>
      </rPr>
      <t>M.</t>
    </r>
    <r>
      <rPr>
        <sz val="12"/>
        <rFont val="Times New Roman"/>
        <family val="1"/>
      </rPr>
      <t xml:space="preserve"> KLAIPĖDOS MIESTO SAVIVALDYBĖS 
</t>
    </r>
    <r>
      <rPr>
        <b/>
        <sz val="12"/>
        <rFont val="Times New Roman"/>
        <family val="1"/>
      </rPr>
      <t>VALSTYBINIŲ (VALSTYBĖS PERDUOTŲ SAVIVALDYBĖMS) FUNKCIJŲ ĮGYVENDINIMO PROGRAMOS (NR. 05)</t>
    </r>
    <r>
      <rPr>
        <sz val="12"/>
        <rFont val="Times New Roman"/>
        <family val="1"/>
      </rPr>
      <t xml:space="preserve">
</t>
    </r>
  </si>
  <si>
    <t>2012-ųjų metų išlaidų projektas</t>
  </si>
  <si>
    <t xml:space="preserve">Pirminės teisinės pagalbos teikimas pagal Valstybės garantuojamos teisinės pagalbos įstatymą </t>
  </si>
  <si>
    <t xml:space="preserve">Atstovauta teisme bei teisėsaugos institucijose, vykdant vaikų teisių bei jų teisėtų interesų funkciją, kartai </t>
  </si>
  <si>
    <r>
      <t xml:space="preserve">Įvykdytų </t>
    </r>
    <r>
      <rPr>
        <sz val="9"/>
        <rFont val="Times New Roman"/>
        <family val="1"/>
      </rPr>
      <t>valstybės</t>
    </r>
    <r>
      <rPr>
        <sz val="9"/>
        <rFont val="Times New Roman"/>
        <family val="1"/>
      </rPr>
      <t xml:space="preserve"> garantijų nuomininkams, gyvenantiems savininkams grąžintuose namuose, skaičius </t>
    </r>
  </si>
  <si>
    <t>2.1.1. savivaldybės biudžetas, iš jo:</t>
  </si>
  <si>
    <r>
      <t xml:space="preserve">2.1.1.1.  savivaldybės biudžeto lėšos </t>
    </r>
    <r>
      <rPr>
        <b/>
        <sz val="10"/>
        <rFont val="Times New Roman"/>
        <family val="1"/>
      </rPr>
      <t>SB</t>
    </r>
  </si>
  <si>
    <r>
      <t xml:space="preserve">2.1.1.5.  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</si>
  <si>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2.1.1.6. valstybės  biudžeto specialiosios tikslinės dotacijos lėšos (iš Valstybės investicijų programos) </t>
    </r>
    <r>
      <rPr>
        <b/>
        <sz val="10"/>
        <rFont val="Times New Roman"/>
        <family val="1"/>
      </rPr>
      <t>SB(VIP)</t>
    </r>
  </si>
  <si>
    <r>
      <t xml:space="preserve"> 2.1.1.7.   valstybės ir savivaldybės biudžeto tarpusavio atsiskaitymų lėšos </t>
    </r>
    <r>
      <rPr>
        <b/>
        <sz val="10"/>
        <rFont val="Times New Roman"/>
        <family val="1"/>
      </rPr>
      <t>SB(TA)</t>
    </r>
  </si>
  <si>
    <r>
      <t xml:space="preserve"> 2.1.1.8.  valstybės ir savivaldybės biudžeto tarpusavio atsiskaitymų lėšos </t>
    </r>
    <r>
      <rPr>
        <b/>
        <sz val="10"/>
        <rFont val="Times New Roman"/>
        <family val="1"/>
      </rPr>
      <t>SB(TA)*KMT 09-09-24 Nr. T2-305</t>
    </r>
  </si>
  <si>
    <r>
      <t xml:space="preserve">2.2.4. valstybės biudžeto lėšos </t>
    </r>
    <r>
      <rPr>
        <b/>
        <sz val="10"/>
        <rFont val="Times New Roman"/>
        <family val="1"/>
      </rPr>
      <t>LRVB</t>
    </r>
  </si>
  <si>
    <r>
      <t xml:space="preserve">2.2.5. paskolos lėšos </t>
    </r>
    <r>
      <rPr>
        <b/>
        <sz val="10"/>
        <rFont val="Times New Roman"/>
        <family val="1"/>
      </rPr>
      <t>P</t>
    </r>
  </si>
  <si>
    <r>
      <t xml:space="preserve">2.2.6. kiti finansavimo šaltiniai </t>
    </r>
    <r>
      <rPr>
        <b/>
        <sz val="10"/>
        <rFont val="Times New Roman"/>
        <family val="1"/>
      </rPr>
      <t>Kt</t>
    </r>
  </si>
  <si>
    <t xml:space="preserve">Programos (Nr. 05)  lėšų  poreikis ir numatomi finansavimo šaltiniai       </t>
  </si>
  <si>
    <t>1 b formos tęsinys</t>
  </si>
  <si>
    <t>2. Lėšų, skirtų valstybinėms funkcijoms vykdyti, panaudojimas proc.</t>
  </si>
  <si>
    <t>9. Atstovauta teisme bei teisėsaugos institucijose, vykdant vaikų teisių bei jų teisėtų interesų funkciją, kartai</t>
  </si>
  <si>
    <t xml:space="preserve">10. Įvykdytų valstybės garantijų nuomininkams, gyvenantiems savininkams grąžintuose namuose, skaičius </t>
  </si>
  <si>
    <t>18. Įdarbintų asmenų viešiesiems darbams atlikti sk.</t>
  </si>
  <si>
    <r>
      <t>12. Nepriklausomybės gynėjų ir kitų nukentėjusių nuo 1991 m. sausio 11</t>
    </r>
    <r>
      <rPr>
        <sz val="10"/>
        <rFont val="Arial"/>
        <family val="2"/>
      </rPr>
      <t>–</t>
    </r>
    <r>
      <rPr>
        <sz val="10"/>
        <rFont val="Times New Roman Baltic"/>
        <family val="0"/>
      </rPr>
      <t>13 d. ir po to vykdytos SSRS agresijos asmenų, kuriems išmokėta išmoka, skaičius per mėn.</t>
    </r>
  </si>
  <si>
    <r>
      <t>Nepriklausomybės gynėjų ir kitų nukentėjusių nuo 1991 m. sausio 11</t>
    </r>
    <r>
      <rPr>
        <sz val="9"/>
        <rFont val="Arial"/>
        <family val="2"/>
      </rPr>
      <t>–</t>
    </r>
    <r>
      <rPr>
        <sz val="9"/>
        <rFont val="Times New Roman"/>
        <family val="1"/>
      </rPr>
      <t>13 d. ir po to vykdytos SSRS agresijos asmenų, kuriems išmokėta išmoka, skaičius per mėn.</t>
    </r>
  </si>
  <si>
    <r>
      <t>Darbuotojų, dirbančių su socialinės rizikos šeimom</t>
    </r>
    <r>
      <rPr>
        <sz val="9"/>
        <rFont val="Times New Roman"/>
        <family val="1"/>
      </rPr>
      <t xml:space="preserve">is, </t>
    </r>
    <r>
      <rPr>
        <sz val="9"/>
        <rFont val="Times New Roman"/>
        <family val="1"/>
      </rPr>
      <t>skaičius</t>
    </r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</si>
</sst>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Taip&quot;;&quot;Taip&quot;;&quot;Ne&quot;"/>
    <numFmt numFmtId="166" formatCode="&quot;Teisinga&quot;;&quot;Teisinga&quot;;&quot;Klaidinga&quot;"/>
    <numFmt numFmtId="167" formatCode="[$€-2]\ ###,000_);[Red]\([$€-2]\ ###,000\)"/>
    <numFmt numFmtId="168" formatCode="0.0;[Red]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00"/>
    <numFmt numFmtId="178" formatCode="0.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9"/>
      <name val="Times New Roman"/>
      <family val="1"/>
    </font>
    <font>
      <sz val="9"/>
      <name val="Arial"/>
      <family val="0"/>
    </font>
    <font>
      <b/>
      <sz val="12"/>
      <name val="Times New Roman Baltic"/>
      <family val="1"/>
    </font>
    <font>
      <sz val="10"/>
      <name val="TimesLT"/>
      <family val="0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vertAlign val="superscript"/>
      <sz val="8"/>
      <name val="Times New Roman Baltic"/>
      <family val="1"/>
    </font>
    <font>
      <vertAlign val="superscript"/>
      <sz val="10"/>
      <name val="Times New Roman Baltic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center" vertical="top"/>
    </xf>
    <xf numFmtId="164" fontId="9" fillId="0" borderId="3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164" fontId="7" fillId="4" borderId="6" xfId="0" applyNumberFormat="1" applyFont="1" applyFill="1" applyBorder="1" applyAlignment="1">
      <alignment horizontal="center" vertical="top"/>
    </xf>
    <xf numFmtId="164" fontId="7" fillId="4" borderId="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164" fontId="9" fillId="0" borderId="8" xfId="0" applyNumberFormat="1" applyFont="1" applyFill="1" applyBorder="1" applyAlignment="1">
      <alignment horizontal="center" vertical="top"/>
    </xf>
    <xf numFmtId="164" fontId="7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/>
    </xf>
    <xf numFmtId="164" fontId="9" fillId="0" borderId="10" xfId="0" applyNumberFormat="1" applyFont="1" applyFill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164" fontId="9" fillId="0" borderId="0" xfId="0" applyNumberFormat="1" applyFont="1" applyFill="1" applyBorder="1" applyAlignment="1">
      <alignment horizontal="center" vertical="top"/>
    </xf>
    <xf numFmtId="9" fontId="3" fillId="0" borderId="5" xfId="0" applyNumberFormat="1" applyFont="1" applyFill="1" applyBorder="1" applyAlignment="1">
      <alignment horizontal="center" vertical="top"/>
    </xf>
    <xf numFmtId="164" fontId="7" fillId="4" borderId="11" xfId="0" applyNumberFormat="1" applyFont="1" applyFill="1" applyBorder="1" applyAlignment="1">
      <alignment horizontal="center" vertical="top"/>
    </xf>
    <xf numFmtId="9" fontId="3" fillId="0" borderId="9" xfId="0" applyNumberFormat="1" applyFont="1" applyFill="1" applyBorder="1" applyAlignment="1">
      <alignment horizontal="center" vertical="top"/>
    </xf>
    <xf numFmtId="164" fontId="7" fillId="0" borderId="8" xfId="0" applyNumberFormat="1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 vertical="top"/>
    </xf>
    <xf numFmtId="164" fontId="7" fillId="4" borderId="9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9" xfId="0" applyNumberFormat="1" applyFont="1" applyFill="1" applyBorder="1" applyAlignment="1">
      <alignment horizontal="center" vertical="top"/>
    </xf>
    <xf numFmtId="0" fontId="3" fillId="5" borderId="12" xfId="0" applyFont="1" applyFill="1" applyBorder="1" applyAlignment="1">
      <alignment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164" fontId="9" fillId="4" borderId="4" xfId="0" applyNumberFormat="1" applyFont="1" applyFill="1" applyBorder="1" applyAlignment="1">
      <alignment horizontal="center" vertical="top" wrapText="1"/>
    </xf>
    <xf numFmtId="164" fontId="5" fillId="4" borderId="14" xfId="0" applyNumberFormat="1" applyFont="1" applyFill="1" applyBorder="1" applyAlignment="1">
      <alignment horizontal="center" vertical="top" wrapText="1"/>
    </xf>
    <xf numFmtId="164" fontId="12" fillId="0" borderId="14" xfId="0" applyNumberFormat="1" applyFont="1" applyBorder="1" applyAlignment="1">
      <alignment horizontal="center" vertical="top" wrapText="1"/>
    </xf>
    <xf numFmtId="164" fontId="12" fillId="0" borderId="1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/>
    </xf>
    <xf numFmtId="164" fontId="9" fillId="0" borderId="3" xfId="0" applyNumberFormat="1" applyFont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0" fillId="4" borderId="16" xfId="0" applyFill="1" applyBorder="1" applyAlignment="1">
      <alignment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64" fontId="9" fillId="0" borderId="5" xfId="0" applyNumberFormat="1" applyFont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164" fontId="11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/>
    </xf>
    <xf numFmtId="164" fontId="5" fillId="4" borderId="18" xfId="0" applyNumberFormat="1" applyFont="1" applyFill="1" applyBorder="1" applyAlignment="1">
      <alignment horizontal="center" vertical="top" wrapText="1"/>
    </xf>
    <xf numFmtId="164" fontId="12" fillId="0" borderId="18" xfId="0" applyNumberFormat="1" applyFont="1" applyBorder="1" applyAlignment="1">
      <alignment horizontal="center" vertical="top" wrapText="1"/>
    </xf>
    <xf numFmtId="164" fontId="12" fillId="0" borderId="19" xfId="0" applyNumberFormat="1" applyFont="1" applyBorder="1" applyAlignment="1">
      <alignment horizontal="center" vertical="top" wrapText="1"/>
    </xf>
    <xf numFmtId="164" fontId="5" fillId="4" borderId="20" xfId="0" applyNumberFormat="1" applyFont="1" applyFill="1" applyBorder="1" applyAlignment="1">
      <alignment horizontal="center" vertical="top" wrapText="1"/>
    </xf>
    <xf numFmtId="164" fontId="5" fillId="0" borderId="20" xfId="0" applyNumberFormat="1" applyFont="1" applyBorder="1" applyAlignment="1">
      <alignment horizontal="center" vertical="top" wrapText="1"/>
    </xf>
    <xf numFmtId="164" fontId="12" fillId="0" borderId="21" xfId="0" applyNumberFormat="1" applyFont="1" applyBorder="1" applyAlignment="1">
      <alignment horizontal="center" vertical="top" wrapText="1"/>
    </xf>
    <xf numFmtId="164" fontId="12" fillId="0" borderId="18" xfId="0" applyNumberFormat="1" applyFont="1" applyBorder="1" applyAlignment="1">
      <alignment horizontal="center" vertical="top"/>
    </xf>
    <xf numFmtId="164" fontId="12" fillId="0" borderId="22" xfId="0" applyNumberFormat="1" applyFont="1" applyBorder="1" applyAlignment="1">
      <alignment horizontal="center" vertical="top" wrapText="1"/>
    </xf>
    <xf numFmtId="164" fontId="12" fillId="4" borderId="18" xfId="0" applyNumberFormat="1" applyFont="1" applyFill="1" applyBorder="1" applyAlignment="1">
      <alignment horizontal="center" vertical="top" wrapText="1"/>
    </xf>
    <xf numFmtId="164" fontId="12" fillId="4" borderId="21" xfId="0" applyNumberFormat="1" applyFont="1" applyFill="1" applyBorder="1" applyAlignment="1">
      <alignment horizontal="center" vertical="top" wrapText="1"/>
    </xf>
    <xf numFmtId="164" fontId="12" fillId="4" borderId="18" xfId="0" applyNumberFormat="1" applyFont="1" applyFill="1" applyBorder="1" applyAlignment="1">
      <alignment horizontal="center" vertical="top"/>
    </xf>
    <xf numFmtId="164" fontId="12" fillId="4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64" fontId="5" fillId="0" borderId="0" xfId="0" applyNumberFormat="1" applyFont="1" applyFill="1" applyBorder="1" applyAlignment="1">
      <alignment horizontal="center" vertical="top" wrapText="1"/>
    </xf>
    <xf numFmtId="164" fontId="5" fillId="6" borderId="23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64" fontId="5" fillId="4" borderId="24" xfId="0" applyNumberFormat="1" applyFont="1" applyFill="1" applyBorder="1" applyAlignment="1">
      <alignment horizontal="center" vertical="top" wrapText="1"/>
    </xf>
    <xf numFmtId="164" fontId="12" fillId="0" borderId="24" xfId="0" applyNumberFormat="1" applyFont="1" applyBorder="1" applyAlignment="1">
      <alignment horizontal="center" vertical="top" wrapText="1"/>
    </xf>
    <xf numFmtId="164" fontId="12" fillId="0" borderId="25" xfId="0" applyNumberFormat="1" applyFont="1" applyBorder="1" applyAlignment="1">
      <alignment horizontal="center" vertical="top" wrapText="1"/>
    </xf>
    <xf numFmtId="164" fontId="12" fillId="4" borderId="26" xfId="0" applyNumberFormat="1" applyFont="1" applyFill="1" applyBorder="1" applyAlignment="1">
      <alignment horizontal="center" vertical="top" wrapText="1"/>
    </xf>
    <xf numFmtId="0" fontId="1" fillId="0" borderId="27" xfId="0" applyFont="1" applyBorder="1" applyAlignment="1">
      <alignment vertical="top" wrapText="1"/>
    </xf>
    <xf numFmtId="164" fontId="12" fillId="0" borderId="28" xfId="0" applyNumberFormat="1" applyFont="1" applyBorder="1" applyAlignment="1">
      <alignment horizontal="center" vertical="top" wrapText="1"/>
    </xf>
    <xf numFmtId="164" fontId="12" fillId="4" borderId="28" xfId="0" applyNumberFormat="1" applyFont="1" applyFill="1" applyBorder="1" applyAlignment="1">
      <alignment horizontal="center"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164" fontId="12" fillId="4" borderId="24" xfId="0" applyNumberFormat="1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vertical="center" wrapText="1"/>
    </xf>
    <xf numFmtId="164" fontId="5" fillId="4" borderId="33" xfId="0" applyNumberFormat="1" applyFont="1" applyFill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164" fontId="12" fillId="0" borderId="33" xfId="0" applyNumberFormat="1" applyFont="1" applyBorder="1" applyAlignment="1">
      <alignment horizontal="center" vertical="top" wrapText="1"/>
    </xf>
    <xf numFmtId="164" fontId="12" fillId="0" borderId="34" xfId="0" applyNumberFormat="1" applyFont="1" applyBorder="1" applyAlignment="1">
      <alignment horizontal="center" vertical="top"/>
    </xf>
    <xf numFmtId="0" fontId="2" fillId="0" borderId="32" xfId="0" applyFont="1" applyBorder="1" applyAlignment="1">
      <alignment vertical="top" wrapText="1"/>
    </xf>
    <xf numFmtId="164" fontId="12" fillId="0" borderId="35" xfId="0" applyNumberFormat="1" applyFont="1" applyBorder="1" applyAlignment="1">
      <alignment horizontal="center" vertical="top" wrapText="1"/>
    </xf>
    <xf numFmtId="0" fontId="2" fillId="4" borderId="36" xfId="0" applyFont="1" applyFill="1" applyBorder="1" applyAlignment="1">
      <alignment vertical="center" wrapText="1"/>
    </xf>
    <xf numFmtId="0" fontId="2" fillId="6" borderId="37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164" fontId="5" fillId="0" borderId="24" xfId="0" applyNumberFormat="1" applyFont="1" applyBorder="1" applyAlignment="1">
      <alignment horizontal="center" vertical="top" wrapText="1"/>
    </xf>
    <xf numFmtId="0" fontId="2" fillId="6" borderId="37" xfId="0" applyFont="1" applyFill="1" applyBorder="1" applyAlignment="1">
      <alignment vertical="top" wrapText="1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49" fontId="7" fillId="5" borderId="39" xfId="0" applyNumberFormat="1" applyFont="1" applyFill="1" applyBorder="1" applyAlignment="1">
      <alignment horizontal="center" vertical="top" wrapText="1"/>
    </xf>
    <xf numFmtId="49" fontId="7" fillId="5" borderId="39" xfId="0" applyNumberFormat="1" applyFont="1" applyFill="1" applyBorder="1" applyAlignment="1">
      <alignment horizontal="center" vertical="top"/>
    </xf>
    <xf numFmtId="0" fontId="3" fillId="3" borderId="40" xfId="0" applyFont="1" applyFill="1" applyBorder="1" applyAlignment="1">
      <alignment horizontal="center" vertical="top"/>
    </xf>
    <xf numFmtId="49" fontId="7" fillId="5" borderId="41" xfId="0" applyNumberFormat="1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 wrapText="1"/>
    </xf>
    <xf numFmtId="9" fontId="3" fillId="0" borderId="40" xfId="0" applyNumberFormat="1" applyFont="1" applyFill="1" applyBorder="1" applyAlignment="1">
      <alignment horizontal="center" vertical="top"/>
    </xf>
    <xf numFmtId="9" fontId="3" fillId="0" borderId="43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49" fontId="3" fillId="0" borderId="42" xfId="0" applyNumberFormat="1" applyFont="1" applyFill="1" applyBorder="1" applyAlignment="1">
      <alignment horizontal="center" vertical="top"/>
    </xf>
    <xf numFmtId="49" fontId="3" fillId="0" borderId="43" xfId="0" applyNumberFormat="1" applyFont="1" applyFill="1" applyBorder="1" applyAlignment="1">
      <alignment horizontal="center" vertical="top"/>
    </xf>
    <xf numFmtId="0" fontId="3" fillId="5" borderId="44" xfId="0" applyFont="1" applyFill="1" applyBorder="1" applyAlignment="1">
      <alignment vertical="top"/>
    </xf>
    <xf numFmtId="0" fontId="3" fillId="0" borderId="40" xfId="0" applyFont="1" applyFill="1" applyBorder="1" applyAlignment="1">
      <alignment horizontal="center" vertical="top"/>
    </xf>
    <xf numFmtId="0" fontId="3" fillId="0" borderId="43" xfId="0" applyNumberFormat="1" applyFont="1" applyFill="1" applyBorder="1" applyAlignment="1">
      <alignment horizontal="center" vertical="top"/>
    </xf>
    <xf numFmtId="49" fontId="7" fillId="5" borderId="45" xfId="0" applyNumberFormat="1" applyFont="1" applyFill="1" applyBorder="1" applyAlignment="1">
      <alignment horizontal="center" vertical="top"/>
    </xf>
    <xf numFmtId="0" fontId="3" fillId="0" borderId="42" xfId="0" applyNumberFormat="1" applyFont="1" applyFill="1" applyBorder="1" applyAlignment="1">
      <alignment horizontal="center" vertical="top"/>
    </xf>
    <xf numFmtId="49" fontId="9" fillId="5" borderId="46" xfId="0" applyNumberFormat="1" applyFont="1" applyFill="1" applyBorder="1" applyAlignment="1">
      <alignment horizontal="center" vertical="top"/>
    </xf>
    <xf numFmtId="49" fontId="7" fillId="5" borderId="46" xfId="0" applyNumberFormat="1" applyFont="1" applyFill="1" applyBorder="1" applyAlignment="1">
      <alignment horizontal="center" vertical="top"/>
    </xf>
    <xf numFmtId="0" fontId="3" fillId="2" borderId="35" xfId="0" applyFont="1" applyFill="1" applyBorder="1" applyAlignment="1">
      <alignment horizontal="center" vertical="top" wrapText="1"/>
    </xf>
    <xf numFmtId="49" fontId="7" fillId="6" borderId="39" xfId="0" applyNumberFormat="1" applyFont="1" applyFill="1" applyBorder="1" applyAlignment="1">
      <alignment horizontal="center" vertical="top"/>
    </xf>
    <xf numFmtId="49" fontId="7" fillId="2" borderId="47" xfId="0" applyNumberFormat="1" applyFont="1" applyFill="1" applyBorder="1" applyAlignment="1">
      <alignment horizontal="center" vertical="top"/>
    </xf>
    <xf numFmtId="164" fontId="9" fillId="0" borderId="8" xfId="0" applyNumberFormat="1" applyFont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 wrapText="1"/>
    </xf>
    <xf numFmtId="0" fontId="4" fillId="4" borderId="26" xfId="0" applyFont="1" applyFill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7" fillId="4" borderId="51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164" fontId="9" fillId="0" borderId="53" xfId="0" applyNumberFormat="1" applyFont="1" applyBorder="1" applyAlignment="1">
      <alignment horizontal="center" vertical="center"/>
    </xf>
    <xf numFmtId="164" fontId="9" fillId="0" borderId="41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9" fillId="0" borderId="54" xfId="0" applyNumberFormat="1" applyFont="1" applyFill="1" applyBorder="1" applyAlignment="1">
      <alignment horizontal="center" vertical="center"/>
    </xf>
    <xf numFmtId="164" fontId="9" fillId="0" borderId="55" xfId="0" applyNumberFormat="1" applyFont="1" applyFill="1" applyBorder="1" applyAlignment="1">
      <alignment horizontal="center" vertical="center"/>
    </xf>
    <xf numFmtId="164" fontId="7" fillId="4" borderId="56" xfId="0" applyNumberFormat="1" applyFont="1" applyFill="1" applyBorder="1" applyAlignment="1">
      <alignment horizontal="center" vertical="center"/>
    </xf>
    <xf numFmtId="164" fontId="7" fillId="4" borderId="38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53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164" fontId="9" fillId="0" borderId="57" xfId="0" applyNumberFormat="1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164" fontId="9" fillId="3" borderId="28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/>
    </xf>
    <xf numFmtId="164" fontId="7" fillId="4" borderId="26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top"/>
    </xf>
    <xf numFmtId="164" fontId="9" fillId="0" borderId="49" xfId="0" applyNumberFormat="1" applyFont="1" applyFill="1" applyBorder="1" applyAlignment="1">
      <alignment horizontal="center" vertical="top"/>
    </xf>
    <xf numFmtId="164" fontId="7" fillId="0" borderId="47" xfId="0" applyNumberFormat="1" applyFont="1" applyFill="1" applyBorder="1" applyAlignment="1">
      <alignment horizontal="center" vertical="top"/>
    </xf>
    <xf numFmtId="164" fontId="7" fillId="4" borderId="51" xfId="0" applyNumberFormat="1" applyFont="1" applyFill="1" applyBorder="1" applyAlignment="1">
      <alignment horizontal="center" vertical="top"/>
    </xf>
    <xf numFmtId="164" fontId="9" fillId="0" borderId="52" xfId="0" applyNumberFormat="1" applyFont="1" applyFill="1" applyBorder="1" applyAlignment="1">
      <alignment horizontal="center" vertical="top"/>
    </xf>
    <xf numFmtId="164" fontId="9" fillId="0" borderId="53" xfId="0" applyNumberFormat="1" applyFont="1" applyFill="1" applyBorder="1" applyAlignment="1">
      <alignment horizontal="center" vertical="top"/>
    </xf>
    <xf numFmtId="164" fontId="9" fillId="0" borderId="41" xfId="0" applyNumberFormat="1" applyFont="1" applyFill="1" applyBorder="1" applyAlignment="1">
      <alignment horizontal="center" vertical="top"/>
    </xf>
    <xf numFmtId="164" fontId="7" fillId="0" borderId="42" xfId="0" applyNumberFormat="1" applyFont="1" applyFill="1" applyBorder="1" applyAlignment="1">
      <alignment horizontal="center" vertical="top"/>
    </xf>
    <xf numFmtId="164" fontId="7" fillId="4" borderId="56" xfId="0" applyNumberFormat="1" applyFont="1" applyFill="1" applyBorder="1" applyAlignment="1">
      <alignment horizontal="center" vertical="top"/>
    </xf>
    <xf numFmtId="164" fontId="7" fillId="4" borderId="38" xfId="0" applyNumberFormat="1" applyFont="1" applyFill="1" applyBorder="1" applyAlignment="1">
      <alignment horizontal="center" vertical="top"/>
    </xf>
    <xf numFmtId="164" fontId="7" fillId="5" borderId="39" xfId="0" applyNumberFormat="1" applyFont="1" applyFill="1" applyBorder="1" applyAlignment="1">
      <alignment horizontal="center" vertical="top"/>
    </xf>
    <xf numFmtId="164" fontId="9" fillId="3" borderId="1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center" vertical="top"/>
    </xf>
    <xf numFmtId="164" fontId="9" fillId="0" borderId="28" xfId="0" applyNumberFormat="1" applyFont="1" applyFill="1" applyBorder="1" applyAlignment="1">
      <alignment horizontal="center" vertical="top"/>
    </xf>
    <xf numFmtId="164" fontId="9" fillId="0" borderId="20" xfId="0" applyNumberFormat="1" applyFont="1" applyFill="1" applyBorder="1" applyAlignment="1">
      <alignment horizontal="center" vertical="top"/>
    </xf>
    <xf numFmtId="164" fontId="7" fillId="4" borderId="26" xfId="0" applyNumberFormat="1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164" fontId="9" fillId="0" borderId="58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164" fontId="7" fillId="4" borderId="25" xfId="0" applyNumberFormat="1" applyFont="1" applyFill="1" applyBorder="1" applyAlignment="1">
      <alignment horizontal="center" vertical="top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64" fontId="7" fillId="4" borderId="46" xfId="0" applyNumberFormat="1" applyFont="1" applyFill="1" applyBorder="1" applyAlignment="1">
      <alignment horizontal="center" vertical="top"/>
    </xf>
    <xf numFmtId="164" fontId="7" fillId="4" borderId="43" xfId="0" applyNumberFormat="1" applyFont="1" applyFill="1" applyBorder="1" applyAlignment="1">
      <alignment horizontal="center" vertical="top"/>
    </xf>
    <xf numFmtId="164" fontId="7" fillId="2" borderId="46" xfId="0" applyNumberFormat="1" applyFont="1" applyFill="1" applyBorder="1" applyAlignment="1">
      <alignment horizontal="center" vertical="top"/>
    </xf>
    <xf numFmtId="164" fontId="7" fillId="6" borderId="56" xfId="0" applyNumberFormat="1" applyFont="1" applyFill="1" applyBorder="1" applyAlignment="1">
      <alignment horizontal="center" vertical="top"/>
    </xf>
    <xf numFmtId="164" fontId="9" fillId="0" borderId="61" xfId="0" applyNumberFormat="1" applyFont="1" applyFill="1" applyBorder="1" applyAlignment="1">
      <alignment horizontal="center" vertical="top" wrapText="1"/>
    </xf>
    <xf numFmtId="0" fontId="0" fillId="0" borderId="62" xfId="0" applyBorder="1" applyAlignment="1">
      <alignment/>
    </xf>
    <xf numFmtId="164" fontId="7" fillId="4" borderId="63" xfId="0" applyNumberFormat="1" applyFont="1" applyFill="1" applyBorder="1" applyAlignment="1">
      <alignment horizontal="center" vertical="top"/>
    </xf>
    <xf numFmtId="164" fontId="9" fillId="4" borderId="45" xfId="0" applyNumberFormat="1" applyFont="1" applyFill="1" applyBorder="1" applyAlignment="1">
      <alignment horizontal="center" vertical="top" wrapText="1"/>
    </xf>
    <xf numFmtId="164" fontId="9" fillId="4" borderId="40" xfId="0" applyNumberFormat="1" applyFont="1" applyFill="1" applyBorder="1" applyAlignment="1">
      <alignment horizontal="center" vertical="top" wrapText="1"/>
    </xf>
    <xf numFmtId="164" fontId="9" fillId="4" borderId="52" xfId="0" applyNumberFormat="1" applyFont="1" applyFill="1" applyBorder="1" applyAlignment="1">
      <alignment horizontal="center" vertical="top"/>
    </xf>
    <xf numFmtId="164" fontId="9" fillId="4" borderId="53" xfId="0" applyNumberFormat="1" applyFont="1" applyFill="1" applyBorder="1" applyAlignment="1">
      <alignment horizontal="center" vertical="top"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0" fillId="0" borderId="64" xfId="0" applyBorder="1" applyAlignment="1">
      <alignment/>
    </xf>
    <xf numFmtId="164" fontId="7" fillId="4" borderId="13" xfId="0" applyNumberFormat="1" applyFont="1" applyFill="1" applyBorder="1" applyAlignment="1">
      <alignment horizontal="center" vertical="top"/>
    </xf>
    <xf numFmtId="164" fontId="9" fillId="3" borderId="65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164" fontId="7" fillId="4" borderId="24" xfId="0" applyNumberFormat="1" applyFont="1" applyFill="1" applyBorder="1" applyAlignment="1">
      <alignment horizontal="center" vertical="top"/>
    </xf>
    <xf numFmtId="164" fontId="9" fillId="3" borderId="66" xfId="0" applyNumberFormat="1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vertical="top" wrapText="1"/>
    </xf>
    <xf numFmtId="0" fontId="9" fillId="0" borderId="46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vertical="top"/>
    </xf>
    <xf numFmtId="49" fontId="7" fillId="2" borderId="61" xfId="0" applyNumberFormat="1" applyFont="1" applyFill="1" applyBorder="1" applyAlignment="1">
      <alignment horizontal="center" vertical="top"/>
    </xf>
    <xf numFmtId="49" fontId="7" fillId="2" borderId="63" xfId="0" applyNumberFormat="1" applyFont="1" applyFill="1" applyBorder="1" applyAlignment="1">
      <alignment horizontal="center" vertical="top"/>
    </xf>
    <xf numFmtId="0" fontId="0" fillId="0" borderId="46" xfId="0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/>
    </xf>
    <xf numFmtId="0" fontId="9" fillId="0" borderId="66" xfId="0" applyFont="1" applyFill="1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164" fontId="9" fillId="0" borderId="52" xfId="0" applyNumberFormat="1" applyFont="1" applyFill="1" applyBorder="1" applyAlignment="1">
      <alignment horizontal="center" vertical="top"/>
    </xf>
    <xf numFmtId="164" fontId="9" fillId="0" borderId="3" xfId="0" applyNumberFormat="1" applyFont="1" applyFill="1" applyBorder="1" applyAlignment="1">
      <alignment horizontal="center" vertical="top"/>
    </xf>
    <xf numFmtId="164" fontId="7" fillId="0" borderId="53" xfId="0" applyNumberFormat="1" applyFont="1" applyFill="1" applyBorder="1" applyAlignment="1">
      <alignment horizontal="center" vertical="top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top"/>
    </xf>
    <xf numFmtId="164" fontId="9" fillId="0" borderId="68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164" fontId="7" fillId="0" borderId="68" xfId="0" applyNumberFormat="1" applyFont="1" applyFill="1" applyBorder="1" applyAlignment="1">
      <alignment horizontal="center" vertical="top"/>
    </xf>
    <xf numFmtId="164" fontId="7" fillId="0" borderId="69" xfId="0" applyNumberFormat="1" applyFont="1" applyFill="1" applyBorder="1" applyAlignment="1">
      <alignment horizontal="center" vertical="top"/>
    </xf>
    <xf numFmtId="164" fontId="9" fillId="0" borderId="67" xfId="0" applyNumberFormat="1" applyFont="1" applyFill="1" applyBorder="1" applyAlignment="1">
      <alignment horizontal="center" vertical="top"/>
    </xf>
    <xf numFmtId="164" fontId="7" fillId="0" borderId="70" xfId="0" applyNumberFormat="1" applyFont="1" applyFill="1" applyBorder="1" applyAlignment="1">
      <alignment horizontal="center" vertical="top"/>
    </xf>
    <xf numFmtId="164" fontId="9" fillId="4" borderId="68" xfId="0" applyNumberFormat="1" applyFont="1" applyFill="1" applyBorder="1" applyAlignment="1">
      <alignment horizontal="center" vertical="center"/>
    </xf>
    <xf numFmtId="164" fontId="9" fillId="0" borderId="71" xfId="0" applyNumberFormat="1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horizontal="center" vertical="top"/>
    </xf>
    <xf numFmtId="164" fontId="9" fillId="0" borderId="59" xfId="0" applyNumberFormat="1" applyFont="1" applyFill="1" applyBorder="1" applyAlignment="1">
      <alignment horizontal="center" vertical="top"/>
    </xf>
    <xf numFmtId="164" fontId="9" fillId="0" borderId="16" xfId="0" applyNumberFormat="1" applyFont="1" applyFill="1" applyBorder="1" applyAlignment="1">
      <alignment horizontal="center" vertical="top"/>
    </xf>
    <xf numFmtId="164" fontId="9" fillId="0" borderId="60" xfId="0" applyNumberFormat="1" applyFont="1" applyFill="1" applyBorder="1" applyAlignment="1">
      <alignment horizontal="center" vertical="top"/>
    </xf>
    <xf numFmtId="164" fontId="7" fillId="4" borderId="46" xfId="0" applyNumberFormat="1" applyFont="1" applyFill="1" applyBorder="1" applyAlignment="1">
      <alignment horizontal="center" vertical="top"/>
    </xf>
    <xf numFmtId="164" fontId="9" fillId="0" borderId="59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164" fontId="9" fillId="0" borderId="16" xfId="0" applyNumberFormat="1" applyFont="1" applyFill="1" applyBorder="1" applyAlignment="1">
      <alignment horizontal="center" vertical="top"/>
    </xf>
    <xf numFmtId="164" fontId="9" fillId="0" borderId="60" xfId="0" applyNumberFormat="1" applyFont="1" applyFill="1" applyBorder="1" applyAlignment="1">
      <alignment horizontal="center" vertical="top"/>
    </xf>
    <xf numFmtId="164" fontId="9" fillId="0" borderId="14" xfId="0" applyNumberFormat="1" applyFont="1" applyFill="1" applyBorder="1" applyAlignment="1">
      <alignment horizontal="center" vertical="top"/>
    </xf>
    <xf numFmtId="164" fontId="9" fillId="0" borderId="62" xfId="0" applyNumberFormat="1" applyFont="1" applyFill="1" applyBorder="1" applyAlignment="1">
      <alignment horizontal="center" vertical="top"/>
    </xf>
    <xf numFmtId="164" fontId="9" fillId="4" borderId="59" xfId="0" applyNumberFormat="1" applyFont="1" applyFill="1" applyBorder="1" applyAlignment="1">
      <alignment horizontal="center" vertical="top"/>
    </xf>
    <xf numFmtId="164" fontId="9" fillId="4" borderId="16" xfId="0" applyNumberFormat="1" applyFont="1" applyFill="1" applyBorder="1" applyAlignment="1">
      <alignment horizontal="center" vertical="top"/>
    </xf>
    <xf numFmtId="164" fontId="9" fillId="4" borderId="60" xfId="0" applyNumberFormat="1" applyFont="1" applyFill="1" applyBorder="1" applyAlignment="1">
      <alignment horizontal="center" vertical="top"/>
    </xf>
    <xf numFmtId="164" fontId="9" fillId="0" borderId="18" xfId="0" applyNumberFormat="1" applyFont="1" applyFill="1" applyBorder="1" applyAlignment="1">
      <alignment horizontal="center" vertical="top"/>
    </xf>
    <xf numFmtId="164" fontId="9" fillId="0" borderId="64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9" fillId="0" borderId="53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vertical="justify"/>
    </xf>
    <xf numFmtId="164" fontId="9" fillId="0" borderId="3" xfId="0" applyNumberFormat="1" applyFont="1" applyFill="1" applyBorder="1" applyAlignment="1">
      <alignment vertical="justify"/>
    </xf>
    <xf numFmtId="164" fontId="9" fillId="0" borderId="3" xfId="0" applyNumberFormat="1" applyFont="1" applyFill="1" applyBorder="1" applyAlignment="1">
      <alignment horizontal="center" vertical="justify"/>
    </xf>
    <xf numFmtId="164" fontId="9" fillId="0" borderId="72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3" borderId="58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164" fontId="3" fillId="0" borderId="40" xfId="0" applyNumberFormat="1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8" fillId="3" borderId="42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textRotation="180"/>
    </xf>
    <xf numFmtId="0" fontId="9" fillId="0" borderId="45" xfId="0" applyFont="1" applyFill="1" applyBorder="1" applyAlignment="1">
      <alignment horizontal="left" vertical="top" wrapText="1"/>
    </xf>
    <xf numFmtId="164" fontId="9" fillId="0" borderId="31" xfId="0" applyNumberFormat="1" applyFont="1" applyFill="1" applyBorder="1" applyAlignment="1">
      <alignment horizontal="center" vertical="center"/>
    </xf>
    <xf numFmtId="164" fontId="7" fillId="4" borderId="73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3" fillId="3" borderId="66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164" fontId="9" fillId="0" borderId="27" xfId="0" applyNumberFormat="1" applyFont="1" applyFill="1" applyBorder="1" applyAlignment="1">
      <alignment horizontal="center" vertical="top"/>
    </xf>
    <xf numFmtId="164" fontId="7" fillId="4" borderId="73" xfId="0" applyNumberFormat="1" applyFont="1" applyFill="1" applyBorder="1" applyAlignment="1">
      <alignment horizontal="center" vertical="top"/>
    </xf>
    <xf numFmtId="9" fontId="3" fillId="0" borderId="74" xfId="0" applyNumberFormat="1" applyFont="1" applyFill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3" fillId="0" borderId="40" xfId="0" applyFont="1" applyFill="1" applyBorder="1" applyAlignment="1">
      <alignment horizontal="center" vertical="top" textRotation="180"/>
    </xf>
    <xf numFmtId="1" fontId="3" fillId="0" borderId="75" xfId="0" applyNumberFormat="1" applyFont="1" applyFill="1" applyBorder="1" applyAlignment="1">
      <alignment horizontal="center" vertical="top"/>
    </xf>
    <xf numFmtId="164" fontId="1" fillId="0" borderId="16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5" xfId="0" applyBorder="1" applyAlignment="1">
      <alignment horizontal="left" vertical="top" wrapText="1"/>
    </xf>
    <xf numFmtId="0" fontId="18" fillId="4" borderId="59" xfId="0" applyFont="1" applyFill="1" applyBorder="1" applyAlignment="1">
      <alignment/>
    </xf>
    <xf numFmtId="0" fontId="18" fillId="4" borderId="16" xfId="0" applyFont="1" applyFill="1" applyBorder="1" applyAlignment="1">
      <alignment/>
    </xf>
    <xf numFmtId="0" fontId="9" fillId="3" borderId="76" xfId="0" applyFont="1" applyFill="1" applyBorder="1" applyAlignment="1">
      <alignment horizontal="left" vertical="top" wrapText="1"/>
    </xf>
    <xf numFmtId="0" fontId="9" fillId="0" borderId="65" xfId="0" applyFont="1" applyFill="1" applyBorder="1" applyAlignment="1">
      <alignment horizontal="center" vertical="top"/>
    </xf>
    <xf numFmtId="0" fontId="9" fillId="0" borderId="66" xfId="0" applyFont="1" applyFill="1" applyBorder="1" applyAlignment="1">
      <alignment horizontal="center" vertical="top" wrapText="1"/>
    </xf>
    <xf numFmtId="0" fontId="19" fillId="0" borderId="0" xfId="19" applyFont="1" applyAlignment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0" xfId="19" applyFont="1" applyBorder="1" applyAlignment="1">
      <alignment horizontal="center" vertical="center" wrapText="1"/>
      <protection/>
    </xf>
    <xf numFmtId="0" fontId="2" fillId="0" borderId="68" xfId="0" applyFont="1" applyBorder="1" applyAlignment="1">
      <alignment horizontal="center" wrapText="1"/>
    </xf>
    <xf numFmtId="0" fontId="11" fillId="0" borderId="68" xfId="0" applyFont="1" applyBorder="1" applyAlignment="1">
      <alignment horizontal="center"/>
    </xf>
    <xf numFmtId="49" fontId="13" fillId="0" borderId="6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top"/>
    </xf>
    <xf numFmtId="0" fontId="13" fillId="0" borderId="71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49" fontId="11" fillId="0" borderId="68" xfId="0" applyNumberFormat="1" applyFont="1" applyBorder="1" applyAlignment="1">
      <alignment horizontal="center"/>
    </xf>
    <xf numFmtId="0" fontId="21" fillId="0" borderId="0" xfId="19" applyFont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2" fillId="0" borderId="0" xfId="19" applyNumberFormat="1" applyFont="1" applyAlignment="1" applyProtection="1">
      <alignment horizontal="center" vertical="top"/>
      <protection/>
    </xf>
    <xf numFmtId="0" fontId="23" fillId="0" borderId="0" xfId="19" applyFont="1">
      <alignment/>
      <protection/>
    </xf>
    <xf numFmtId="49" fontId="24" fillId="0" borderId="17" xfId="19" applyNumberFormat="1" applyFont="1" applyBorder="1" applyAlignment="1">
      <alignment horizontal="left"/>
      <protection/>
    </xf>
    <xf numFmtId="0" fontId="23" fillId="0" borderId="17" xfId="19" applyFont="1" applyBorder="1" applyAlignment="1">
      <alignment horizontal="left" vertical="top" wrapText="1"/>
      <protection/>
    </xf>
    <xf numFmtId="0" fontId="24" fillId="0" borderId="17" xfId="19" applyFont="1" applyBorder="1" applyAlignment="1">
      <alignment horizontal="left" vertical="top"/>
      <protection/>
    </xf>
    <xf numFmtId="0" fontId="24" fillId="0" borderId="17" xfId="19" applyFont="1" applyBorder="1" applyAlignment="1">
      <alignment horizontal="center" vertical="top"/>
      <protection/>
    </xf>
    <xf numFmtId="49" fontId="24" fillId="0" borderId="5" xfId="19" applyNumberFormat="1" applyFont="1" applyBorder="1" applyAlignment="1">
      <alignment horizontal="left"/>
      <protection/>
    </xf>
    <xf numFmtId="0" fontId="25" fillId="0" borderId="5" xfId="19" applyFont="1" applyBorder="1" applyAlignment="1">
      <alignment horizontal="left" vertical="top" wrapText="1"/>
      <protection/>
    </xf>
    <xf numFmtId="0" fontId="24" fillId="0" borderId="5" xfId="19" applyFont="1" applyBorder="1" applyAlignment="1">
      <alignment horizontal="left" vertical="top"/>
      <protection/>
    </xf>
    <xf numFmtId="0" fontId="24" fillId="0" borderId="5" xfId="19" applyFont="1" applyBorder="1" applyAlignment="1">
      <alignment horizontal="center" vertical="top"/>
      <protection/>
    </xf>
    <xf numFmtId="0" fontId="24" fillId="0" borderId="5" xfId="19" applyFont="1" applyBorder="1" applyAlignment="1">
      <alignment horizontal="left"/>
      <protection/>
    </xf>
    <xf numFmtId="0" fontId="24" fillId="0" borderId="5" xfId="19" applyFont="1" applyBorder="1" applyAlignment="1">
      <alignment horizontal="left" vertical="top" wrapText="1"/>
      <protection/>
    </xf>
    <xf numFmtId="0" fontId="26" fillId="0" borderId="5" xfId="19" applyFont="1" applyBorder="1" applyAlignment="1">
      <alignment horizontal="left" vertical="top" wrapText="1"/>
      <protection/>
    </xf>
    <xf numFmtId="0" fontId="24" fillId="0" borderId="8" xfId="19" applyFont="1" applyBorder="1" applyAlignment="1">
      <alignment horizontal="left" vertical="top" wrapText="1"/>
      <protection/>
    </xf>
    <xf numFmtId="0" fontId="24" fillId="0" borderId="0" xfId="19" applyFont="1" applyBorder="1" applyAlignment="1">
      <alignment horizontal="left" vertical="top" wrapText="1"/>
      <protection/>
    </xf>
    <xf numFmtId="0" fontId="24" fillId="0" borderId="47" xfId="19" applyFont="1" applyBorder="1" applyAlignment="1">
      <alignment horizontal="left" vertical="top"/>
      <protection/>
    </xf>
    <xf numFmtId="0" fontId="24" fillId="0" borderId="47" xfId="19" applyFont="1" applyBorder="1" applyAlignment="1">
      <alignment horizontal="center" vertical="top"/>
      <protection/>
    </xf>
    <xf numFmtId="0" fontId="24" fillId="0" borderId="8" xfId="19" applyFont="1" applyBorder="1" applyAlignment="1">
      <alignment horizontal="left" vertical="top" wrapText="1"/>
      <protection/>
    </xf>
    <xf numFmtId="0" fontId="24" fillId="0" borderId="5" xfId="19" applyFont="1" applyBorder="1" applyAlignment="1">
      <alignment horizontal="center"/>
      <protection/>
    </xf>
    <xf numFmtId="0" fontId="24" fillId="0" borderId="16" xfId="19" applyFont="1" applyBorder="1" applyAlignment="1">
      <alignment horizontal="center"/>
      <protection/>
    </xf>
    <xf numFmtId="0" fontId="24" fillId="0" borderId="16" xfId="19" applyFont="1" applyBorder="1" applyAlignment="1">
      <alignment horizontal="left" vertical="top"/>
      <protection/>
    </xf>
    <xf numFmtId="0" fontId="24" fillId="0" borderId="16" xfId="19" applyFont="1" applyBorder="1" applyAlignment="1">
      <alignment horizontal="center" vertical="top"/>
      <protection/>
    </xf>
    <xf numFmtId="0" fontId="24" fillId="0" borderId="5" xfId="19" applyFont="1" applyBorder="1" applyAlignment="1">
      <alignment horizontal="left" vertical="top" wrapText="1"/>
      <protection/>
    </xf>
    <xf numFmtId="0" fontId="24" fillId="0" borderId="16" xfId="19" applyFont="1" applyBorder="1" applyAlignment="1">
      <alignment horizontal="left" vertical="top" wrapText="1"/>
      <protection/>
    </xf>
    <xf numFmtId="0" fontId="27" fillId="0" borderId="0" xfId="19" applyFont="1" applyBorder="1" applyAlignment="1">
      <alignment horizontal="left" vertical="center" wrapText="1"/>
      <protection/>
    </xf>
    <xf numFmtId="0" fontId="27" fillId="0" borderId="0" xfId="19" applyFont="1" applyBorder="1" applyAlignment="1">
      <alignment vertical="center"/>
      <protection/>
    </xf>
    <xf numFmtId="0" fontId="27" fillId="0" borderId="0" xfId="20" applyFont="1" applyBorder="1">
      <alignment/>
      <protection/>
    </xf>
    <xf numFmtId="0" fontId="0" fillId="0" borderId="0" xfId="0" applyBorder="1" applyAlignment="1">
      <alignment/>
    </xf>
    <xf numFmtId="0" fontId="28" fillId="0" borderId="0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vertical="center"/>
      <protection/>
    </xf>
    <xf numFmtId="164" fontId="7" fillId="0" borderId="77" xfId="0" applyNumberFormat="1" applyFont="1" applyFill="1" applyBorder="1" applyAlignment="1">
      <alignment horizontal="center" vertical="top"/>
    </xf>
    <xf numFmtId="164" fontId="9" fillId="0" borderId="2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69" xfId="0" applyNumberFormat="1" applyFont="1" applyFill="1" applyBorder="1" applyAlignment="1">
      <alignment horizontal="center" vertical="top"/>
    </xf>
    <xf numFmtId="164" fontId="9" fillId="4" borderId="52" xfId="0" applyNumberFormat="1" applyFont="1" applyFill="1" applyBorder="1" applyAlignment="1">
      <alignment horizontal="center" vertical="center"/>
    </xf>
    <xf numFmtId="164" fontId="9" fillId="4" borderId="53" xfId="0" applyNumberFormat="1" applyFont="1" applyFill="1" applyBorder="1" applyAlignment="1">
      <alignment horizontal="center" vertical="center"/>
    </xf>
    <xf numFmtId="164" fontId="9" fillId="4" borderId="41" xfId="0" applyNumberFormat="1" applyFont="1" applyFill="1" applyBorder="1" applyAlignment="1">
      <alignment horizontal="center" vertical="center"/>
    </xf>
    <xf numFmtId="164" fontId="9" fillId="4" borderId="42" xfId="0" applyNumberFormat="1" applyFont="1" applyFill="1" applyBorder="1" applyAlignment="1">
      <alignment horizontal="center" vertical="center"/>
    </xf>
    <xf numFmtId="164" fontId="9" fillId="4" borderId="54" xfId="0" applyNumberFormat="1" applyFont="1" applyFill="1" applyBorder="1" applyAlignment="1">
      <alignment horizontal="center" vertical="center"/>
    </xf>
    <xf numFmtId="164" fontId="9" fillId="4" borderId="55" xfId="0" applyNumberFormat="1" applyFont="1" applyFill="1" applyBorder="1" applyAlignment="1">
      <alignment horizontal="center" vertical="center"/>
    </xf>
    <xf numFmtId="164" fontId="9" fillId="4" borderId="52" xfId="0" applyNumberFormat="1" applyFont="1" applyFill="1" applyBorder="1" applyAlignment="1">
      <alignment horizontal="center" vertical="center"/>
    </xf>
    <xf numFmtId="164" fontId="9" fillId="4" borderId="53" xfId="0" applyNumberFormat="1" applyFont="1" applyFill="1" applyBorder="1" applyAlignment="1">
      <alignment horizontal="center" vertical="center"/>
    </xf>
    <xf numFmtId="164" fontId="9" fillId="4" borderId="41" xfId="0" applyNumberFormat="1" applyFont="1" applyFill="1" applyBorder="1" applyAlignment="1">
      <alignment horizontal="center" vertical="center"/>
    </xf>
    <xf numFmtId="164" fontId="9" fillId="4" borderId="42" xfId="0" applyNumberFormat="1" applyFont="1" applyFill="1" applyBorder="1" applyAlignment="1">
      <alignment horizontal="center" vertical="center"/>
    </xf>
    <xf numFmtId="164" fontId="9" fillId="4" borderId="67" xfId="0" applyNumberFormat="1" applyFont="1" applyFill="1" applyBorder="1" applyAlignment="1">
      <alignment horizontal="center" vertical="center"/>
    </xf>
    <xf numFmtId="164" fontId="9" fillId="4" borderId="70" xfId="0" applyNumberFormat="1" applyFont="1" applyFill="1" applyBorder="1" applyAlignment="1">
      <alignment horizontal="center" vertical="center"/>
    </xf>
    <xf numFmtId="164" fontId="7" fillId="4" borderId="78" xfId="0" applyNumberFormat="1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164" fontId="9" fillId="4" borderId="52" xfId="0" applyNumberFormat="1" applyFont="1" applyFill="1" applyBorder="1" applyAlignment="1">
      <alignment horizontal="center" vertical="top"/>
    </xf>
    <xf numFmtId="164" fontId="9" fillId="4" borderId="3" xfId="0" applyNumberFormat="1" applyFont="1" applyFill="1" applyBorder="1" applyAlignment="1">
      <alignment horizontal="center" vertical="top"/>
    </xf>
    <xf numFmtId="164" fontId="9" fillId="4" borderId="53" xfId="0" applyNumberFormat="1" applyFont="1" applyFill="1" applyBorder="1" applyAlignment="1">
      <alignment horizontal="center" vertical="top"/>
    </xf>
    <xf numFmtId="164" fontId="9" fillId="0" borderId="52" xfId="0" applyNumberFormat="1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vertical="top"/>
    </xf>
    <xf numFmtId="164" fontId="9" fillId="0" borderId="49" xfId="0" applyNumberFormat="1" applyFont="1" applyBorder="1" applyAlignment="1">
      <alignment horizontal="center" vertical="top"/>
    </xf>
    <xf numFmtId="164" fontId="9" fillId="0" borderId="2" xfId="0" applyNumberFormat="1" applyFont="1" applyBorder="1" applyAlignment="1">
      <alignment horizontal="center" vertical="top"/>
    </xf>
    <xf numFmtId="164" fontId="9" fillId="0" borderId="53" xfId="0" applyNumberFormat="1" applyFont="1" applyBorder="1" applyAlignment="1">
      <alignment horizontal="center" vertical="top"/>
    </xf>
    <xf numFmtId="164" fontId="9" fillId="3" borderId="10" xfId="0" applyNumberFormat="1" applyFont="1" applyFill="1" applyBorder="1" applyAlignment="1">
      <alignment horizontal="center" vertical="top" wrapText="1"/>
    </xf>
    <xf numFmtId="164" fontId="9" fillId="3" borderId="27" xfId="0" applyNumberFormat="1" applyFont="1" applyFill="1" applyBorder="1" applyAlignment="1">
      <alignment horizontal="center" vertical="top" wrapText="1"/>
    </xf>
    <xf numFmtId="0" fontId="0" fillId="0" borderId="4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24" fillId="0" borderId="5" xfId="19" applyFont="1" applyFill="1" applyBorder="1" applyAlignment="1">
      <alignment horizontal="center" vertical="top"/>
      <protection/>
    </xf>
    <xf numFmtId="164" fontId="3" fillId="0" borderId="0" xfId="0" applyNumberFormat="1" applyFont="1" applyBorder="1" applyAlignment="1">
      <alignment vertical="top"/>
    </xf>
    <xf numFmtId="164" fontId="9" fillId="0" borderId="52" xfId="0" applyNumberFormat="1" applyFont="1" applyFill="1" applyBorder="1" applyAlignment="1">
      <alignment horizontal="center" vertical="top" wrapText="1"/>
    </xf>
    <xf numFmtId="164" fontId="9" fillId="0" borderId="3" xfId="0" applyNumberFormat="1" applyFont="1" applyFill="1" applyBorder="1" applyAlignment="1">
      <alignment horizontal="center" vertical="top" wrapText="1"/>
    </xf>
    <xf numFmtId="168" fontId="7" fillId="4" borderId="46" xfId="0" applyNumberFormat="1" applyFont="1" applyFill="1" applyBorder="1" applyAlignment="1">
      <alignment horizontal="center" vertical="top"/>
    </xf>
    <xf numFmtId="164" fontId="9" fillId="0" borderId="5" xfId="0" applyNumberFormat="1" applyFont="1" applyFill="1" applyBorder="1" applyAlignment="1">
      <alignment horizontal="center" vertical="top"/>
    </xf>
    <xf numFmtId="164" fontId="9" fillId="0" borderId="70" xfId="0" applyNumberFormat="1" applyFont="1" applyFill="1" applyBorder="1" applyAlignment="1">
      <alignment horizontal="center" vertical="top"/>
    </xf>
    <xf numFmtId="164" fontId="9" fillId="3" borderId="3" xfId="0" applyNumberFormat="1" applyFont="1" applyFill="1" applyBorder="1" applyAlignment="1">
      <alignment horizontal="center" vertical="top"/>
    </xf>
    <xf numFmtId="164" fontId="9" fillId="3" borderId="16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top" wrapText="1"/>
    </xf>
    <xf numFmtId="49" fontId="9" fillId="0" borderId="65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1" fillId="0" borderId="16" xfId="0" applyNumberFormat="1" applyFont="1" applyBorder="1" applyAlignment="1">
      <alignment horizontal="center"/>
    </xf>
    <xf numFmtId="168" fontId="7" fillId="4" borderId="6" xfId="0" applyNumberFormat="1" applyFont="1" applyFill="1" applyBorder="1" applyAlignment="1">
      <alignment horizontal="center" vertical="top"/>
    </xf>
    <xf numFmtId="168" fontId="7" fillId="4" borderId="38" xfId="0" applyNumberFormat="1" applyFont="1" applyFill="1" applyBorder="1" applyAlignment="1">
      <alignment horizontal="center" vertical="top"/>
    </xf>
    <xf numFmtId="168" fontId="7" fillId="4" borderId="56" xfId="0" applyNumberFormat="1" applyFont="1" applyFill="1" applyBorder="1" applyAlignment="1">
      <alignment horizontal="center" vertical="top"/>
    </xf>
    <xf numFmtId="164" fontId="1" fillId="0" borderId="64" xfId="0" applyNumberFormat="1" applyFont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 vertical="top"/>
    </xf>
    <xf numFmtId="164" fontId="7" fillId="4" borderId="6" xfId="0" applyNumberFormat="1" applyFont="1" applyFill="1" applyBorder="1" applyAlignment="1">
      <alignment horizontal="center" vertical="top"/>
    </xf>
    <xf numFmtId="164" fontId="7" fillId="4" borderId="38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textRotation="180"/>
    </xf>
    <xf numFmtId="0" fontId="0" fillId="0" borderId="9" xfId="0" applyFill="1" applyBorder="1" applyAlignment="1">
      <alignment horizontal="center" vertical="top" textRotation="180"/>
    </xf>
    <xf numFmtId="0" fontId="0" fillId="0" borderId="42" xfId="0" applyFill="1" applyBorder="1" applyAlignment="1">
      <alignment horizontal="center" vertical="top" textRotation="180"/>
    </xf>
    <xf numFmtId="0" fontId="0" fillId="0" borderId="43" xfId="0" applyFill="1" applyBorder="1" applyAlignment="1">
      <alignment horizontal="center" vertical="top" textRotation="180"/>
    </xf>
    <xf numFmtId="0" fontId="24" fillId="0" borderId="16" xfId="19" applyFont="1" applyBorder="1" applyAlignment="1">
      <alignment horizontal="left"/>
      <protection/>
    </xf>
    <xf numFmtId="0" fontId="24" fillId="0" borderId="14" xfId="19" applyFont="1" applyBorder="1" applyAlignment="1">
      <alignment horizontal="left" vertical="top" wrapText="1"/>
      <protection/>
    </xf>
    <xf numFmtId="0" fontId="0" fillId="0" borderId="45" xfId="0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164" fontId="7" fillId="2" borderId="9" xfId="0" applyNumberFormat="1" applyFont="1" applyFill="1" applyBorder="1" applyAlignment="1">
      <alignment horizontal="center" vertical="top"/>
    </xf>
    <xf numFmtId="164" fontId="7" fillId="2" borderId="43" xfId="0" applyNumberFormat="1" applyFont="1" applyFill="1" applyBorder="1" applyAlignment="1">
      <alignment horizontal="center" vertical="top"/>
    </xf>
    <xf numFmtId="164" fontId="7" fillId="5" borderId="1" xfId="0" applyNumberFormat="1" applyFont="1" applyFill="1" applyBorder="1" applyAlignment="1">
      <alignment horizontal="center" vertical="top"/>
    </xf>
    <xf numFmtId="164" fontId="7" fillId="5" borderId="79" xfId="0" applyNumberFormat="1" applyFont="1" applyFill="1" applyBorder="1" applyAlignment="1">
      <alignment horizontal="center" vertical="top"/>
    </xf>
    <xf numFmtId="164" fontId="7" fillId="6" borderId="6" xfId="0" applyNumberFormat="1" applyFont="1" applyFill="1" applyBorder="1" applyAlignment="1">
      <alignment horizontal="center" vertical="top"/>
    </xf>
    <xf numFmtId="164" fontId="7" fillId="6" borderId="38" xfId="0" applyNumberFormat="1" applyFont="1" applyFill="1" applyBorder="1" applyAlignment="1">
      <alignment horizontal="center" vertical="top"/>
    </xf>
    <xf numFmtId="164" fontId="9" fillId="0" borderId="59" xfId="0" applyNumberFormat="1" applyFont="1" applyFill="1" applyBorder="1" applyAlignment="1">
      <alignment horizontal="center" vertical="top"/>
    </xf>
    <xf numFmtId="164" fontId="1" fillId="0" borderId="59" xfId="0" applyNumberFormat="1" applyFont="1" applyBorder="1" applyAlignment="1">
      <alignment horizontal="center"/>
    </xf>
    <xf numFmtId="164" fontId="1" fillId="0" borderId="59" xfId="0" applyNumberFormat="1" applyFont="1" applyBorder="1" applyAlignment="1">
      <alignment/>
    </xf>
    <xf numFmtId="164" fontId="1" fillId="0" borderId="60" xfId="0" applyNumberFormat="1" applyFont="1" applyBorder="1" applyAlignment="1">
      <alignment/>
    </xf>
    <xf numFmtId="164" fontId="9" fillId="3" borderId="52" xfId="0" applyNumberFormat="1" applyFont="1" applyFill="1" applyBorder="1" applyAlignment="1">
      <alignment horizontal="center" vertical="top"/>
    </xf>
    <xf numFmtId="0" fontId="0" fillId="0" borderId="44" xfId="0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NumberFormat="1" applyFont="1" applyAlignment="1">
      <alignment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6" fillId="6" borderId="12" xfId="0" applyNumberFormat="1" applyFont="1" applyFill="1" applyBorder="1" applyAlignment="1">
      <alignment horizontal="center" vertical="top" wrapText="1"/>
    </xf>
    <xf numFmtId="164" fontId="16" fillId="6" borderId="44" xfId="0" applyNumberFormat="1" applyFont="1" applyFill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64" fontId="7" fillId="6" borderId="37" xfId="0" applyNumberFormat="1" applyFont="1" applyFill="1" applyBorder="1" applyAlignment="1">
      <alignment horizontal="center" vertical="top" wrapText="1"/>
    </xf>
    <xf numFmtId="164" fontId="7" fillId="6" borderId="12" xfId="0" applyNumberFormat="1" applyFont="1" applyFill="1" applyBorder="1" applyAlignment="1">
      <alignment horizontal="center" vertical="top" wrapText="1"/>
    </xf>
    <xf numFmtId="164" fontId="7" fillId="6" borderId="44" xfId="0" applyNumberFormat="1" applyFont="1" applyFill="1" applyBorder="1" applyAlignment="1">
      <alignment horizontal="center" vertical="top" wrapText="1"/>
    </xf>
    <xf numFmtId="164" fontId="16" fillId="6" borderId="37" xfId="0" applyNumberFormat="1" applyFont="1" applyFill="1" applyBorder="1" applyAlignment="1">
      <alignment horizontal="center" vertical="top" wrapText="1"/>
    </xf>
    <xf numFmtId="164" fontId="9" fillId="0" borderId="80" xfId="0" applyNumberFormat="1" applyFont="1" applyBorder="1" applyAlignment="1">
      <alignment horizontal="center" vertical="top" wrapText="1"/>
    </xf>
    <xf numFmtId="49" fontId="9" fillId="0" borderId="65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left" vertical="top" wrapText="1"/>
    </xf>
    <xf numFmtId="0" fontId="0" fillId="0" borderId="68" xfId="0" applyBorder="1" applyAlignment="1">
      <alignment vertical="top" wrapText="1"/>
    </xf>
    <xf numFmtId="0" fontId="0" fillId="0" borderId="77" xfId="0" applyBorder="1" applyAlignment="1">
      <alignment vertical="top" wrapText="1"/>
    </xf>
    <xf numFmtId="0" fontId="7" fillId="4" borderId="39" xfId="0" applyFont="1" applyFill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81" xfId="0" applyBorder="1" applyAlignment="1">
      <alignment vertical="top" wrapText="1"/>
    </xf>
    <xf numFmtId="0" fontId="9" fillId="0" borderId="30" xfId="0" applyFont="1" applyBorder="1" applyAlignment="1">
      <alignment horizontal="left" vertical="top" wrapText="1"/>
    </xf>
    <xf numFmtId="0" fontId="0" fillId="0" borderId="71" xfId="0" applyBorder="1" applyAlignment="1">
      <alignment vertical="top" wrapText="1"/>
    </xf>
    <xf numFmtId="0" fontId="9" fillId="3" borderId="27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9" fillId="3" borderId="30" xfId="0" applyFont="1" applyFill="1" applyBorder="1" applyAlignment="1">
      <alignment horizontal="left" vertical="top" wrapText="1"/>
    </xf>
    <xf numFmtId="0" fontId="0" fillId="3" borderId="71" xfId="0" applyFont="1" applyFill="1" applyBorder="1" applyAlignment="1">
      <alignment horizontal="left" vertical="top" wrapText="1"/>
    </xf>
    <xf numFmtId="0" fontId="7" fillId="6" borderId="39" xfId="0" applyFont="1" applyFill="1" applyBorder="1" applyAlignment="1">
      <alignment horizontal="right" vertical="top" wrapText="1"/>
    </xf>
    <xf numFmtId="0" fontId="0" fillId="6" borderId="1" xfId="0" applyFill="1" applyBorder="1" applyAlignment="1">
      <alignment vertical="top" wrapText="1"/>
    </xf>
    <xf numFmtId="0" fontId="0" fillId="6" borderId="81" xfId="0" applyFill="1" applyBorder="1" applyAlignment="1">
      <alignment vertical="top" wrapText="1"/>
    </xf>
    <xf numFmtId="0" fontId="9" fillId="0" borderId="59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80" xfId="0" applyBorder="1" applyAlignment="1">
      <alignment vertical="top" wrapText="1"/>
    </xf>
    <xf numFmtId="164" fontId="9" fillId="0" borderId="29" xfId="0" applyNumberFormat="1" applyFont="1" applyBorder="1" applyAlignment="1">
      <alignment horizontal="center" vertical="top" wrapText="1"/>
    </xf>
    <xf numFmtId="164" fontId="9" fillId="0" borderId="64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 wrapText="1"/>
    </xf>
    <xf numFmtId="164" fontId="9" fillId="0" borderId="30" xfId="0" applyNumberFormat="1" applyFont="1" applyBorder="1" applyAlignment="1">
      <alignment horizontal="center" vertical="top" wrapText="1"/>
    </xf>
    <xf numFmtId="164" fontId="9" fillId="0" borderId="71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4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3" fillId="0" borderId="76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3" fillId="6" borderId="73" xfId="0" applyFont="1" applyFill="1" applyBorder="1" applyAlignment="1">
      <alignment horizontal="center" vertical="top"/>
    </xf>
    <xf numFmtId="0" fontId="3" fillId="6" borderId="11" xfId="0" applyFont="1" applyFill="1" applyBorder="1" applyAlignment="1">
      <alignment horizontal="center" vertical="top"/>
    </xf>
    <xf numFmtId="0" fontId="3" fillId="6" borderId="78" xfId="0" applyFont="1" applyFill="1" applyBorder="1" applyAlignment="1">
      <alignment horizontal="center" vertical="top"/>
    </xf>
    <xf numFmtId="49" fontId="8" fillId="0" borderId="76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49" fontId="7" fillId="6" borderId="12" xfId="0" applyNumberFormat="1" applyFont="1" applyFill="1" applyBorder="1" applyAlignment="1">
      <alignment horizontal="right" vertical="top"/>
    </xf>
    <xf numFmtId="49" fontId="7" fillId="5" borderId="81" xfId="0" applyNumberFormat="1" applyFont="1" applyFill="1" applyBorder="1" applyAlignment="1">
      <alignment horizontal="right" vertical="top"/>
    </xf>
    <xf numFmtId="49" fontId="7" fillId="5" borderId="12" xfId="0" applyNumberFormat="1" applyFont="1" applyFill="1" applyBorder="1" applyAlignment="1">
      <alignment horizontal="right" vertical="top"/>
    </xf>
    <xf numFmtId="49" fontId="7" fillId="2" borderId="81" xfId="0" applyNumberFormat="1" applyFont="1" applyFill="1" applyBorder="1" applyAlignment="1">
      <alignment horizontal="right" vertical="top"/>
    </xf>
    <xf numFmtId="49" fontId="7" fillId="2" borderId="12" xfId="0" applyNumberFormat="1" applyFont="1" applyFill="1" applyBorder="1" applyAlignment="1">
      <alignment horizontal="right" vertical="top"/>
    </xf>
    <xf numFmtId="49" fontId="7" fillId="0" borderId="5" xfId="0" applyNumberFormat="1" applyFont="1" applyBorder="1" applyAlignment="1">
      <alignment horizontal="center" vertical="top" wrapText="1"/>
    </xf>
    <xf numFmtId="49" fontId="7" fillId="5" borderId="45" xfId="0" applyNumberFormat="1" applyFont="1" applyFill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7" fillId="2" borderId="61" xfId="0" applyNumberFormat="1" applyFont="1" applyFill="1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1" fillId="3" borderId="40" xfId="0" applyFont="1" applyFill="1" applyBorder="1" applyAlignment="1">
      <alignment horizontal="left" vertical="top" wrapText="1"/>
    </xf>
    <xf numFmtId="0" fontId="0" fillId="3" borderId="43" xfId="0" applyFill="1" applyBorder="1" applyAlignment="1">
      <alignment horizontal="left" vertical="top" wrapText="1"/>
    </xf>
    <xf numFmtId="49" fontId="7" fillId="5" borderId="27" xfId="0" applyNumberFormat="1" applyFont="1" applyFill="1" applyBorder="1" applyAlignment="1">
      <alignment horizontal="center" vertical="top"/>
    </xf>
    <xf numFmtId="49" fontId="7" fillId="5" borderId="36" xfId="0" applyNumberFormat="1" applyFont="1" applyFill="1" applyBorder="1" applyAlignment="1">
      <alignment horizontal="center" vertical="top"/>
    </xf>
    <xf numFmtId="49" fontId="7" fillId="5" borderId="73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/>
    </xf>
    <xf numFmtId="0" fontId="1" fillId="0" borderId="49" xfId="0" applyFont="1" applyFill="1" applyBorder="1" applyAlignment="1">
      <alignment vertical="top" wrapText="1"/>
    </xf>
    <xf numFmtId="0" fontId="1" fillId="0" borderId="47" xfId="0" applyFont="1" applyFill="1" applyBorder="1" applyAlignment="1">
      <alignment vertical="top" wrapText="1"/>
    </xf>
    <xf numFmtId="0" fontId="1" fillId="0" borderId="51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73" xfId="0" applyFont="1" applyFill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center" vertical="top" wrapText="1"/>
    </xf>
    <xf numFmtId="49" fontId="9" fillId="0" borderId="20" xfId="0" applyNumberFormat="1" applyFont="1" applyBorder="1" applyAlignment="1">
      <alignment horizontal="center" vertical="top" wrapText="1"/>
    </xf>
    <xf numFmtId="49" fontId="9" fillId="0" borderId="26" xfId="0" applyNumberFormat="1" applyFont="1" applyBorder="1" applyAlignment="1">
      <alignment horizontal="center" vertical="top" wrapText="1"/>
    </xf>
    <xf numFmtId="49" fontId="8" fillId="0" borderId="36" xfId="0" applyNumberFormat="1" applyFont="1" applyBorder="1" applyAlignment="1">
      <alignment horizontal="center" vertical="top"/>
    </xf>
    <xf numFmtId="49" fontId="8" fillId="0" borderId="76" xfId="0" applyNumberFormat="1" applyFont="1" applyBorder="1" applyAlignment="1">
      <alignment horizontal="center" vertical="top" wrapText="1"/>
    </xf>
    <xf numFmtId="49" fontId="9" fillId="0" borderId="27" xfId="0" applyNumberFormat="1" applyFont="1" applyBorder="1" applyAlignment="1">
      <alignment horizontal="center" vertical="top"/>
    </xf>
    <xf numFmtId="49" fontId="9" fillId="0" borderId="73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top" wrapText="1"/>
    </xf>
    <xf numFmtId="49" fontId="9" fillId="0" borderId="65" xfId="0" applyNumberFormat="1" applyFont="1" applyBorder="1" applyAlignment="1">
      <alignment horizontal="center" vertical="top"/>
    </xf>
    <xf numFmtId="49" fontId="9" fillId="0" borderId="24" xfId="0" applyNumberFormat="1" applyFont="1" applyBorder="1" applyAlignment="1">
      <alignment horizontal="center" vertical="top"/>
    </xf>
    <xf numFmtId="0" fontId="1" fillId="0" borderId="61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63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49" fontId="9" fillId="0" borderId="36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3" fillId="0" borderId="57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9" fillId="3" borderId="41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3" fillId="0" borderId="68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49" fontId="5" fillId="7" borderId="27" xfId="0" applyNumberFormat="1" applyFont="1" applyFill="1" applyBorder="1" applyAlignment="1">
      <alignment horizontal="left" vertical="top" wrapText="1"/>
    </xf>
    <xf numFmtId="49" fontId="5" fillId="7" borderId="10" xfId="0" applyNumberFormat="1" applyFont="1" applyFill="1" applyBorder="1" applyAlignment="1">
      <alignment horizontal="left" vertical="top" wrapText="1"/>
    </xf>
    <xf numFmtId="49" fontId="5" fillId="7" borderId="72" xfId="0" applyNumberFormat="1" applyFont="1" applyFill="1" applyBorder="1" applyAlignment="1">
      <alignment horizontal="left" vertical="top" wrapText="1"/>
    </xf>
    <xf numFmtId="0" fontId="9" fillId="0" borderId="66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65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65" xfId="0" applyNumberFormat="1" applyFont="1" applyBorder="1" applyAlignment="1">
      <alignment horizontal="center" vertical="center" textRotation="90" wrapText="1"/>
    </xf>
    <xf numFmtId="0" fontId="3" fillId="0" borderId="20" xfId="0" applyNumberFormat="1" applyFont="1" applyBorder="1" applyAlignment="1">
      <alignment horizontal="center" vertical="center" textRotation="90" wrapText="1"/>
    </xf>
    <xf numFmtId="0" fontId="3" fillId="0" borderId="24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164" fontId="9" fillId="0" borderId="36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horizontal="center" vertical="top" wrapText="1"/>
    </xf>
    <xf numFmtId="164" fontId="9" fillId="0" borderId="74" xfId="0" applyNumberFormat="1" applyFont="1" applyBorder="1" applyAlignment="1">
      <alignment horizontal="center" vertical="top" wrapText="1"/>
    </xf>
    <xf numFmtId="164" fontId="9" fillId="0" borderId="36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horizontal="center" vertical="top" wrapText="1"/>
    </xf>
    <xf numFmtId="164" fontId="9" fillId="0" borderId="74" xfId="0" applyNumberFormat="1" applyFont="1" applyBorder="1" applyAlignment="1">
      <alignment horizontal="center" vertical="top" wrapText="1"/>
    </xf>
    <xf numFmtId="164" fontId="9" fillId="0" borderId="29" xfId="0" applyNumberFormat="1" applyFont="1" applyBorder="1" applyAlignment="1">
      <alignment horizontal="center" vertical="top" wrapText="1"/>
    </xf>
    <xf numFmtId="164" fontId="9" fillId="0" borderId="64" xfId="0" applyNumberFormat="1" applyFont="1" applyBorder="1" applyAlignment="1">
      <alignment horizontal="center" vertical="top" wrapText="1"/>
    </xf>
    <xf numFmtId="164" fontId="9" fillId="0" borderId="33" xfId="0" applyNumberFormat="1" applyFont="1" applyBorder="1" applyAlignment="1">
      <alignment horizontal="center" vertical="top" wrapText="1"/>
    </xf>
    <xf numFmtId="164" fontId="9" fillId="0" borderId="30" xfId="0" applyNumberFormat="1" applyFont="1" applyBorder="1" applyAlignment="1">
      <alignment horizontal="center" vertical="top" wrapText="1"/>
    </xf>
    <xf numFmtId="164" fontId="9" fillId="0" borderId="71" xfId="0" applyNumberFormat="1" applyFont="1" applyBorder="1" applyAlignment="1">
      <alignment horizontal="center" vertical="top" wrapText="1"/>
    </xf>
    <xf numFmtId="164" fontId="9" fillId="0" borderId="80" xfId="0" applyNumberFormat="1" applyFont="1" applyBorder="1" applyAlignment="1">
      <alignment horizontal="center" vertical="top" wrapText="1"/>
    </xf>
    <xf numFmtId="164" fontId="9" fillId="0" borderId="31" xfId="0" applyNumberFormat="1" applyFont="1" applyBorder="1" applyAlignment="1">
      <alignment horizontal="center" vertical="top" wrapText="1"/>
    </xf>
    <xf numFmtId="164" fontId="9" fillId="0" borderId="57" xfId="0" applyNumberFormat="1" applyFont="1" applyBorder="1" applyAlignment="1">
      <alignment horizontal="center" vertical="top" wrapText="1"/>
    </xf>
    <xf numFmtId="164" fontId="9" fillId="0" borderId="82" xfId="0" applyNumberFormat="1" applyFont="1" applyBorder="1" applyAlignment="1">
      <alignment horizontal="center" vertical="top" wrapText="1"/>
    </xf>
    <xf numFmtId="164" fontId="7" fillId="4" borderId="37" xfId="0" applyNumberFormat="1" applyFont="1" applyFill="1" applyBorder="1" applyAlignment="1">
      <alignment horizontal="center" vertical="top" wrapText="1"/>
    </xf>
    <xf numFmtId="164" fontId="7" fillId="4" borderId="12" xfId="0" applyNumberFormat="1" applyFont="1" applyFill="1" applyBorder="1" applyAlignment="1">
      <alignment horizontal="center" vertical="top" wrapText="1"/>
    </xf>
    <xf numFmtId="164" fontId="7" fillId="4" borderId="44" xfId="0" applyNumberFormat="1" applyFont="1" applyFill="1" applyBorder="1" applyAlignment="1">
      <alignment horizontal="center" vertical="top" wrapText="1"/>
    </xf>
    <xf numFmtId="164" fontId="9" fillId="0" borderId="31" xfId="0" applyNumberFormat="1" applyFont="1" applyBorder="1" applyAlignment="1">
      <alignment horizontal="center" vertical="top" wrapText="1"/>
    </xf>
    <xf numFmtId="164" fontId="9" fillId="0" borderId="57" xfId="0" applyNumberFormat="1" applyFont="1" applyBorder="1" applyAlignment="1">
      <alignment horizontal="center" vertical="top" wrapText="1"/>
    </xf>
    <xf numFmtId="164" fontId="9" fillId="0" borderId="82" xfId="0" applyNumberFormat="1" applyFont="1" applyBorder="1" applyAlignment="1">
      <alignment horizontal="center" vertical="top" wrapText="1"/>
    </xf>
    <xf numFmtId="164" fontId="2" fillId="4" borderId="37" xfId="0" applyNumberFormat="1" applyFont="1" applyFill="1" applyBorder="1" applyAlignment="1">
      <alignment horizontal="center" vertical="top" wrapText="1"/>
    </xf>
    <xf numFmtId="164" fontId="2" fillId="4" borderId="12" xfId="0" applyNumberFormat="1" applyFont="1" applyFill="1" applyBorder="1" applyAlignment="1">
      <alignment horizontal="center" vertical="top" wrapText="1"/>
    </xf>
    <xf numFmtId="164" fontId="2" fillId="4" borderId="44" xfId="0" applyNumberFormat="1" applyFont="1" applyFill="1" applyBorder="1" applyAlignment="1">
      <alignment horizontal="center" vertical="top" wrapText="1"/>
    </xf>
    <xf numFmtId="164" fontId="7" fillId="6" borderId="37" xfId="0" applyNumberFormat="1" applyFont="1" applyFill="1" applyBorder="1" applyAlignment="1">
      <alignment horizontal="center" vertical="top" wrapText="1"/>
    </xf>
    <xf numFmtId="164" fontId="7" fillId="6" borderId="12" xfId="0" applyNumberFormat="1" applyFont="1" applyFill="1" applyBorder="1" applyAlignment="1">
      <alignment horizontal="center" vertical="top" wrapText="1"/>
    </xf>
    <xf numFmtId="164" fontId="7" fillId="6" borderId="4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49" fontId="7" fillId="5" borderId="52" xfId="0" applyNumberFormat="1" applyFont="1" applyFill="1" applyBorder="1" applyAlignment="1">
      <alignment horizontal="center" vertical="top"/>
    </xf>
    <xf numFmtId="49" fontId="7" fillId="5" borderId="56" xfId="0" applyNumberFormat="1" applyFont="1" applyFill="1" applyBorder="1" applyAlignment="1">
      <alignment horizontal="center" vertical="top"/>
    </xf>
    <xf numFmtId="49" fontId="7" fillId="2" borderId="49" xfId="0" applyNumberFormat="1" applyFont="1" applyFill="1" applyBorder="1" applyAlignment="1">
      <alignment horizontal="center" vertical="top"/>
    </xf>
    <xf numFmtId="49" fontId="7" fillId="2" borderId="51" xfId="0" applyNumberFormat="1" applyFont="1" applyFill="1" applyBorder="1" applyAlignment="1">
      <alignment horizontal="center" vertical="top"/>
    </xf>
    <xf numFmtId="49" fontId="7" fillId="5" borderId="41" xfId="0" applyNumberFormat="1" applyFont="1" applyFill="1" applyBorder="1" applyAlignment="1">
      <alignment horizontal="center" vertical="top"/>
    </xf>
    <xf numFmtId="49" fontId="7" fillId="5" borderId="54" xfId="0" applyNumberFormat="1" applyFont="1" applyFill="1" applyBorder="1" applyAlignment="1">
      <alignment horizontal="center" vertical="top"/>
    </xf>
    <xf numFmtId="49" fontId="7" fillId="2" borderId="47" xfId="0" applyNumberFormat="1" applyFont="1" applyFill="1" applyBorder="1" applyAlignment="1">
      <alignment horizontal="center" vertical="top"/>
    </xf>
    <xf numFmtId="49" fontId="7" fillId="2" borderId="50" xfId="0" applyNumberFormat="1" applyFont="1" applyFill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1" fillId="0" borderId="40" xfId="0" applyFont="1" applyFill="1" applyBorder="1" applyAlignment="1">
      <alignment horizontal="left" vertical="top" wrapText="1"/>
    </xf>
    <xf numFmtId="0" fontId="1" fillId="0" borderId="42" xfId="0" applyFont="1" applyFill="1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49" fontId="9" fillId="0" borderId="76" xfId="0" applyNumberFormat="1" applyFont="1" applyBorder="1" applyAlignment="1">
      <alignment horizontal="center" vertical="top"/>
    </xf>
    <xf numFmtId="49" fontId="9" fillId="0" borderId="32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41" xfId="0" applyBorder="1" applyAlignment="1">
      <alignment vertical="top" wrapText="1"/>
    </xf>
    <xf numFmtId="0" fontId="9" fillId="0" borderId="36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9" fillId="0" borderId="76" xfId="0" applyFont="1" applyFill="1" applyBorder="1" applyAlignment="1">
      <alignment horizontal="left" vertical="top" wrapText="1"/>
    </xf>
    <xf numFmtId="0" fontId="0" fillId="0" borderId="32" xfId="0" applyBorder="1" applyAlignment="1">
      <alignment/>
    </xf>
    <xf numFmtId="1" fontId="3" fillId="0" borderId="40" xfId="0" applyNumberFormat="1" applyFont="1" applyFill="1" applyBorder="1" applyAlignment="1">
      <alignment horizontal="center" vertical="top" textRotation="180"/>
    </xf>
    <xf numFmtId="0" fontId="0" fillId="0" borderId="42" xfId="0" applyBorder="1" applyAlignment="1">
      <alignment horizontal="center" vertical="top" textRotation="180"/>
    </xf>
    <xf numFmtId="0" fontId="3" fillId="0" borderId="42" xfId="0" applyFont="1" applyFill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 textRotation="180" wrapText="1"/>
    </xf>
    <xf numFmtId="0" fontId="0" fillId="0" borderId="5" xfId="0" applyBorder="1" applyAlignment="1">
      <alignment horizontal="center" vertical="top" textRotation="180" wrapText="1"/>
    </xf>
    <xf numFmtId="1" fontId="3" fillId="0" borderId="40" xfId="0" applyNumberFormat="1" applyFont="1" applyFill="1" applyBorder="1" applyAlignment="1">
      <alignment horizontal="center" vertical="top" textRotation="180" wrapText="1"/>
    </xf>
    <xf numFmtId="0" fontId="0" fillId="0" borderId="42" xfId="0" applyBorder="1" applyAlignment="1">
      <alignment horizontal="center" vertical="top" textRotation="180" wrapText="1"/>
    </xf>
    <xf numFmtId="0" fontId="0" fillId="0" borderId="46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top"/>
    </xf>
    <xf numFmtId="9" fontId="3" fillId="0" borderId="74" xfId="0" applyNumberFormat="1" applyFont="1" applyFill="1" applyBorder="1" applyAlignment="1">
      <alignment horizontal="center" vertical="top"/>
    </xf>
    <xf numFmtId="0" fontId="0" fillId="0" borderId="7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9" fillId="0" borderId="58" xfId="0" applyFont="1" applyFill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42" xfId="0" applyNumberFormat="1" applyFont="1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 textRotation="180"/>
    </xf>
    <xf numFmtId="0" fontId="0" fillId="0" borderId="5" xfId="0" applyBorder="1" applyAlignment="1">
      <alignment horizontal="center" vertical="top" textRotation="180"/>
    </xf>
    <xf numFmtId="0" fontId="1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6" fillId="6" borderId="73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0" fontId="6" fillId="6" borderId="78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left" vertical="top"/>
    </xf>
    <xf numFmtId="0" fontId="2" fillId="5" borderId="44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79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2" fontId="9" fillId="0" borderId="41" xfId="0" applyNumberFormat="1" applyFont="1" applyFill="1" applyBorder="1" applyAlignment="1">
      <alignment vertical="top" wrapText="1"/>
    </xf>
    <xf numFmtId="2" fontId="9" fillId="0" borderId="41" xfId="0" applyNumberFormat="1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3" fillId="0" borderId="4" xfId="0" applyFont="1" applyFill="1" applyBorder="1" applyAlignment="1">
      <alignment horizontal="center" vertical="top" textRotation="180"/>
    </xf>
    <xf numFmtId="0" fontId="3" fillId="0" borderId="40" xfId="0" applyFont="1" applyFill="1" applyBorder="1" applyAlignment="1">
      <alignment horizontal="center" vertical="top" textRotation="180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2" fillId="3" borderId="6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4" fillId="0" borderId="68" xfId="19" applyFont="1" applyBorder="1" applyAlignment="1">
      <alignment horizontal="center" vertical="center" wrapText="1"/>
      <protection/>
    </xf>
    <xf numFmtId="0" fontId="0" fillId="0" borderId="68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29" fillId="0" borderId="0" xfId="20" applyFont="1" applyBorder="1" applyAlignment="1">
      <alignment horizontal="center" vertical="center"/>
      <protection/>
    </xf>
    <xf numFmtId="0" fontId="24" fillId="0" borderId="17" xfId="19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Normal_biudz uz 2001 atskaitomybe3" xfId="19"/>
    <cellStyle name="Normal_TRECFORMantras200133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6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3" width="2.57421875" style="2" customWidth="1"/>
    <col min="4" max="4" width="27.421875" style="2" customWidth="1"/>
    <col min="5" max="5" width="4.28125" style="2" customWidth="1"/>
    <col min="6" max="6" width="3.7109375" style="2" customWidth="1"/>
    <col min="7" max="7" width="7.8515625" style="3" customWidth="1"/>
    <col min="8" max="8" width="4.421875" style="2" customWidth="1"/>
    <col min="9" max="9" width="6.00390625" style="4" customWidth="1"/>
    <col min="10" max="10" width="6.28125" style="2" customWidth="1"/>
    <col min="11" max="11" width="6.421875" style="2" customWidth="1"/>
    <col min="12" max="12" width="5.421875" style="2" customWidth="1"/>
    <col min="13" max="13" width="4.57421875" style="2" customWidth="1"/>
    <col min="14" max="14" width="6.57421875" style="2" customWidth="1"/>
    <col min="15" max="15" width="6.28125" style="2" customWidth="1"/>
    <col min="16" max="16" width="5.8515625" style="2" customWidth="1"/>
    <col min="17" max="17" width="4.00390625" style="2" customWidth="1"/>
    <col min="18" max="18" width="6.8515625" style="2" customWidth="1"/>
    <col min="19" max="19" width="6.28125" style="2" customWidth="1"/>
    <col min="20" max="20" width="5.421875" style="2" customWidth="1"/>
    <col min="21" max="21" width="4.421875" style="2" customWidth="1"/>
    <col min="22" max="23" width="5.57421875" style="2" hidden="1" customWidth="1"/>
    <col min="24" max="24" width="4.7109375" style="2" hidden="1" customWidth="1"/>
    <col min="25" max="25" width="0.85546875" style="2" hidden="1" customWidth="1"/>
    <col min="26" max="27" width="6.421875" style="2" customWidth="1"/>
    <col min="28" max="28" width="26.140625" style="2" customWidth="1"/>
    <col min="29" max="29" width="5.00390625" style="36" customWidth="1"/>
    <col min="30" max="30" width="5.421875" style="2" customWidth="1"/>
    <col min="31" max="31" width="5.28125" style="2" customWidth="1"/>
    <col min="32" max="16384" width="9.140625" style="1" customWidth="1"/>
  </cols>
  <sheetData>
    <row r="1" ht="13.5" customHeight="1">
      <c r="AB1" s="93" t="s">
        <v>45</v>
      </c>
    </row>
    <row r="2" spans="1:31" ht="31.5" customHeight="1">
      <c r="A2" s="579" t="s">
        <v>205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</row>
    <row r="3" spans="1:35" ht="20.25" customHeight="1">
      <c r="A3" s="91"/>
      <c r="B3" s="92"/>
      <c r="C3" s="92"/>
      <c r="D3" s="92"/>
      <c r="E3" s="120" t="s">
        <v>56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684" t="s">
        <v>0</v>
      </c>
      <c r="AD3" s="685"/>
      <c r="AE3" s="685"/>
      <c r="AF3" s="94"/>
      <c r="AG3" s="94"/>
      <c r="AH3" s="94"/>
      <c r="AI3" s="94"/>
    </row>
    <row r="4" ht="9.75" customHeight="1" thickBot="1">
      <c r="AC4" s="121"/>
    </row>
    <row r="5" spans="1:31" ht="36.75" customHeight="1">
      <c r="A5" s="581" t="s">
        <v>1</v>
      </c>
      <c r="B5" s="584" t="s">
        <v>2</v>
      </c>
      <c r="C5" s="584" t="s">
        <v>3</v>
      </c>
      <c r="D5" s="587" t="s">
        <v>26</v>
      </c>
      <c r="E5" s="590" t="s">
        <v>4</v>
      </c>
      <c r="F5" s="593" t="s">
        <v>44</v>
      </c>
      <c r="G5" s="596" t="s">
        <v>5</v>
      </c>
      <c r="H5" s="599" t="s">
        <v>6</v>
      </c>
      <c r="I5" s="602" t="s">
        <v>7</v>
      </c>
      <c r="J5" s="449" t="s">
        <v>108</v>
      </c>
      <c r="K5" s="450"/>
      <c r="L5" s="450"/>
      <c r="M5" s="440"/>
      <c r="N5" s="449" t="s">
        <v>109</v>
      </c>
      <c r="O5" s="450"/>
      <c r="P5" s="450"/>
      <c r="Q5" s="451"/>
      <c r="R5" s="449" t="s">
        <v>194</v>
      </c>
      <c r="S5" s="450"/>
      <c r="T5" s="450"/>
      <c r="U5" s="451"/>
      <c r="V5" s="449" t="s">
        <v>110</v>
      </c>
      <c r="W5" s="450"/>
      <c r="X5" s="450"/>
      <c r="Y5" s="451"/>
      <c r="Z5" s="566" t="s">
        <v>111</v>
      </c>
      <c r="AA5" s="569" t="s">
        <v>206</v>
      </c>
      <c r="AB5" s="572" t="s">
        <v>25</v>
      </c>
      <c r="AC5" s="573"/>
      <c r="AD5" s="573"/>
      <c r="AE5" s="574"/>
    </row>
    <row r="6" spans="1:31" ht="15" customHeight="1">
      <c r="A6" s="582"/>
      <c r="B6" s="585"/>
      <c r="C6" s="585"/>
      <c r="D6" s="588"/>
      <c r="E6" s="591"/>
      <c r="F6" s="594"/>
      <c r="G6" s="597"/>
      <c r="H6" s="600"/>
      <c r="I6" s="603"/>
      <c r="J6" s="561" t="s">
        <v>8</v>
      </c>
      <c r="K6" s="558" t="s">
        <v>9</v>
      </c>
      <c r="L6" s="558"/>
      <c r="M6" s="693" t="s">
        <v>53</v>
      </c>
      <c r="N6" s="561" t="s">
        <v>8</v>
      </c>
      <c r="O6" s="558" t="s">
        <v>9</v>
      </c>
      <c r="P6" s="558"/>
      <c r="Q6" s="559" t="s">
        <v>53</v>
      </c>
      <c r="R6" s="561" t="s">
        <v>8</v>
      </c>
      <c r="S6" s="558" t="s">
        <v>9</v>
      </c>
      <c r="T6" s="558"/>
      <c r="U6" s="559" t="s">
        <v>53</v>
      </c>
      <c r="V6" s="561" t="s">
        <v>8</v>
      </c>
      <c r="W6" s="558" t="s">
        <v>9</v>
      </c>
      <c r="X6" s="558"/>
      <c r="Y6" s="559" t="s">
        <v>53</v>
      </c>
      <c r="Z6" s="567"/>
      <c r="AA6" s="570"/>
      <c r="AB6" s="575" t="s">
        <v>26</v>
      </c>
      <c r="AC6" s="577" t="s">
        <v>10</v>
      </c>
      <c r="AD6" s="577"/>
      <c r="AE6" s="578"/>
    </row>
    <row r="7" spans="1:31" ht="94.5" customHeight="1" thickBot="1">
      <c r="A7" s="583"/>
      <c r="B7" s="586"/>
      <c r="C7" s="586"/>
      <c r="D7" s="589"/>
      <c r="E7" s="592"/>
      <c r="F7" s="595"/>
      <c r="G7" s="598"/>
      <c r="H7" s="601"/>
      <c r="I7" s="604"/>
      <c r="J7" s="562"/>
      <c r="K7" s="125" t="s">
        <v>8</v>
      </c>
      <c r="L7" s="126" t="s">
        <v>27</v>
      </c>
      <c r="M7" s="694"/>
      <c r="N7" s="562"/>
      <c r="O7" s="124" t="s">
        <v>8</v>
      </c>
      <c r="P7" s="126" t="s">
        <v>27</v>
      </c>
      <c r="Q7" s="560"/>
      <c r="R7" s="562"/>
      <c r="S7" s="124" t="s">
        <v>8</v>
      </c>
      <c r="T7" s="126" t="s">
        <v>27</v>
      </c>
      <c r="U7" s="560"/>
      <c r="V7" s="562"/>
      <c r="W7" s="124" t="s">
        <v>8</v>
      </c>
      <c r="X7" s="126" t="s">
        <v>27</v>
      </c>
      <c r="Y7" s="560"/>
      <c r="Z7" s="568"/>
      <c r="AA7" s="571"/>
      <c r="AB7" s="576"/>
      <c r="AC7" s="122" t="s">
        <v>112</v>
      </c>
      <c r="AD7" s="122" t="s">
        <v>113</v>
      </c>
      <c r="AE7" s="123" t="s">
        <v>114</v>
      </c>
    </row>
    <row r="8" spans="1:31" ht="14.25" customHeight="1">
      <c r="A8" s="563" t="s">
        <v>138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5"/>
    </row>
    <row r="9" spans="1:33" ht="14.25" customHeight="1" thickBot="1">
      <c r="A9" s="686" t="s">
        <v>57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  <c r="X9" s="687"/>
      <c r="Y9" s="687"/>
      <c r="Z9" s="687"/>
      <c r="AA9" s="687"/>
      <c r="AB9" s="687"/>
      <c r="AC9" s="687"/>
      <c r="AD9" s="687"/>
      <c r="AE9" s="688"/>
      <c r="AG9" s="46"/>
    </row>
    <row r="10" spans="1:31" ht="14.25" customHeight="1" thickBot="1">
      <c r="A10" s="127" t="s">
        <v>11</v>
      </c>
      <c r="B10" s="689" t="s">
        <v>203</v>
      </c>
      <c r="C10" s="689"/>
      <c r="D10" s="689"/>
      <c r="E10" s="689"/>
      <c r="F10" s="689"/>
      <c r="G10" s="689"/>
      <c r="H10" s="689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89"/>
      <c r="T10" s="689"/>
      <c r="U10" s="689"/>
      <c r="V10" s="689"/>
      <c r="W10" s="689"/>
      <c r="X10" s="689"/>
      <c r="Y10" s="689"/>
      <c r="Z10" s="689"/>
      <c r="AA10" s="689"/>
      <c r="AB10" s="689"/>
      <c r="AC10" s="689"/>
      <c r="AD10" s="689"/>
      <c r="AE10" s="690"/>
    </row>
    <row r="11" spans="1:31" ht="14.25" customHeight="1" thickBot="1">
      <c r="A11" s="128" t="s">
        <v>11</v>
      </c>
      <c r="B11" s="5" t="s">
        <v>11</v>
      </c>
      <c r="C11" s="691" t="s">
        <v>204</v>
      </c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1"/>
      <c r="AE11" s="692"/>
    </row>
    <row r="12" spans="1:31" ht="16.5" customHeight="1">
      <c r="A12" s="638" t="s">
        <v>11</v>
      </c>
      <c r="B12" s="640" t="s">
        <v>11</v>
      </c>
      <c r="C12" s="518" t="s">
        <v>11</v>
      </c>
      <c r="D12" s="647" t="s">
        <v>79</v>
      </c>
      <c r="E12" s="524"/>
      <c r="F12" s="548" t="s">
        <v>11</v>
      </c>
      <c r="G12" s="552" t="s">
        <v>12</v>
      </c>
      <c r="H12" s="532" t="s">
        <v>123</v>
      </c>
      <c r="I12" s="228" t="s">
        <v>106</v>
      </c>
      <c r="J12" s="231">
        <f>386.8-55.1</f>
        <v>331.7</v>
      </c>
      <c r="K12" s="232">
        <f>386.8-55.1</f>
        <v>331.7</v>
      </c>
      <c r="L12" s="232">
        <f>280.8-27.6</f>
        <v>253.20000000000002</v>
      </c>
      <c r="M12" s="154"/>
      <c r="N12" s="159">
        <v>334.6</v>
      </c>
      <c r="O12" s="47">
        <v>334.6</v>
      </c>
      <c r="P12" s="52">
        <v>255</v>
      </c>
      <c r="Q12" s="154">
        <v>0</v>
      </c>
      <c r="R12" s="368">
        <v>307.6</v>
      </c>
      <c r="S12" s="48">
        <v>307.6</v>
      </c>
      <c r="T12" s="48">
        <v>234.8</v>
      </c>
      <c r="U12" s="369">
        <v>0</v>
      </c>
      <c r="V12" s="365">
        <v>0</v>
      </c>
      <c r="W12" s="47">
        <v>0</v>
      </c>
      <c r="X12" s="47"/>
      <c r="Y12" s="160">
        <v>0</v>
      </c>
      <c r="Z12" s="169">
        <v>334.6</v>
      </c>
      <c r="AA12" s="175">
        <v>334.6</v>
      </c>
      <c r="AB12" s="273" t="s">
        <v>134</v>
      </c>
      <c r="AC12" s="284">
        <v>2020</v>
      </c>
      <c r="AD12" s="284">
        <v>2050</v>
      </c>
      <c r="AE12" s="285">
        <v>2050</v>
      </c>
    </row>
    <row r="13" spans="1:31" ht="18" customHeight="1">
      <c r="A13" s="642"/>
      <c r="B13" s="644"/>
      <c r="C13" s="519"/>
      <c r="D13" s="648"/>
      <c r="E13" s="525"/>
      <c r="F13" s="549"/>
      <c r="G13" s="553"/>
      <c r="H13" s="546"/>
      <c r="I13" s="151"/>
      <c r="J13" s="148"/>
      <c r="K13" s="65"/>
      <c r="L13" s="65"/>
      <c r="M13" s="155"/>
      <c r="N13" s="161"/>
      <c r="O13" s="65"/>
      <c r="P13" s="65"/>
      <c r="Q13" s="155"/>
      <c r="R13" s="370"/>
      <c r="S13" s="53"/>
      <c r="T13" s="53"/>
      <c r="U13" s="371"/>
      <c r="V13" s="148"/>
      <c r="W13" s="65"/>
      <c r="X13" s="65"/>
      <c r="Y13" s="162"/>
      <c r="Z13" s="170"/>
      <c r="AA13" s="176"/>
      <c r="AB13" s="274" t="s">
        <v>135</v>
      </c>
      <c r="AC13" s="284">
        <v>2100</v>
      </c>
      <c r="AD13" s="284">
        <v>2160</v>
      </c>
      <c r="AE13" s="285">
        <v>2160</v>
      </c>
    </row>
    <row r="14" spans="1:34" ht="16.5" customHeight="1">
      <c r="A14" s="643"/>
      <c r="B14" s="645"/>
      <c r="C14" s="646"/>
      <c r="D14" s="649"/>
      <c r="E14" s="542"/>
      <c r="F14" s="550"/>
      <c r="G14" s="554"/>
      <c r="H14" s="547"/>
      <c r="I14" s="152"/>
      <c r="J14" s="149"/>
      <c r="K14" s="66"/>
      <c r="L14" s="66"/>
      <c r="M14" s="156"/>
      <c r="N14" s="163"/>
      <c r="O14" s="66"/>
      <c r="P14" s="66"/>
      <c r="Q14" s="156"/>
      <c r="R14" s="372"/>
      <c r="S14" s="67"/>
      <c r="T14" s="67"/>
      <c r="U14" s="373"/>
      <c r="V14" s="149"/>
      <c r="W14" s="66"/>
      <c r="X14" s="66"/>
      <c r="Y14" s="164"/>
      <c r="Z14" s="171"/>
      <c r="AA14" s="177"/>
      <c r="AB14" s="274" t="s">
        <v>136</v>
      </c>
      <c r="AC14" s="282">
        <v>1460</v>
      </c>
      <c r="AD14" s="282">
        <v>1465</v>
      </c>
      <c r="AE14" s="283">
        <v>1465</v>
      </c>
      <c r="AH14" s="10"/>
    </row>
    <row r="15" spans="1:34" ht="14.25" customHeight="1" thickBot="1">
      <c r="A15" s="639"/>
      <c r="B15" s="641"/>
      <c r="C15" s="520"/>
      <c r="D15" s="650"/>
      <c r="E15" s="526"/>
      <c r="F15" s="551"/>
      <c r="G15" s="555"/>
      <c r="H15" s="533"/>
      <c r="I15" s="153" t="s">
        <v>13</v>
      </c>
      <c r="J15" s="150">
        <f>SUM(J12:J14)</f>
        <v>331.7</v>
      </c>
      <c r="K15" s="49">
        <f>K12</f>
        <v>331.7</v>
      </c>
      <c r="L15" s="49">
        <f>L12</f>
        <v>253.20000000000002</v>
      </c>
      <c r="M15" s="157">
        <f>SUM(M12:M14)</f>
        <v>0</v>
      </c>
      <c r="N15" s="165">
        <f>SUM(N12:N14)</f>
        <v>334.6</v>
      </c>
      <c r="O15" s="49">
        <f>O12</f>
        <v>334.6</v>
      </c>
      <c r="P15" s="49">
        <f>SUM(P12:P14)</f>
        <v>255</v>
      </c>
      <c r="Q15" s="157">
        <f>SUM(Q12:Q14)</f>
        <v>0</v>
      </c>
      <c r="R15" s="165">
        <f>SUM(R12:R14)</f>
        <v>307.6</v>
      </c>
      <c r="S15" s="49">
        <f>S12</f>
        <v>307.6</v>
      </c>
      <c r="T15" s="49">
        <f>SUM(T12:T14)</f>
        <v>234.8</v>
      </c>
      <c r="U15" s="166">
        <f>SUM(U12:U14)</f>
        <v>0</v>
      </c>
      <c r="V15" s="150">
        <f>SUM(V12:V14)</f>
        <v>0</v>
      </c>
      <c r="W15" s="49">
        <f>W12</f>
        <v>0</v>
      </c>
      <c r="X15" s="49"/>
      <c r="Y15" s="166">
        <f>SUM(Y12:Y14)</f>
        <v>0</v>
      </c>
      <c r="Z15" s="172">
        <f>Z14+Z13+Z12</f>
        <v>334.6</v>
      </c>
      <c r="AA15" s="178">
        <f>AA14+AA13+AA12</f>
        <v>334.6</v>
      </c>
      <c r="AB15" s="556" t="s">
        <v>137</v>
      </c>
      <c r="AC15" s="544">
        <v>620</v>
      </c>
      <c r="AD15" s="544">
        <v>600</v>
      </c>
      <c r="AE15" s="665">
        <v>600</v>
      </c>
      <c r="AF15" s="13"/>
      <c r="AH15" s="10"/>
    </row>
    <row r="16" spans="1:31" ht="27" customHeight="1">
      <c r="A16" s="638" t="s">
        <v>11</v>
      </c>
      <c r="B16" s="640" t="s">
        <v>11</v>
      </c>
      <c r="C16" s="518" t="s">
        <v>14</v>
      </c>
      <c r="D16" s="539" t="s">
        <v>80</v>
      </c>
      <c r="E16" s="524"/>
      <c r="F16" s="548" t="s">
        <v>11</v>
      </c>
      <c r="G16" s="552" t="s">
        <v>12</v>
      </c>
      <c r="H16" s="532" t="s">
        <v>123</v>
      </c>
      <c r="I16" s="228" t="s">
        <v>106</v>
      </c>
      <c r="J16" s="231">
        <f>11.6-1.2</f>
        <v>10.4</v>
      </c>
      <c r="K16" s="232">
        <f>11.6-1.2</f>
        <v>10.4</v>
      </c>
      <c r="L16" s="47"/>
      <c r="M16" s="154"/>
      <c r="N16" s="159">
        <v>9.4</v>
      </c>
      <c r="O16" s="47">
        <v>9.4</v>
      </c>
      <c r="P16" s="52"/>
      <c r="Q16" s="154">
        <v>0</v>
      </c>
      <c r="R16" s="368">
        <v>9.4</v>
      </c>
      <c r="S16" s="48">
        <v>9.4</v>
      </c>
      <c r="T16" s="48"/>
      <c r="U16" s="369">
        <v>0</v>
      </c>
      <c r="V16" s="365">
        <v>0</v>
      </c>
      <c r="W16" s="47">
        <v>0</v>
      </c>
      <c r="X16" s="47"/>
      <c r="Y16" s="160">
        <v>0</v>
      </c>
      <c r="Z16" s="169">
        <v>9.4</v>
      </c>
      <c r="AA16" s="175">
        <v>9.4</v>
      </c>
      <c r="AB16" s="557"/>
      <c r="AC16" s="545"/>
      <c r="AD16" s="545"/>
      <c r="AE16" s="666"/>
    </row>
    <row r="17" spans="1:34" ht="19.5" customHeight="1" thickBot="1">
      <c r="A17" s="639"/>
      <c r="B17" s="641"/>
      <c r="C17" s="520"/>
      <c r="D17" s="541"/>
      <c r="E17" s="526"/>
      <c r="F17" s="551"/>
      <c r="G17" s="555"/>
      <c r="H17" s="533"/>
      <c r="I17" s="153" t="s">
        <v>13</v>
      </c>
      <c r="J17" s="150">
        <f>SUM(J16:J16)</f>
        <v>10.4</v>
      </c>
      <c r="K17" s="49">
        <f>K16</f>
        <v>10.4</v>
      </c>
      <c r="L17" s="49">
        <f>L16</f>
        <v>0</v>
      </c>
      <c r="M17" s="157">
        <f>SUM(M16:M16)</f>
        <v>0</v>
      </c>
      <c r="N17" s="165">
        <f>SUM(N16:N16)</f>
        <v>9.4</v>
      </c>
      <c r="O17" s="49">
        <f>O16</f>
        <v>9.4</v>
      </c>
      <c r="P17" s="49"/>
      <c r="Q17" s="157">
        <f>SUM(Q16:Q16)</f>
        <v>0</v>
      </c>
      <c r="R17" s="165">
        <f>SUM(R16:R16)</f>
        <v>9.4</v>
      </c>
      <c r="S17" s="49">
        <f>S16</f>
        <v>9.4</v>
      </c>
      <c r="T17" s="49"/>
      <c r="U17" s="166">
        <f>SUM(U16:U16)</f>
        <v>0</v>
      </c>
      <c r="V17" s="150">
        <f>SUM(V16:V16)</f>
        <v>0</v>
      </c>
      <c r="W17" s="49">
        <f>W16</f>
        <v>0</v>
      </c>
      <c r="X17" s="49"/>
      <c r="Y17" s="166">
        <f>SUM(Y16:Y16)</f>
        <v>0</v>
      </c>
      <c r="Z17" s="172">
        <f>+Z16</f>
        <v>9.4</v>
      </c>
      <c r="AA17" s="172">
        <f>+AA16</f>
        <v>9.4</v>
      </c>
      <c r="AB17" s="557"/>
      <c r="AC17" s="545"/>
      <c r="AD17" s="545"/>
      <c r="AE17" s="666"/>
      <c r="AF17" s="13"/>
      <c r="AH17" s="10"/>
    </row>
    <row r="18" spans="1:31" ht="24" customHeight="1">
      <c r="A18" s="638" t="s">
        <v>11</v>
      </c>
      <c r="B18" s="640" t="s">
        <v>11</v>
      </c>
      <c r="C18" s="518" t="s">
        <v>58</v>
      </c>
      <c r="D18" s="539" t="s">
        <v>81</v>
      </c>
      <c r="E18" s="524"/>
      <c r="F18" s="527" t="s">
        <v>14</v>
      </c>
      <c r="G18" s="552" t="s">
        <v>12</v>
      </c>
      <c r="H18" s="532" t="s">
        <v>123</v>
      </c>
      <c r="I18" s="228" t="s">
        <v>106</v>
      </c>
      <c r="J18" s="231">
        <f>383-44.1-5.9</f>
        <v>333</v>
      </c>
      <c r="K18" s="232">
        <f>383-44.1-5.9</f>
        <v>333</v>
      </c>
      <c r="L18" s="232">
        <f>231.6-23.2-4.5</f>
        <v>203.9</v>
      </c>
      <c r="M18" s="233"/>
      <c r="N18" s="385">
        <v>331.8</v>
      </c>
      <c r="O18" s="386">
        <v>331.8</v>
      </c>
      <c r="P18" s="7">
        <v>197.4</v>
      </c>
      <c r="Q18" s="387">
        <v>0</v>
      </c>
      <c r="R18" s="211">
        <v>300.7</v>
      </c>
      <c r="S18" s="68">
        <v>300.7</v>
      </c>
      <c r="T18" s="68">
        <v>173.7</v>
      </c>
      <c r="U18" s="212">
        <v>0</v>
      </c>
      <c r="V18" s="388">
        <v>0</v>
      </c>
      <c r="W18" s="386">
        <v>0</v>
      </c>
      <c r="X18" s="386"/>
      <c r="Y18" s="389">
        <v>0</v>
      </c>
      <c r="Z18" s="390">
        <v>331.8</v>
      </c>
      <c r="AA18" s="391">
        <v>331.8</v>
      </c>
      <c r="AB18" s="313" t="s">
        <v>127</v>
      </c>
      <c r="AC18" s="8">
        <v>16</v>
      </c>
      <c r="AD18" s="296">
        <v>18</v>
      </c>
      <c r="AE18" s="129">
        <v>18</v>
      </c>
    </row>
    <row r="19" spans="1:34" ht="12.75" customHeight="1">
      <c r="A19" s="643"/>
      <c r="B19" s="645"/>
      <c r="C19" s="646"/>
      <c r="D19" s="540"/>
      <c r="E19" s="542"/>
      <c r="F19" s="543"/>
      <c r="G19" s="554"/>
      <c r="H19" s="547"/>
      <c r="I19" s="152"/>
      <c r="J19" s="149"/>
      <c r="K19" s="66"/>
      <c r="L19" s="66"/>
      <c r="M19" s="156"/>
      <c r="N19" s="163"/>
      <c r="O19" s="66"/>
      <c r="P19" s="66"/>
      <c r="Q19" s="156"/>
      <c r="R19" s="372"/>
      <c r="S19" s="67"/>
      <c r="T19" s="67"/>
      <c r="U19" s="373"/>
      <c r="V19" s="149"/>
      <c r="W19" s="66"/>
      <c r="X19" s="66"/>
      <c r="Y19" s="164"/>
      <c r="Z19" s="171"/>
      <c r="AA19" s="292"/>
      <c r="AB19" s="655" t="s">
        <v>199</v>
      </c>
      <c r="AC19" s="9">
        <v>10</v>
      </c>
      <c r="AD19" s="266">
        <v>11</v>
      </c>
      <c r="AE19" s="131">
        <v>11</v>
      </c>
      <c r="AH19" s="10"/>
    </row>
    <row r="20" spans="1:34" ht="14.25" customHeight="1" thickBot="1">
      <c r="A20" s="639"/>
      <c r="B20" s="641"/>
      <c r="C20" s="520"/>
      <c r="D20" s="541"/>
      <c r="E20" s="526"/>
      <c r="F20" s="529"/>
      <c r="G20" s="555"/>
      <c r="H20" s="533"/>
      <c r="I20" s="153" t="s">
        <v>13</v>
      </c>
      <c r="J20" s="150">
        <f>SUM(J18:J19)</f>
        <v>333</v>
      </c>
      <c r="K20" s="49">
        <f>K18</f>
        <v>333</v>
      </c>
      <c r="L20" s="49">
        <f>L18</f>
        <v>203.9</v>
      </c>
      <c r="M20" s="157">
        <f>SUM(M18:M19)</f>
        <v>0</v>
      </c>
      <c r="N20" s="165">
        <f>SUM(N18:N19)</f>
        <v>331.8</v>
      </c>
      <c r="O20" s="49">
        <f>O18</f>
        <v>331.8</v>
      </c>
      <c r="P20" s="49">
        <f>SUM(P18:P19)</f>
        <v>197.4</v>
      </c>
      <c r="Q20" s="157">
        <f>SUM(Q18:Q19)</f>
        <v>0</v>
      </c>
      <c r="R20" s="165">
        <f>SUM(R18:R19)</f>
        <v>300.7</v>
      </c>
      <c r="S20" s="49">
        <f>S18</f>
        <v>300.7</v>
      </c>
      <c r="T20" s="49">
        <f>SUM(T18:T19)</f>
        <v>173.7</v>
      </c>
      <c r="U20" s="166">
        <f>SUM(U18:U19)</f>
        <v>0</v>
      </c>
      <c r="V20" s="150">
        <f>SUM(V18:V19)</f>
        <v>0</v>
      </c>
      <c r="W20" s="49">
        <f>W18</f>
        <v>0</v>
      </c>
      <c r="X20" s="49"/>
      <c r="Y20" s="166">
        <f>SUM(Y18:Y19)</f>
        <v>0</v>
      </c>
      <c r="Z20" s="172">
        <f>Z19+Z18</f>
        <v>331.8</v>
      </c>
      <c r="AA20" s="172">
        <f>AA19+AA18</f>
        <v>331.8</v>
      </c>
      <c r="AB20" s="656"/>
      <c r="AC20" s="9"/>
      <c r="AD20" s="266"/>
      <c r="AE20" s="131"/>
      <c r="AF20" s="13"/>
      <c r="AH20" s="10"/>
    </row>
    <row r="21" spans="1:31" ht="18.75" customHeight="1">
      <c r="A21" s="130" t="s">
        <v>11</v>
      </c>
      <c r="B21" s="147" t="s">
        <v>11</v>
      </c>
      <c r="C21" s="534" t="s">
        <v>59</v>
      </c>
      <c r="D21" s="487" t="s">
        <v>82</v>
      </c>
      <c r="E21" s="490"/>
      <c r="F21" s="537" t="s">
        <v>11</v>
      </c>
      <c r="G21" s="496" t="s">
        <v>12</v>
      </c>
      <c r="H21" s="651" t="s">
        <v>123</v>
      </c>
      <c r="I21" s="228" t="s">
        <v>106</v>
      </c>
      <c r="J21" s="231">
        <f>56.2-5.6</f>
        <v>50.6</v>
      </c>
      <c r="K21" s="232">
        <f>56.2-5.6</f>
        <v>50.6</v>
      </c>
      <c r="L21" s="232">
        <f>40-2</f>
        <v>38</v>
      </c>
      <c r="M21" s="158"/>
      <c r="N21" s="167">
        <v>55.5</v>
      </c>
      <c r="O21" s="52">
        <v>55.5</v>
      </c>
      <c r="P21" s="52">
        <v>41.6</v>
      </c>
      <c r="Q21" s="158">
        <v>0</v>
      </c>
      <c r="R21" s="368">
        <v>45.5</v>
      </c>
      <c r="S21" s="48">
        <v>45.5</v>
      </c>
      <c r="T21" s="48">
        <v>33.9</v>
      </c>
      <c r="U21" s="369">
        <v>0</v>
      </c>
      <c r="V21" s="366">
        <v>0</v>
      </c>
      <c r="W21" s="52">
        <v>0</v>
      </c>
      <c r="X21" s="52"/>
      <c r="Y21" s="168">
        <v>0</v>
      </c>
      <c r="Z21" s="173">
        <v>55.5</v>
      </c>
      <c r="AA21" s="294">
        <v>55.5</v>
      </c>
      <c r="AB21" s="658"/>
      <c r="AC21" s="17"/>
      <c r="AD21" s="295"/>
      <c r="AE21" s="132"/>
    </row>
    <row r="22" spans="1:31" ht="18.75" customHeight="1" thickBot="1">
      <c r="A22" s="130"/>
      <c r="B22" s="147"/>
      <c r="C22" s="535"/>
      <c r="D22" s="489"/>
      <c r="E22" s="536"/>
      <c r="F22" s="538"/>
      <c r="G22" s="497"/>
      <c r="H22" s="652"/>
      <c r="I22" s="153" t="s">
        <v>13</v>
      </c>
      <c r="J22" s="150">
        <f>J21</f>
        <v>50.6</v>
      </c>
      <c r="K22" s="49">
        <f>K21</f>
        <v>50.6</v>
      </c>
      <c r="L22" s="49">
        <f>L21</f>
        <v>38</v>
      </c>
      <c r="M22" s="157"/>
      <c r="N22" s="165">
        <f>N21</f>
        <v>55.5</v>
      </c>
      <c r="O22" s="49">
        <f>O21</f>
        <v>55.5</v>
      </c>
      <c r="P22" s="49">
        <f>SUM(P21)</f>
        <v>41.6</v>
      </c>
      <c r="Q22" s="157">
        <f>Q21</f>
        <v>0</v>
      </c>
      <c r="R22" s="165">
        <f>R21</f>
        <v>45.5</v>
      </c>
      <c r="S22" s="49">
        <f>S21</f>
        <v>45.5</v>
      </c>
      <c r="T22" s="49">
        <f>SUM(T21)</f>
        <v>33.9</v>
      </c>
      <c r="U22" s="166">
        <f>U21</f>
        <v>0</v>
      </c>
      <c r="V22" s="150">
        <f>V21</f>
        <v>0</v>
      </c>
      <c r="W22" s="49">
        <f>W21</f>
        <v>0</v>
      </c>
      <c r="X22" s="49"/>
      <c r="Y22" s="166">
        <f>Y21</f>
        <v>0</v>
      </c>
      <c r="Z22" s="174">
        <f>Z21</f>
        <v>55.5</v>
      </c>
      <c r="AA22" s="293">
        <f>AA21</f>
        <v>55.5</v>
      </c>
      <c r="AB22" s="662"/>
      <c r="AC22" s="297"/>
      <c r="AD22" s="298"/>
      <c r="AE22" s="299"/>
    </row>
    <row r="23" spans="1:34" ht="14.25" customHeight="1">
      <c r="A23" s="512" t="s">
        <v>11</v>
      </c>
      <c r="B23" s="515" t="s">
        <v>11</v>
      </c>
      <c r="C23" s="518" t="s">
        <v>60</v>
      </c>
      <c r="D23" s="521" t="s">
        <v>83</v>
      </c>
      <c r="E23" s="524"/>
      <c r="F23" s="527" t="s">
        <v>11</v>
      </c>
      <c r="G23" s="496" t="s">
        <v>12</v>
      </c>
      <c r="H23" s="532" t="s">
        <v>123</v>
      </c>
      <c r="I23" s="228" t="s">
        <v>106</v>
      </c>
      <c r="J23" s="231">
        <f>250.1-10.4-5.6</f>
        <v>234.1</v>
      </c>
      <c r="K23" s="232">
        <f>250.1-10.4-5.6</f>
        <v>234.1</v>
      </c>
      <c r="L23" s="232">
        <f>161.6-4.3</f>
        <v>157.29999999999998</v>
      </c>
      <c r="M23" s="180"/>
      <c r="N23" s="183">
        <v>266</v>
      </c>
      <c r="O23" s="7">
        <v>266</v>
      </c>
      <c r="P23" s="6">
        <v>179.5</v>
      </c>
      <c r="Q23" s="180">
        <v>0</v>
      </c>
      <c r="R23" s="374">
        <v>194.8</v>
      </c>
      <c r="S23" s="50">
        <v>194.8</v>
      </c>
      <c r="T23" s="50">
        <v>125.1</v>
      </c>
      <c r="U23" s="375">
        <v>0</v>
      </c>
      <c r="V23" s="6">
        <v>0</v>
      </c>
      <c r="W23" s="7">
        <v>0</v>
      </c>
      <c r="X23" s="54"/>
      <c r="Y23" s="184">
        <v>0</v>
      </c>
      <c r="Z23" s="190">
        <v>266</v>
      </c>
      <c r="AA23" s="192">
        <v>266</v>
      </c>
      <c r="AB23" s="635" t="s">
        <v>197</v>
      </c>
      <c r="AC23" s="667">
        <v>3550</v>
      </c>
      <c r="AD23" s="667">
        <v>3560</v>
      </c>
      <c r="AE23" s="669">
        <v>3560</v>
      </c>
      <c r="AH23" s="10"/>
    </row>
    <row r="24" spans="1:34" ht="12.75" customHeight="1">
      <c r="A24" s="513"/>
      <c r="B24" s="516"/>
      <c r="C24" s="519"/>
      <c r="D24" s="522"/>
      <c r="E24" s="525"/>
      <c r="F24" s="528"/>
      <c r="G24" s="530"/>
      <c r="H24" s="546"/>
      <c r="I24" s="179"/>
      <c r="J24" s="15"/>
      <c r="K24" s="16"/>
      <c r="L24" s="26"/>
      <c r="M24" s="181"/>
      <c r="N24" s="185"/>
      <c r="O24" s="16"/>
      <c r="P24" s="26"/>
      <c r="Q24" s="181"/>
      <c r="R24" s="376"/>
      <c r="S24" s="51"/>
      <c r="T24" s="51"/>
      <c r="U24" s="377"/>
      <c r="V24" s="15"/>
      <c r="W24" s="16"/>
      <c r="X24" s="26"/>
      <c r="Y24" s="186"/>
      <c r="Z24" s="191"/>
      <c r="AA24" s="193"/>
      <c r="AB24" s="636"/>
      <c r="AC24" s="668"/>
      <c r="AD24" s="668"/>
      <c r="AE24" s="670"/>
      <c r="AH24" s="10"/>
    </row>
    <row r="25" spans="1:34" ht="14.25" customHeight="1" thickBot="1">
      <c r="A25" s="514"/>
      <c r="B25" s="517"/>
      <c r="C25" s="520"/>
      <c r="D25" s="523"/>
      <c r="E25" s="526"/>
      <c r="F25" s="529"/>
      <c r="G25" s="497"/>
      <c r="H25" s="533"/>
      <c r="I25" s="153" t="s">
        <v>13</v>
      </c>
      <c r="J25" s="12">
        <f>J24+J23</f>
        <v>234.1</v>
      </c>
      <c r="K25" s="11">
        <f>SUM(K23:K24)</f>
        <v>234.1</v>
      </c>
      <c r="L25" s="11">
        <f>SUM(L23:L24)</f>
        <v>157.29999999999998</v>
      </c>
      <c r="M25" s="182">
        <f>SUM(M23:M24)</f>
        <v>0</v>
      </c>
      <c r="N25" s="187">
        <f>N23</f>
        <v>266</v>
      </c>
      <c r="O25" s="11">
        <f>SUM(O23:O24)</f>
        <v>266</v>
      </c>
      <c r="P25" s="12">
        <f>SUM(P23:P24)</f>
        <v>179.5</v>
      </c>
      <c r="Q25" s="182">
        <f>SUM(Q23:Q24)</f>
        <v>0</v>
      </c>
      <c r="R25" s="165">
        <f>SUM(R23:R24)</f>
        <v>194.8</v>
      </c>
      <c r="S25" s="49">
        <f>S23</f>
        <v>194.8</v>
      </c>
      <c r="T25" s="49">
        <f>SUM(T23:T24)</f>
        <v>125.1</v>
      </c>
      <c r="U25" s="166">
        <f>SUM(U23:U24)</f>
        <v>0</v>
      </c>
      <c r="V25" s="12">
        <f>V23</f>
        <v>0</v>
      </c>
      <c r="W25" s="11">
        <f>SUM(W23:W24)</f>
        <v>0</v>
      </c>
      <c r="X25" s="12"/>
      <c r="Y25" s="188">
        <f>SUM(Y23:Y24)</f>
        <v>0</v>
      </c>
      <c r="Z25" s="24">
        <f>Z23</f>
        <v>266</v>
      </c>
      <c r="AA25" s="194">
        <f>AA23</f>
        <v>266</v>
      </c>
      <c r="AB25" s="637"/>
      <c r="AC25" s="25"/>
      <c r="AD25" s="25"/>
      <c r="AE25" s="134"/>
      <c r="AH25" s="10"/>
    </row>
    <row r="26" spans="1:34" ht="24" customHeight="1">
      <c r="A26" s="512" t="s">
        <v>11</v>
      </c>
      <c r="B26" s="515" t="s">
        <v>11</v>
      </c>
      <c r="C26" s="518" t="s">
        <v>61</v>
      </c>
      <c r="D26" s="521" t="s">
        <v>84</v>
      </c>
      <c r="E26" s="524"/>
      <c r="F26" s="527" t="s">
        <v>14</v>
      </c>
      <c r="G26" s="496" t="s">
        <v>12</v>
      </c>
      <c r="H26" s="532" t="s">
        <v>123</v>
      </c>
      <c r="I26" s="228" t="s">
        <v>106</v>
      </c>
      <c r="J26" s="231">
        <f>140.7-23-2.3</f>
        <v>115.39999999999999</v>
      </c>
      <c r="K26" s="232">
        <f>140.7-23-2.3</f>
        <v>115.39999999999999</v>
      </c>
      <c r="L26" s="232">
        <f>56.5-1.8</f>
        <v>54.7</v>
      </c>
      <c r="M26" s="180"/>
      <c r="N26" s="183">
        <v>105.2</v>
      </c>
      <c r="O26" s="7">
        <v>105.2</v>
      </c>
      <c r="P26" s="6">
        <v>52.6</v>
      </c>
      <c r="Q26" s="180">
        <v>0</v>
      </c>
      <c r="R26" s="374">
        <v>105.2</v>
      </c>
      <c r="S26" s="50">
        <v>105.2</v>
      </c>
      <c r="T26" s="50">
        <v>52.6</v>
      </c>
      <c r="U26" s="375">
        <v>0</v>
      </c>
      <c r="V26" s="6">
        <v>0</v>
      </c>
      <c r="W26" s="7">
        <v>0</v>
      </c>
      <c r="X26" s="54"/>
      <c r="Y26" s="184">
        <v>0</v>
      </c>
      <c r="Z26" s="190">
        <v>105.2</v>
      </c>
      <c r="AA26" s="300">
        <v>105.2</v>
      </c>
      <c r="AB26" s="661" t="s">
        <v>129</v>
      </c>
      <c r="AC26" s="20">
        <v>42</v>
      </c>
      <c r="AD26" s="21" t="s">
        <v>130</v>
      </c>
      <c r="AE26" s="305">
        <v>42</v>
      </c>
      <c r="AH26" s="10"/>
    </row>
    <row r="27" spans="1:34" ht="14.25" customHeight="1" thickBot="1">
      <c r="A27" s="514"/>
      <c r="B27" s="517"/>
      <c r="C27" s="520"/>
      <c r="D27" s="523"/>
      <c r="E27" s="526"/>
      <c r="F27" s="529"/>
      <c r="G27" s="497"/>
      <c r="H27" s="533"/>
      <c r="I27" s="153" t="s">
        <v>13</v>
      </c>
      <c r="J27" s="12">
        <f>+J26</f>
        <v>115.39999999999999</v>
      </c>
      <c r="K27" s="11">
        <f>SUM(K26:K26)</f>
        <v>115.39999999999999</v>
      </c>
      <c r="L27" s="11">
        <f>SUM(L26:L26)</f>
        <v>54.7</v>
      </c>
      <c r="M27" s="182">
        <f>SUM(M26:M26)</f>
        <v>0</v>
      </c>
      <c r="N27" s="187">
        <f>N26</f>
        <v>105.2</v>
      </c>
      <c r="O27" s="11">
        <f>SUM(O26:O26)</f>
        <v>105.2</v>
      </c>
      <c r="P27" s="12">
        <f>SUM(P26)</f>
        <v>52.6</v>
      </c>
      <c r="Q27" s="182">
        <f>SUM(Q26:Q26)</f>
        <v>0</v>
      </c>
      <c r="R27" s="165">
        <f>SUM(R26:R26)</f>
        <v>105.2</v>
      </c>
      <c r="S27" s="49">
        <f>S26</f>
        <v>105.2</v>
      </c>
      <c r="T27" s="49">
        <f>SUM(T26)</f>
        <v>52.6</v>
      </c>
      <c r="U27" s="166">
        <f>SUM(U26:U26)</f>
        <v>0</v>
      </c>
      <c r="V27" s="12">
        <f>V26</f>
        <v>0</v>
      </c>
      <c r="W27" s="11">
        <f>SUM(W26:W26)</f>
        <v>0</v>
      </c>
      <c r="X27" s="12"/>
      <c r="Y27" s="188">
        <f>SUM(Y26:Y26)</f>
        <v>0</v>
      </c>
      <c r="Z27" s="24">
        <f>Z26</f>
        <v>105.2</v>
      </c>
      <c r="AA27" s="301">
        <f>AA26</f>
        <v>105.2</v>
      </c>
      <c r="AB27" s="658"/>
      <c r="AC27" s="23"/>
      <c r="AD27" s="23"/>
      <c r="AE27" s="302"/>
      <c r="AH27" s="10"/>
    </row>
    <row r="28" spans="1:34" ht="14.25" customHeight="1">
      <c r="A28" s="512" t="s">
        <v>11</v>
      </c>
      <c r="B28" s="515" t="s">
        <v>11</v>
      </c>
      <c r="C28" s="518" t="s">
        <v>62</v>
      </c>
      <c r="D28" s="521" t="s">
        <v>85</v>
      </c>
      <c r="E28" s="524"/>
      <c r="F28" s="527" t="s">
        <v>14</v>
      </c>
      <c r="G28" s="496" t="s">
        <v>12</v>
      </c>
      <c r="H28" s="532" t="s">
        <v>123</v>
      </c>
      <c r="I28" s="228" t="s">
        <v>106</v>
      </c>
      <c r="J28" s="231">
        <f>55-7.3-1.2</f>
        <v>46.5</v>
      </c>
      <c r="K28" s="232">
        <f>55-7.3-1.2</f>
        <v>46.5</v>
      </c>
      <c r="L28" s="232">
        <f>39.7-4-1</f>
        <v>34.7</v>
      </c>
      <c r="M28" s="180"/>
      <c r="N28" s="183">
        <v>50.4</v>
      </c>
      <c r="O28" s="7">
        <v>50.4</v>
      </c>
      <c r="P28" s="6">
        <v>35</v>
      </c>
      <c r="Q28" s="180">
        <v>0</v>
      </c>
      <c r="R28" s="374">
        <v>50.4</v>
      </c>
      <c r="S28" s="50">
        <v>50.4</v>
      </c>
      <c r="T28" s="50">
        <v>35</v>
      </c>
      <c r="U28" s="375">
        <v>0</v>
      </c>
      <c r="V28" s="6">
        <v>0</v>
      </c>
      <c r="W28" s="7">
        <v>0</v>
      </c>
      <c r="X28" s="54"/>
      <c r="Y28" s="184">
        <v>0</v>
      </c>
      <c r="Z28" s="190">
        <v>50.4</v>
      </c>
      <c r="AA28" s="300">
        <v>50.4</v>
      </c>
      <c r="AB28" s="658"/>
      <c r="AC28" s="633"/>
      <c r="AD28" s="672"/>
      <c r="AE28" s="673"/>
      <c r="AH28" s="10"/>
    </row>
    <row r="29" spans="1:34" ht="14.25" customHeight="1" thickBot="1">
      <c r="A29" s="514"/>
      <c r="B29" s="517"/>
      <c r="C29" s="520"/>
      <c r="D29" s="523"/>
      <c r="E29" s="526"/>
      <c r="F29" s="529"/>
      <c r="G29" s="497"/>
      <c r="H29" s="533"/>
      <c r="I29" s="153" t="s">
        <v>13</v>
      </c>
      <c r="J29" s="12">
        <f>+J28</f>
        <v>46.5</v>
      </c>
      <c r="K29" s="11">
        <f>SUM(K28:K28)</f>
        <v>46.5</v>
      </c>
      <c r="L29" s="11">
        <f>SUM(L28:L28)</f>
        <v>34.7</v>
      </c>
      <c r="M29" s="182">
        <f>SUM(M28:M28)</f>
        <v>0</v>
      </c>
      <c r="N29" s="187">
        <f>N28</f>
        <v>50.4</v>
      </c>
      <c r="O29" s="11">
        <f>SUM(O28:O28)</f>
        <v>50.4</v>
      </c>
      <c r="P29" s="12">
        <f>SUM(P28)</f>
        <v>35</v>
      </c>
      <c r="Q29" s="182">
        <f>SUM(Q28:Q28)</f>
        <v>0</v>
      </c>
      <c r="R29" s="165">
        <f>SUM(R28:R28)</f>
        <v>50.4</v>
      </c>
      <c r="S29" s="49">
        <f>S28</f>
        <v>50.4</v>
      </c>
      <c r="T29" s="49">
        <f>SUM(T28)</f>
        <v>35</v>
      </c>
      <c r="U29" s="166">
        <f>SUM(U28:U28)</f>
        <v>0</v>
      </c>
      <c r="V29" s="12">
        <f>V28</f>
        <v>0</v>
      </c>
      <c r="W29" s="11">
        <f>SUM(W28:W28)</f>
        <v>0</v>
      </c>
      <c r="X29" s="12"/>
      <c r="Y29" s="188">
        <f>SUM(Y28:Y28)</f>
        <v>0</v>
      </c>
      <c r="Z29" s="24">
        <f>Z28</f>
        <v>50.4</v>
      </c>
      <c r="AA29" s="301">
        <f>AA28</f>
        <v>50.4</v>
      </c>
      <c r="AB29" s="658"/>
      <c r="AC29" s="545"/>
      <c r="AD29" s="545"/>
      <c r="AE29" s="674"/>
      <c r="AH29" s="10"/>
    </row>
    <row r="30" spans="1:34" ht="18" customHeight="1">
      <c r="A30" s="512" t="s">
        <v>11</v>
      </c>
      <c r="B30" s="515" t="s">
        <v>11</v>
      </c>
      <c r="C30" s="518" t="s">
        <v>63</v>
      </c>
      <c r="D30" s="521" t="s">
        <v>86</v>
      </c>
      <c r="E30" s="524"/>
      <c r="F30" s="527" t="s">
        <v>11</v>
      </c>
      <c r="G30" s="496" t="s">
        <v>12</v>
      </c>
      <c r="H30" s="532" t="s">
        <v>123</v>
      </c>
      <c r="I30" s="228" t="s">
        <v>106</v>
      </c>
      <c r="J30" s="234">
        <f>3.3-0.3</f>
        <v>3</v>
      </c>
      <c r="K30" s="235">
        <f>3.3-0.3</f>
        <v>3</v>
      </c>
      <c r="L30" s="235">
        <f>2.5-0.2</f>
        <v>2.3</v>
      </c>
      <c r="M30" s="180"/>
      <c r="N30" s="183">
        <v>3</v>
      </c>
      <c r="O30" s="7">
        <v>3</v>
      </c>
      <c r="P30" s="6">
        <v>2.3</v>
      </c>
      <c r="Q30" s="180">
        <v>0</v>
      </c>
      <c r="R30" s="374">
        <v>2.7</v>
      </c>
      <c r="S30" s="50">
        <v>2.7</v>
      </c>
      <c r="T30" s="50">
        <v>2.1</v>
      </c>
      <c r="U30" s="375">
        <v>0</v>
      </c>
      <c r="V30" s="6">
        <v>0</v>
      </c>
      <c r="W30" s="7">
        <v>0</v>
      </c>
      <c r="X30" s="54"/>
      <c r="Y30" s="184">
        <v>0</v>
      </c>
      <c r="Z30" s="190">
        <v>3</v>
      </c>
      <c r="AA30" s="300">
        <v>3</v>
      </c>
      <c r="AB30" s="659"/>
      <c r="AC30" s="545"/>
      <c r="AD30" s="545"/>
      <c r="AE30" s="674"/>
      <c r="AH30" s="10"/>
    </row>
    <row r="31" spans="1:34" ht="15" customHeight="1" thickBot="1">
      <c r="A31" s="514"/>
      <c r="B31" s="517"/>
      <c r="C31" s="520"/>
      <c r="D31" s="523"/>
      <c r="E31" s="526"/>
      <c r="F31" s="529"/>
      <c r="G31" s="497"/>
      <c r="H31" s="533"/>
      <c r="I31" s="153" t="s">
        <v>13</v>
      </c>
      <c r="J31" s="12">
        <f>+J30</f>
        <v>3</v>
      </c>
      <c r="K31" s="11">
        <f>SUM(K30:K30)</f>
        <v>3</v>
      </c>
      <c r="L31" s="11">
        <f>SUM(L30:L30)</f>
        <v>2.3</v>
      </c>
      <c r="M31" s="182">
        <f>SUM(M30:M30)</f>
        <v>0</v>
      </c>
      <c r="N31" s="187">
        <f>N30</f>
        <v>3</v>
      </c>
      <c r="O31" s="11">
        <f>SUM(O30:O30)</f>
        <v>3</v>
      </c>
      <c r="P31" s="12">
        <f>SUM(P30)</f>
        <v>2.3</v>
      </c>
      <c r="Q31" s="182">
        <f>SUM(Q30:Q30)</f>
        <v>0</v>
      </c>
      <c r="R31" s="165">
        <f>SUM(R30:R30)</f>
        <v>2.7</v>
      </c>
      <c r="S31" s="49">
        <f>S30</f>
        <v>2.7</v>
      </c>
      <c r="T31" s="49">
        <f>SUM(T30)</f>
        <v>2.1</v>
      </c>
      <c r="U31" s="166">
        <f>SUM(U30:U30)</f>
        <v>0</v>
      </c>
      <c r="V31" s="12">
        <f>V30</f>
        <v>0</v>
      </c>
      <c r="W31" s="11">
        <f>SUM(W30:W30)</f>
        <v>0</v>
      </c>
      <c r="X31" s="12"/>
      <c r="Y31" s="188">
        <f>SUM(Y30:Y30)</f>
        <v>0</v>
      </c>
      <c r="Z31" s="24">
        <f>Z30</f>
        <v>3</v>
      </c>
      <c r="AA31" s="301">
        <f>AA30</f>
        <v>3</v>
      </c>
      <c r="AB31" s="660"/>
      <c r="AC31" s="634"/>
      <c r="AD31" s="634"/>
      <c r="AE31" s="675"/>
      <c r="AH31" s="10"/>
    </row>
    <row r="32" spans="1:34" ht="19.5" customHeight="1">
      <c r="A32" s="512" t="s">
        <v>11</v>
      </c>
      <c r="B32" s="515" t="s">
        <v>11</v>
      </c>
      <c r="C32" s="518" t="s">
        <v>64</v>
      </c>
      <c r="D32" s="521" t="s">
        <v>87</v>
      </c>
      <c r="E32" s="524"/>
      <c r="F32" s="527" t="s">
        <v>11</v>
      </c>
      <c r="G32" s="496" t="s">
        <v>12</v>
      </c>
      <c r="H32" s="532" t="s">
        <v>123</v>
      </c>
      <c r="I32" s="228" t="s">
        <v>106</v>
      </c>
      <c r="J32" s="231">
        <f>728-80-18.1</f>
        <v>629.9</v>
      </c>
      <c r="K32" s="232">
        <f>728-80-18.1</f>
        <v>629.9</v>
      </c>
      <c r="L32" s="232">
        <f>478.8-23.9-13.8</f>
        <v>441.1</v>
      </c>
      <c r="M32" s="180"/>
      <c r="N32" s="183">
        <v>595.9</v>
      </c>
      <c r="O32" s="7">
        <v>595.9</v>
      </c>
      <c r="P32" s="6">
        <v>417.9</v>
      </c>
      <c r="Q32" s="180">
        <v>0</v>
      </c>
      <c r="R32" s="374">
        <v>535.5</v>
      </c>
      <c r="S32" s="50">
        <v>535.5</v>
      </c>
      <c r="T32" s="50">
        <v>373</v>
      </c>
      <c r="U32" s="375">
        <v>0</v>
      </c>
      <c r="V32" s="6">
        <v>0</v>
      </c>
      <c r="W32" s="7">
        <v>0</v>
      </c>
      <c r="X32" s="54"/>
      <c r="Y32" s="184">
        <v>0</v>
      </c>
      <c r="Z32" s="190">
        <v>595.9</v>
      </c>
      <c r="AA32" s="192">
        <v>595.9</v>
      </c>
      <c r="AB32" s="635" t="s">
        <v>208</v>
      </c>
      <c r="AC32" s="682">
        <v>1045</v>
      </c>
      <c r="AD32" s="682">
        <v>1050</v>
      </c>
      <c r="AE32" s="663">
        <v>1050</v>
      </c>
      <c r="AH32" s="10"/>
    </row>
    <row r="33" spans="1:34" ht="18" customHeight="1">
      <c r="A33" s="513"/>
      <c r="B33" s="516"/>
      <c r="C33" s="519"/>
      <c r="D33" s="522"/>
      <c r="E33" s="525"/>
      <c r="F33" s="528"/>
      <c r="G33" s="530"/>
      <c r="H33" s="546"/>
      <c r="I33" s="272" t="s">
        <v>106</v>
      </c>
      <c r="J33" s="236">
        <f>50-4.9-1.2</f>
        <v>43.9</v>
      </c>
      <c r="K33" s="237">
        <f>50-4.9-1.2</f>
        <v>43.9</v>
      </c>
      <c r="L33" s="237">
        <v>33.1</v>
      </c>
      <c r="M33" s="181"/>
      <c r="N33" s="185">
        <v>40.5</v>
      </c>
      <c r="O33" s="401">
        <v>40.5</v>
      </c>
      <c r="P33" s="15">
        <v>30.9</v>
      </c>
      <c r="Q33" s="181"/>
      <c r="R33" s="376">
        <v>37.2</v>
      </c>
      <c r="S33" s="51">
        <v>37.2</v>
      </c>
      <c r="T33" s="51">
        <v>28.4</v>
      </c>
      <c r="U33" s="377"/>
      <c r="V33" s="15"/>
      <c r="W33" s="16"/>
      <c r="X33" s="26"/>
      <c r="Y33" s="186"/>
      <c r="Z33" s="191">
        <v>40.5</v>
      </c>
      <c r="AA33" s="193">
        <v>40.5</v>
      </c>
      <c r="AB33" s="636"/>
      <c r="AC33" s="683"/>
      <c r="AD33" s="683"/>
      <c r="AE33" s="664"/>
      <c r="AH33" s="10"/>
    </row>
    <row r="34" spans="1:34" ht="14.25" customHeight="1" thickBot="1">
      <c r="A34" s="514"/>
      <c r="B34" s="517"/>
      <c r="C34" s="520"/>
      <c r="D34" s="523"/>
      <c r="E34" s="526"/>
      <c r="F34" s="529"/>
      <c r="G34" s="497"/>
      <c r="H34" s="533"/>
      <c r="I34" s="153" t="s">
        <v>13</v>
      </c>
      <c r="J34" s="12">
        <f>J33+J32</f>
        <v>673.8</v>
      </c>
      <c r="K34" s="11">
        <f aca="true" t="shared" si="0" ref="K34:U34">SUM(K32:K33)</f>
        <v>673.8</v>
      </c>
      <c r="L34" s="11">
        <f t="shared" si="0"/>
        <v>474.20000000000005</v>
      </c>
      <c r="M34" s="182">
        <f t="shared" si="0"/>
        <v>0</v>
      </c>
      <c r="N34" s="187">
        <f t="shared" si="0"/>
        <v>636.4</v>
      </c>
      <c r="O34" s="11">
        <f t="shared" si="0"/>
        <v>636.4</v>
      </c>
      <c r="P34" s="12">
        <f t="shared" si="0"/>
        <v>448.79999999999995</v>
      </c>
      <c r="Q34" s="182">
        <f t="shared" si="0"/>
        <v>0</v>
      </c>
      <c r="R34" s="165">
        <f t="shared" si="0"/>
        <v>572.7</v>
      </c>
      <c r="S34" s="49">
        <f t="shared" si="0"/>
        <v>572.7</v>
      </c>
      <c r="T34" s="49">
        <f t="shared" si="0"/>
        <v>401.4</v>
      </c>
      <c r="U34" s="166">
        <f t="shared" si="0"/>
        <v>0</v>
      </c>
      <c r="V34" s="12">
        <f>V32</f>
        <v>0</v>
      </c>
      <c r="W34" s="11">
        <f>SUM(W32:W33)</f>
        <v>0</v>
      </c>
      <c r="X34" s="12"/>
      <c r="Y34" s="188">
        <f>SUM(Y32:Y33)</f>
        <v>0</v>
      </c>
      <c r="Z34" s="24">
        <f>SUM(Z32:Z33)</f>
        <v>636.4</v>
      </c>
      <c r="AA34" s="194">
        <f>SUM(AA32:AA33)</f>
        <v>636.4</v>
      </c>
      <c r="AB34" s="637"/>
      <c r="AC34" s="25"/>
      <c r="AD34" s="25"/>
      <c r="AE34" s="134"/>
      <c r="AH34" s="10"/>
    </row>
    <row r="35" spans="1:34" ht="14.25" customHeight="1">
      <c r="A35" s="512" t="s">
        <v>11</v>
      </c>
      <c r="B35" s="515" t="s">
        <v>11</v>
      </c>
      <c r="C35" s="518" t="s">
        <v>65</v>
      </c>
      <c r="D35" s="521" t="s">
        <v>88</v>
      </c>
      <c r="E35" s="524"/>
      <c r="F35" s="527" t="s">
        <v>59</v>
      </c>
      <c r="G35" s="496" t="s">
        <v>12</v>
      </c>
      <c r="H35" s="532" t="s">
        <v>123</v>
      </c>
      <c r="I35" s="228" t="s">
        <v>106</v>
      </c>
      <c r="J35" s="231">
        <f>137.5-4-3.3</f>
        <v>130.2</v>
      </c>
      <c r="K35" s="232">
        <f>137.5-4-3.3</f>
        <v>130.2</v>
      </c>
      <c r="L35" s="238"/>
      <c r="M35" s="180"/>
      <c r="N35" s="183">
        <v>14.4</v>
      </c>
      <c r="O35" s="7">
        <v>14.4</v>
      </c>
      <c r="P35" s="54"/>
      <c r="Q35" s="180">
        <v>0</v>
      </c>
      <c r="R35" s="374">
        <v>14.4</v>
      </c>
      <c r="S35" s="50">
        <v>14.4</v>
      </c>
      <c r="T35" s="50"/>
      <c r="U35" s="375">
        <v>0</v>
      </c>
      <c r="V35" s="6">
        <v>0</v>
      </c>
      <c r="W35" s="7">
        <v>0</v>
      </c>
      <c r="X35" s="54"/>
      <c r="Y35" s="184">
        <v>0</v>
      </c>
      <c r="Z35" s="190">
        <v>14.4</v>
      </c>
      <c r="AA35" s="192">
        <v>14.4</v>
      </c>
      <c r="AB35" s="291"/>
      <c r="AC35" s="20"/>
      <c r="AD35" s="21"/>
      <c r="AE35" s="133"/>
      <c r="AH35" s="10"/>
    </row>
    <row r="36" spans="1:34" ht="14.25" customHeight="1" thickBot="1">
      <c r="A36" s="514"/>
      <c r="B36" s="517"/>
      <c r="C36" s="520"/>
      <c r="D36" s="523"/>
      <c r="E36" s="526"/>
      <c r="F36" s="529"/>
      <c r="G36" s="497"/>
      <c r="H36" s="533"/>
      <c r="I36" s="153" t="s">
        <v>13</v>
      </c>
      <c r="J36" s="12">
        <f>+J35</f>
        <v>130.2</v>
      </c>
      <c r="K36" s="11">
        <f>SUM(K35:K35)</f>
        <v>130.2</v>
      </c>
      <c r="L36" s="12"/>
      <c r="M36" s="182">
        <f>SUM(M35:M35)</f>
        <v>0</v>
      </c>
      <c r="N36" s="187">
        <f>N35</f>
        <v>14.4</v>
      </c>
      <c r="O36" s="11">
        <f>SUM(O35:O35)</f>
        <v>14.4</v>
      </c>
      <c r="P36" s="12"/>
      <c r="Q36" s="182">
        <f>SUM(Q35:Q35)</f>
        <v>0</v>
      </c>
      <c r="R36" s="165">
        <f>SUM(R35:R35)</f>
        <v>14.4</v>
      </c>
      <c r="S36" s="49">
        <f>S35</f>
        <v>14.4</v>
      </c>
      <c r="T36" s="49"/>
      <c r="U36" s="166">
        <f>SUM(U35:U35)</f>
        <v>0</v>
      </c>
      <c r="V36" s="12">
        <f>V35</f>
        <v>0</v>
      </c>
      <c r="W36" s="11">
        <f>SUM(W35:W35)</f>
        <v>0</v>
      </c>
      <c r="X36" s="12"/>
      <c r="Y36" s="188">
        <f>SUM(Y35:Y35)</f>
        <v>0</v>
      </c>
      <c r="Z36" s="24">
        <f>Z35</f>
        <v>14.4</v>
      </c>
      <c r="AA36" s="194">
        <f>AA35</f>
        <v>14.4</v>
      </c>
      <c r="AB36" s="222"/>
      <c r="AC36" s="287"/>
      <c r="AD36" s="287"/>
      <c r="AE36" s="289"/>
      <c r="AH36" s="10"/>
    </row>
    <row r="37" spans="1:34" ht="24.75" customHeight="1">
      <c r="A37" s="512" t="s">
        <v>11</v>
      </c>
      <c r="B37" s="515" t="s">
        <v>11</v>
      </c>
      <c r="C37" s="518" t="s">
        <v>66</v>
      </c>
      <c r="D37" s="521" t="s">
        <v>207</v>
      </c>
      <c r="E37" s="524"/>
      <c r="F37" s="527" t="s">
        <v>11</v>
      </c>
      <c r="G37" s="496" t="s">
        <v>12</v>
      </c>
      <c r="H37" s="532" t="s">
        <v>123</v>
      </c>
      <c r="I37" s="228" t="s">
        <v>106</v>
      </c>
      <c r="J37" s="231">
        <f>78.2-7.8</f>
        <v>70.4</v>
      </c>
      <c r="K37" s="232">
        <f>78.2-7.8</f>
        <v>70.4</v>
      </c>
      <c r="L37" s="54"/>
      <c r="M37" s="180"/>
      <c r="N37" s="183">
        <v>106.4</v>
      </c>
      <c r="O37" s="7">
        <v>106.4</v>
      </c>
      <c r="P37" s="54"/>
      <c r="Q37" s="180">
        <v>0</v>
      </c>
      <c r="R37" s="374">
        <v>106.4</v>
      </c>
      <c r="S37" s="50">
        <v>106.4</v>
      </c>
      <c r="T37" s="50">
        <v>59.1</v>
      </c>
      <c r="U37" s="375">
        <v>0</v>
      </c>
      <c r="V37" s="6">
        <v>0</v>
      </c>
      <c r="W37" s="7">
        <v>0</v>
      </c>
      <c r="X37" s="54"/>
      <c r="Y37" s="184">
        <v>0</v>
      </c>
      <c r="Z37" s="190">
        <v>106.4</v>
      </c>
      <c r="AA37" s="192">
        <v>106.4</v>
      </c>
      <c r="AB37" s="425"/>
      <c r="AC37" s="426"/>
      <c r="AD37" s="426"/>
      <c r="AE37" s="427"/>
      <c r="AH37" s="10"/>
    </row>
    <row r="38" spans="1:34" ht="16.5" customHeight="1" thickBot="1">
      <c r="A38" s="514"/>
      <c r="B38" s="517"/>
      <c r="C38" s="520"/>
      <c r="D38" s="523"/>
      <c r="E38" s="526"/>
      <c r="F38" s="529"/>
      <c r="G38" s="497"/>
      <c r="H38" s="533"/>
      <c r="I38" s="153" t="s">
        <v>13</v>
      </c>
      <c r="J38" s="12">
        <f>+J37</f>
        <v>70.4</v>
      </c>
      <c r="K38" s="11">
        <f>SUM(K37:K37)</f>
        <v>70.4</v>
      </c>
      <c r="L38" s="12"/>
      <c r="M38" s="182">
        <f>SUM(M37:M37)</f>
        <v>0</v>
      </c>
      <c r="N38" s="187">
        <f>N37</f>
        <v>106.4</v>
      </c>
      <c r="O38" s="11">
        <f>SUM(O37:O37)</f>
        <v>106.4</v>
      </c>
      <c r="P38" s="12"/>
      <c r="Q38" s="182">
        <f>SUM(Q37:Q37)</f>
        <v>0</v>
      </c>
      <c r="R38" s="165">
        <f>SUM(R37:R37)</f>
        <v>106.4</v>
      </c>
      <c r="S38" s="49">
        <f>S37</f>
        <v>106.4</v>
      </c>
      <c r="T38" s="49">
        <f>SUM(T37)</f>
        <v>59.1</v>
      </c>
      <c r="U38" s="166">
        <f>SUM(U37:U37)</f>
        <v>0</v>
      </c>
      <c r="V38" s="12">
        <f>V37</f>
        <v>0</v>
      </c>
      <c r="W38" s="11">
        <f>SUM(W37:W37)</f>
        <v>0</v>
      </c>
      <c r="X38" s="12"/>
      <c r="Y38" s="188">
        <f>SUM(Y37:Y37)</f>
        <v>0</v>
      </c>
      <c r="Z38" s="24">
        <f>Z37</f>
        <v>106.4</v>
      </c>
      <c r="AA38" s="194">
        <f>AA37</f>
        <v>106.4</v>
      </c>
      <c r="AB38" s="227"/>
      <c r="AC38" s="287"/>
      <c r="AD38" s="287"/>
      <c r="AE38" s="289"/>
      <c r="AH38" s="10"/>
    </row>
    <row r="39" spans="1:34" ht="44.25" customHeight="1">
      <c r="A39" s="512" t="s">
        <v>11</v>
      </c>
      <c r="B39" s="515" t="s">
        <v>11</v>
      </c>
      <c r="C39" s="518" t="s">
        <v>67</v>
      </c>
      <c r="D39" s="521" t="s">
        <v>89</v>
      </c>
      <c r="E39" s="524"/>
      <c r="F39" s="527" t="s">
        <v>11</v>
      </c>
      <c r="G39" s="496" t="s">
        <v>12</v>
      </c>
      <c r="H39" s="532" t="s">
        <v>123</v>
      </c>
      <c r="I39" s="228" t="s">
        <v>106</v>
      </c>
      <c r="J39" s="231">
        <f>4.7-0.7</f>
        <v>4</v>
      </c>
      <c r="K39" s="232">
        <f>4.7-0.7</f>
        <v>4</v>
      </c>
      <c r="L39" s="232">
        <v>1.8</v>
      </c>
      <c r="M39" s="180"/>
      <c r="N39" s="183">
        <v>4.4</v>
      </c>
      <c r="O39" s="7">
        <v>4.4</v>
      </c>
      <c r="P39" s="6">
        <v>2.5</v>
      </c>
      <c r="Q39" s="180">
        <v>0</v>
      </c>
      <c r="R39" s="382">
        <v>4.4</v>
      </c>
      <c r="S39" s="383">
        <v>4.4</v>
      </c>
      <c r="T39" s="383">
        <v>2.5</v>
      </c>
      <c r="U39" s="384">
        <v>0</v>
      </c>
      <c r="V39" s="6">
        <v>0</v>
      </c>
      <c r="W39" s="7">
        <v>0</v>
      </c>
      <c r="X39" s="54"/>
      <c r="Y39" s="184">
        <v>0</v>
      </c>
      <c r="Z39" s="190">
        <v>4.4</v>
      </c>
      <c r="AA39" s="192">
        <v>4.4</v>
      </c>
      <c r="AB39" s="303"/>
      <c r="AC39" s="286"/>
      <c r="AD39" s="286"/>
      <c r="AE39" s="288"/>
      <c r="AH39" s="10"/>
    </row>
    <row r="40" spans="1:34" ht="14.25" customHeight="1" thickBot="1">
      <c r="A40" s="514"/>
      <c r="B40" s="517"/>
      <c r="C40" s="520"/>
      <c r="D40" s="523"/>
      <c r="E40" s="526"/>
      <c r="F40" s="529"/>
      <c r="G40" s="497"/>
      <c r="H40" s="533"/>
      <c r="I40" s="153" t="s">
        <v>13</v>
      </c>
      <c r="J40" s="12">
        <f>+J39</f>
        <v>4</v>
      </c>
      <c r="K40" s="11">
        <f>SUM(K39:K39)</f>
        <v>4</v>
      </c>
      <c r="L40" s="11">
        <f>SUM(L39:L39)</f>
        <v>1.8</v>
      </c>
      <c r="M40" s="11">
        <f>SUM(M39:M39)</f>
        <v>0</v>
      </c>
      <c r="N40" s="187">
        <f>N39</f>
        <v>4.4</v>
      </c>
      <c r="O40" s="11">
        <f>SUM(O39:O39)</f>
        <v>4.4</v>
      </c>
      <c r="P40" s="12">
        <f>SUM(P39)</f>
        <v>2.5</v>
      </c>
      <c r="Q40" s="182">
        <f>SUM(Q39:Q39)</f>
        <v>0</v>
      </c>
      <c r="R40" s="165">
        <f>SUM(R39:R39)</f>
        <v>4.4</v>
      </c>
      <c r="S40" s="49">
        <f>S39</f>
        <v>4.4</v>
      </c>
      <c r="T40" s="49">
        <f>SUM(T39)</f>
        <v>2.5</v>
      </c>
      <c r="U40" s="166">
        <f>SUM(U39:U39)</f>
        <v>0</v>
      </c>
      <c r="V40" s="12">
        <f>V39</f>
        <v>0</v>
      </c>
      <c r="W40" s="11">
        <f>SUM(W39:W39)</f>
        <v>0</v>
      </c>
      <c r="X40" s="12"/>
      <c r="Y40" s="188">
        <f>SUM(Y39:Y39)</f>
        <v>0</v>
      </c>
      <c r="Z40" s="24">
        <f>Z39</f>
        <v>4.4</v>
      </c>
      <c r="AA40" s="194">
        <f>AA39</f>
        <v>4.4</v>
      </c>
      <c r="AB40" s="310"/>
      <c r="AC40" s="287"/>
      <c r="AD40" s="287"/>
      <c r="AE40" s="289"/>
      <c r="AH40" s="10"/>
    </row>
    <row r="41" spans="1:34" ht="14.25" customHeight="1">
      <c r="A41" s="512" t="s">
        <v>11</v>
      </c>
      <c r="B41" s="515" t="s">
        <v>11</v>
      </c>
      <c r="C41" s="518" t="s">
        <v>68</v>
      </c>
      <c r="D41" s="521" t="s">
        <v>90</v>
      </c>
      <c r="E41" s="524"/>
      <c r="F41" s="527" t="s">
        <v>11</v>
      </c>
      <c r="G41" s="496" t="s">
        <v>12</v>
      </c>
      <c r="H41" s="532" t="s">
        <v>123</v>
      </c>
      <c r="I41" s="228" t="s">
        <v>106</v>
      </c>
      <c r="J41" s="231">
        <f>37.5-9.2</f>
        <v>28.3</v>
      </c>
      <c r="K41" s="232">
        <f>37.5-9.2</f>
        <v>28.3</v>
      </c>
      <c r="L41" s="232">
        <v>15.6</v>
      </c>
      <c r="M41" s="180"/>
      <c r="N41" s="183">
        <v>5.3</v>
      </c>
      <c r="O41" s="7">
        <v>5.3</v>
      </c>
      <c r="P41" s="6">
        <v>2.5</v>
      </c>
      <c r="Q41" s="180">
        <v>0</v>
      </c>
      <c r="R41" s="368">
        <v>5.3</v>
      </c>
      <c r="S41" s="48">
        <v>5.3</v>
      </c>
      <c r="T41" s="48">
        <v>2.5</v>
      </c>
      <c r="U41" s="369">
        <v>0</v>
      </c>
      <c r="V41" s="6">
        <v>0</v>
      </c>
      <c r="W41" s="7">
        <v>0</v>
      </c>
      <c r="X41" s="54"/>
      <c r="Y41" s="184">
        <v>0</v>
      </c>
      <c r="Z41" s="19">
        <v>5.3</v>
      </c>
      <c r="AA41" s="192">
        <v>5.3</v>
      </c>
      <c r="AB41" s="676" t="s">
        <v>209</v>
      </c>
      <c r="AC41" s="21" t="s">
        <v>132</v>
      </c>
      <c r="AD41" s="21" t="s">
        <v>123</v>
      </c>
      <c r="AE41" s="135" t="s">
        <v>123</v>
      </c>
      <c r="AH41" s="10"/>
    </row>
    <row r="42" spans="1:34" ht="15.75" customHeight="1">
      <c r="A42" s="513"/>
      <c r="B42" s="516"/>
      <c r="C42" s="519"/>
      <c r="D42" s="522"/>
      <c r="E42" s="525"/>
      <c r="F42" s="528"/>
      <c r="G42" s="530"/>
      <c r="H42" s="546"/>
      <c r="I42" s="239" t="s">
        <v>115</v>
      </c>
      <c r="J42" s="236">
        <v>480</v>
      </c>
      <c r="K42" s="237">
        <v>280</v>
      </c>
      <c r="L42" s="237"/>
      <c r="M42" s="402">
        <v>200</v>
      </c>
      <c r="N42" s="242"/>
      <c r="O42" s="240"/>
      <c r="P42" s="241"/>
      <c r="Q42" s="364"/>
      <c r="R42" s="378"/>
      <c r="S42" s="244"/>
      <c r="T42" s="244"/>
      <c r="U42" s="379"/>
      <c r="V42" s="367"/>
      <c r="W42" s="240"/>
      <c r="X42" s="241"/>
      <c r="Y42" s="243"/>
      <c r="Z42" s="245"/>
      <c r="AA42" s="246"/>
      <c r="AB42" s="677"/>
      <c r="AC42" s="27"/>
      <c r="AD42" s="27"/>
      <c r="AE42" s="136"/>
      <c r="AH42" s="10"/>
    </row>
    <row r="43" spans="1:34" ht="15.75" customHeight="1">
      <c r="A43" s="513"/>
      <c r="B43" s="516"/>
      <c r="C43" s="519"/>
      <c r="D43" s="522"/>
      <c r="E43" s="525"/>
      <c r="F43" s="528"/>
      <c r="G43" s="530"/>
      <c r="H43" s="546"/>
      <c r="I43" s="179" t="s">
        <v>107</v>
      </c>
      <c r="J43" s="247"/>
      <c r="K43" s="248"/>
      <c r="L43" s="248"/>
      <c r="M43" s="249"/>
      <c r="N43" s="185"/>
      <c r="O43" s="16"/>
      <c r="P43" s="26"/>
      <c r="Q43" s="181"/>
      <c r="R43" s="370"/>
      <c r="S43" s="53"/>
      <c r="T43" s="53"/>
      <c r="U43" s="371"/>
      <c r="V43" s="15"/>
      <c r="W43" s="16"/>
      <c r="X43" s="26"/>
      <c r="Y43" s="186"/>
      <c r="Z43" s="22"/>
      <c r="AA43" s="193"/>
      <c r="AB43" s="677"/>
      <c r="AC43" s="27"/>
      <c r="AD43" s="27"/>
      <c r="AE43" s="136"/>
      <c r="AH43" s="10"/>
    </row>
    <row r="44" spans="1:34" ht="14.25" customHeight="1" thickBot="1">
      <c r="A44" s="514"/>
      <c r="B44" s="517"/>
      <c r="C44" s="520"/>
      <c r="D44" s="523"/>
      <c r="E44" s="526"/>
      <c r="F44" s="529"/>
      <c r="G44" s="497"/>
      <c r="H44" s="533"/>
      <c r="I44" s="153" t="s">
        <v>13</v>
      </c>
      <c r="J44" s="12">
        <f>J41+J42+J43</f>
        <v>508.3</v>
      </c>
      <c r="K44" s="12">
        <f aca="true" t="shared" si="1" ref="K44:AA44">K41+K42+K43</f>
        <v>308.3</v>
      </c>
      <c r="L44" s="12">
        <f t="shared" si="1"/>
        <v>15.6</v>
      </c>
      <c r="M44" s="24">
        <f t="shared" si="1"/>
        <v>200</v>
      </c>
      <c r="N44" s="187">
        <f t="shared" si="1"/>
        <v>5.3</v>
      </c>
      <c r="O44" s="12">
        <f t="shared" si="1"/>
        <v>5.3</v>
      </c>
      <c r="P44" s="12">
        <f t="shared" si="1"/>
        <v>2.5</v>
      </c>
      <c r="Q44" s="24">
        <f t="shared" si="1"/>
        <v>0</v>
      </c>
      <c r="R44" s="187">
        <f t="shared" si="1"/>
        <v>5.3</v>
      </c>
      <c r="S44" s="12">
        <f t="shared" si="1"/>
        <v>5.3</v>
      </c>
      <c r="T44" s="12">
        <f t="shared" si="1"/>
        <v>2.5</v>
      </c>
      <c r="U44" s="380">
        <f t="shared" si="1"/>
        <v>0</v>
      </c>
      <c r="V44" s="12">
        <f t="shared" si="1"/>
        <v>0</v>
      </c>
      <c r="W44" s="12">
        <f t="shared" si="1"/>
        <v>0</v>
      </c>
      <c r="X44" s="12">
        <f t="shared" si="1"/>
        <v>0</v>
      </c>
      <c r="Y44" s="12">
        <f t="shared" si="1"/>
        <v>0</v>
      </c>
      <c r="Z44" s="12">
        <f t="shared" si="1"/>
        <v>5.3</v>
      </c>
      <c r="AA44" s="12">
        <f t="shared" si="1"/>
        <v>5.3</v>
      </c>
      <c r="AB44" s="678"/>
      <c r="AC44" s="28"/>
      <c r="AD44" s="28"/>
      <c r="AE44" s="137"/>
      <c r="AH44" s="10"/>
    </row>
    <row r="45" spans="1:31" ht="40.5" customHeight="1">
      <c r="A45" s="506" t="s">
        <v>11</v>
      </c>
      <c r="B45" s="508" t="s">
        <v>11</v>
      </c>
      <c r="C45" s="442" t="s">
        <v>69</v>
      </c>
      <c r="D45" s="510" t="s">
        <v>91</v>
      </c>
      <c r="E45" s="490"/>
      <c r="F45" s="459" t="s">
        <v>11</v>
      </c>
      <c r="G45" s="531" t="s">
        <v>12</v>
      </c>
      <c r="H45" s="459" t="s">
        <v>123</v>
      </c>
      <c r="I45" s="228" t="s">
        <v>106</v>
      </c>
      <c r="J45" s="231">
        <f>67.7-7.3</f>
        <v>60.400000000000006</v>
      </c>
      <c r="K45" s="232">
        <f>67.7-7.3</f>
        <v>60.400000000000006</v>
      </c>
      <c r="L45" s="232">
        <f>39.9-4</f>
        <v>35.9</v>
      </c>
      <c r="M45" s="233"/>
      <c r="N45" s="197">
        <v>136.7</v>
      </c>
      <c r="O45" s="41">
        <v>136.7</v>
      </c>
      <c r="P45" s="41">
        <v>77.4</v>
      </c>
      <c r="Q45" s="206">
        <v>0</v>
      </c>
      <c r="R45" s="209">
        <v>54.6</v>
      </c>
      <c r="S45" s="42">
        <v>54.6</v>
      </c>
      <c r="T45" s="42">
        <v>38.1</v>
      </c>
      <c r="U45" s="210">
        <v>0</v>
      </c>
      <c r="V45" s="197">
        <v>0</v>
      </c>
      <c r="W45" s="41">
        <v>0</v>
      </c>
      <c r="X45" s="41"/>
      <c r="Y45" s="206">
        <v>0</v>
      </c>
      <c r="Z45" s="217">
        <v>54.6</v>
      </c>
      <c r="AA45" s="220">
        <v>54.6</v>
      </c>
      <c r="AB45" s="221" t="s">
        <v>128</v>
      </c>
      <c r="AC45" s="290">
        <v>12200</v>
      </c>
      <c r="AD45" s="290">
        <v>12200</v>
      </c>
      <c r="AE45" s="304">
        <v>12200</v>
      </c>
    </row>
    <row r="46" spans="1:34" ht="21" customHeight="1" thickBot="1">
      <c r="A46" s="507"/>
      <c r="B46" s="509"/>
      <c r="C46" s="486"/>
      <c r="D46" s="511"/>
      <c r="E46" s="492"/>
      <c r="F46" s="461"/>
      <c r="G46" s="492"/>
      <c r="H46" s="461"/>
      <c r="I46" s="195" t="s">
        <v>13</v>
      </c>
      <c r="J46" s="187">
        <f aca="true" t="shared" si="2" ref="J46:O46">J45</f>
        <v>60.400000000000006</v>
      </c>
      <c r="K46" s="11">
        <f t="shared" si="2"/>
        <v>60.400000000000006</v>
      </c>
      <c r="L46" s="11">
        <f t="shared" si="2"/>
        <v>35.9</v>
      </c>
      <c r="M46" s="182">
        <f t="shared" si="2"/>
        <v>0</v>
      </c>
      <c r="N46" s="187">
        <f t="shared" si="2"/>
        <v>136.7</v>
      </c>
      <c r="O46" s="11">
        <f t="shared" si="2"/>
        <v>136.7</v>
      </c>
      <c r="P46" s="11">
        <f>SUM(P45)</f>
        <v>77.4</v>
      </c>
      <c r="Q46" s="182">
        <f>Q45</f>
        <v>0</v>
      </c>
      <c r="R46" s="187">
        <f>R45</f>
        <v>54.6</v>
      </c>
      <c r="S46" s="11">
        <f>S45</f>
        <v>54.6</v>
      </c>
      <c r="T46" s="11">
        <f>SUM(T45)</f>
        <v>38.1</v>
      </c>
      <c r="U46" s="188">
        <f>U45</f>
        <v>0</v>
      </c>
      <c r="V46" s="188">
        <f aca="true" t="shared" si="3" ref="V46:AA46">V45</f>
        <v>0</v>
      </c>
      <c r="W46" s="188">
        <f t="shared" si="3"/>
        <v>0</v>
      </c>
      <c r="X46" s="188">
        <f t="shared" si="3"/>
        <v>0</v>
      </c>
      <c r="Y46" s="188">
        <f t="shared" si="3"/>
        <v>0</v>
      </c>
      <c r="Z46" s="188">
        <f t="shared" si="3"/>
        <v>54.6</v>
      </c>
      <c r="AA46" s="188">
        <f t="shared" si="3"/>
        <v>54.6</v>
      </c>
      <c r="AB46" s="636"/>
      <c r="AC46" s="679"/>
      <c r="AD46" s="679"/>
      <c r="AE46" s="680"/>
      <c r="AH46" s="10"/>
    </row>
    <row r="47" spans="1:34" ht="31.5" customHeight="1">
      <c r="A47" s="141" t="s">
        <v>11</v>
      </c>
      <c r="B47" s="225" t="s">
        <v>11</v>
      </c>
      <c r="C47" s="442" t="s">
        <v>70</v>
      </c>
      <c r="D47" s="487" t="s">
        <v>92</v>
      </c>
      <c r="E47" s="490"/>
      <c r="F47" s="459" t="s">
        <v>11</v>
      </c>
      <c r="G47" s="496" t="s">
        <v>12</v>
      </c>
      <c r="H47" s="459" t="s">
        <v>123</v>
      </c>
      <c r="I47" s="314" t="s">
        <v>106</v>
      </c>
      <c r="J47" s="231">
        <f>49.4-4.9</f>
        <v>44.5</v>
      </c>
      <c r="K47" s="232">
        <f>49.4-4.9</f>
        <v>44.5</v>
      </c>
      <c r="L47" s="232">
        <f>37.1-3.7</f>
        <v>33.4</v>
      </c>
      <c r="M47" s="184"/>
      <c r="N47" s="6">
        <v>52.5</v>
      </c>
      <c r="O47" s="7">
        <v>52.5</v>
      </c>
      <c r="P47" s="7">
        <v>40.1</v>
      </c>
      <c r="Q47" s="180">
        <v>0</v>
      </c>
      <c r="R47" s="211">
        <v>52.5</v>
      </c>
      <c r="S47" s="68">
        <v>52.5</v>
      </c>
      <c r="T47" s="68">
        <v>40.1</v>
      </c>
      <c r="U47" s="212">
        <v>0</v>
      </c>
      <c r="V47" s="6">
        <v>0</v>
      </c>
      <c r="W47" s="7">
        <v>0</v>
      </c>
      <c r="X47" s="7"/>
      <c r="Y47" s="180">
        <v>0</v>
      </c>
      <c r="Z47" s="192">
        <v>52.5</v>
      </c>
      <c r="AA47" s="19">
        <v>52.5</v>
      </c>
      <c r="AB47" s="657"/>
      <c r="AC47" s="545"/>
      <c r="AD47" s="545"/>
      <c r="AE47" s="666"/>
      <c r="AH47" s="10"/>
    </row>
    <row r="48" spans="1:34" ht="18.75" customHeight="1" thickBot="1">
      <c r="A48" s="143"/>
      <c r="B48" s="226"/>
      <c r="C48" s="486"/>
      <c r="D48" s="489"/>
      <c r="E48" s="492"/>
      <c r="F48" s="461"/>
      <c r="G48" s="497"/>
      <c r="H48" s="461"/>
      <c r="I48" s="153" t="s">
        <v>13</v>
      </c>
      <c r="J48" s="202">
        <f aca="true" t="shared" si="4" ref="J48:O48">J47</f>
        <v>44.5</v>
      </c>
      <c r="K48" s="29">
        <f t="shared" si="4"/>
        <v>44.5</v>
      </c>
      <c r="L48" s="29">
        <f t="shared" si="4"/>
        <v>33.4</v>
      </c>
      <c r="M48" s="203">
        <f t="shared" si="4"/>
        <v>0</v>
      </c>
      <c r="N48" s="199">
        <f t="shared" si="4"/>
        <v>52.5</v>
      </c>
      <c r="O48" s="29">
        <f t="shared" si="4"/>
        <v>52.5</v>
      </c>
      <c r="P48" s="29">
        <f>SUM(P47)</f>
        <v>40.1</v>
      </c>
      <c r="Q48" s="208">
        <f>Q47</f>
        <v>0</v>
      </c>
      <c r="R48" s="202">
        <f>R47</f>
        <v>52.5</v>
      </c>
      <c r="S48" s="29">
        <f>S47</f>
        <v>52.5</v>
      </c>
      <c r="T48" s="29">
        <f>SUM(T47)</f>
        <v>40.1</v>
      </c>
      <c r="U48" s="203">
        <f>U47</f>
        <v>0</v>
      </c>
      <c r="V48" s="203">
        <f aca="true" t="shared" si="5" ref="V48:AA48">V47</f>
        <v>0</v>
      </c>
      <c r="W48" s="203">
        <f t="shared" si="5"/>
        <v>0</v>
      </c>
      <c r="X48" s="203">
        <f t="shared" si="5"/>
        <v>0</v>
      </c>
      <c r="Y48" s="203">
        <f t="shared" si="5"/>
        <v>0</v>
      </c>
      <c r="Z48" s="203">
        <f t="shared" si="5"/>
        <v>52.5</v>
      </c>
      <c r="AA48" s="203">
        <f t="shared" si="5"/>
        <v>52.5</v>
      </c>
      <c r="AB48" s="654"/>
      <c r="AC48" s="634"/>
      <c r="AD48" s="634"/>
      <c r="AE48" s="681"/>
      <c r="AH48" s="10"/>
    </row>
    <row r="49" spans="1:34" ht="20.25" customHeight="1">
      <c r="A49" s="141" t="s">
        <v>11</v>
      </c>
      <c r="B49" s="225" t="s">
        <v>11</v>
      </c>
      <c r="C49" s="442" t="s">
        <v>71</v>
      </c>
      <c r="D49" s="487" t="s">
        <v>93</v>
      </c>
      <c r="E49" s="490"/>
      <c r="F49" s="459" t="s">
        <v>65</v>
      </c>
      <c r="G49" s="496" t="s">
        <v>12</v>
      </c>
      <c r="H49" s="459" t="s">
        <v>123</v>
      </c>
      <c r="I49" s="239" t="s">
        <v>115</v>
      </c>
      <c r="J49" s="247">
        <v>47.9</v>
      </c>
      <c r="K49" s="248">
        <v>47.9</v>
      </c>
      <c r="L49" s="7"/>
      <c r="M49" s="184"/>
      <c r="N49" s="6"/>
      <c r="O49" s="7"/>
      <c r="P49" s="7"/>
      <c r="Q49" s="180"/>
      <c r="R49" s="211"/>
      <c r="S49" s="68"/>
      <c r="T49" s="68"/>
      <c r="U49" s="212"/>
      <c r="V49" s="6"/>
      <c r="W49" s="7"/>
      <c r="X49" s="7"/>
      <c r="Y49" s="180"/>
      <c r="Z49" s="192"/>
      <c r="AA49" s="19"/>
      <c r="AB49" s="653"/>
      <c r="AC49" s="14"/>
      <c r="AD49" s="14"/>
      <c r="AE49" s="139"/>
      <c r="AH49" s="10"/>
    </row>
    <row r="50" spans="1:34" ht="18" customHeight="1" thickBot="1">
      <c r="A50" s="143"/>
      <c r="B50" s="226"/>
      <c r="C50" s="486"/>
      <c r="D50" s="489"/>
      <c r="E50" s="492"/>
      <c r="F50" s="461"/>
      <c r="G50" s="497"/>
      <c r="H50" s="461"/>
      <c r="I50" s="196" t="s">
        <v>13</v>
      </c>
      <c r="J50" s="416">
        <f>J49</f>
        <v>47.9</v>
      </c>
      <c r="K50" s="417">
        <f aca="true" t="shared" si="6" ref="K50:AA50">K49</f>
        <v>47.9</v>
      </c>
      <c r="L50" s="417">
        <f t="shared" si="6"/>
        <v>0</v>
      </c>
      <c r="M50" s="418">
        <f t="shared" si="6"/>
        <v>0</v>
      </c>
      <c r="N50" s="416">
        <f t="shared" si="6"/>
        <v>0</v>
      </c>
      <c r="O50" s="417">
        <f t="shared" si="6"/>
        <v>0</v>
      </c>
      <c r="P50" s="417">
        <f t="shared" si="6"/>
        <v>0</v>
      </c>
      <c r="Q50" s="418">
        <f t="shared" si="6"/>
        <v>0</v>
      </c>
      <c r="R50" s="416">
        <f t="shared" si="6"/>
        <v>0</v>
      </c>
      <c r="S50" s="417">
        <f t="shared" si="6"/>
        <v>0</v>
      </c>
      <c r="T50" s="417">
        <f t="shared" si="6"/>
        <v>0</v>
      </c>
      <c r="U50" s="418">
        <f t="shared" si="6"/>
        <v>0</v>
      </c>
      <c r="V50" s="250">
        <f t="shared" si="6"/>
        <v>0</v>
      </c>
      <c r="W50" s="250">
        <f t="shared" si="6"/>
        <v>0</v>
      </c>
      <c r="X50" s="250">
        <f t="shared" si="6"/>
        <v>0</v>
      </c>
      <c r="Y50" s="250">
        <f t="shared" si="6"/>
        <v>0</v>
      </c>
      <c r="Z50" s="250">
        <f t="shared" si="6"/>
        <v>0</v>
      </c>
      <c r="AA50" s="250">
        <f t="shared" si="6"/>
        <v>0</v>
      </c>
      <c r="AB50" s="654"/>
      <c r="AC50" s="31"/>
      <c r="AD50" s="33"/>
      <c r="AE50" s="140"/>
      <c r="AH50" s="10"/>
    </row>
    <row r="51" spans="1:34" ht="38.25" customHeight="1">
      <c r="A51" s="141" t="s">
        <v>11</v>
      </c>
      <c r="B51" s="225" t="s">
        <v>11</v>
      </c>
      <c r="C51" s="442" t="s">
        <v>72</v>
      </c>
      <c r="D51" s="487" t="s">
        <v>120</v>
      </c>
      <c r="E51" s="490"/>
      <c r="F51" s="459" t="s">
        <v>65</v>
      </c>
      <c r="G51" s="496" t="s">
        <v>12</v>
      </c>
      <c r="H51" s="459" t="s">
        <v>123</v>
      </c>
      <c r="I51" s="276" t="s">
        <v>106</v>
      </c>
      <c r="J51" s="231">
        <f>6211.9+10</f>
        <v>6221.9</v>
      </c>
      <c r="K51" s="232">
        <f>6211.9+10</f>
        <v>6221.9</v>
      </c>
      <c r="L51" s="7"/>
      <c r="M51" s="184">
        <v>0</v>
      </c>
      <c r="N51" s="183">
        <f>8365.4+14</f>
        <v>8379.4</v>
      </c>
      <c r="O51" s="7">
        <f>8365.4+14</f>
        <v>8379.4</v>
      </c>
      <c r="P51" s="7"/>
      <c r="Q51" s="184">
        <v>0</v>
      </c>
      <c r="R51" s="211">
        <v>8678.9</v>
      </c>
      <c r="S51" s="68">
        <v>8678.9</v>
      </c>
      <c r="T51" s="68"/>
      <c r="U51" s="212">
        <v>0</v>
      </c>
      <c r="V51" s="6">
        <v>0</v>
      </c>
      <c r="W51" s="7">
        <v>0</v>
      </c>
      <c r="X51" s="7"/>
      <c r="Y51" s="180">
        <v>0</v>
      </c>
      <c r="Z51" s="192">
        <f>8600+14</f>
        <v>8614</v>
      </c>
      <c r="AA51" s="19">
        <f>8600+14</f>
        <v>8614</v>
      </c>
      <c r="AB51" s="221" t="s">
        <v>121</v>
      </c>
      <c r="AC51" s="277">
        <v>13.1</v>
      </c>
      <c r="AD51" s="277">
        <v>13.5</v>
      </c>
      <c r="AE51" s="278">
        <v>13.5</v>
      </c>
      <c r="AH51" s="10"/>
    </row>
    <row r="52" spans="1:34" ht="18" customHeight="1">
      <c r="A52" s="130"/>
      <c r="B52" s="147"/>
      <c r="C52" s="505"/>
      <c r="D52" s="488"/>
      <c r="E52" s="525"/>
      <c r="F52" s="528"/>
      <c r="G52" s="530"/>
      <c r="H52" s="528"/>
      <c r="I52" s="275" t="s">
        <v>106</v>
      </c>
      <c r="J52" s="247">
        <v>2151.8</v>
      </c>
      <c r="K52" s="248">
        <v>2151.8</v>
      </c>
      <c r="L52" s="257"/>
      <c r="M52" s="258"/>
      <c r="N52" s="434">
        <v>2446.1</v>
      </c>
      <c r="O52" s="257">
        <v>2446.1</v>
      </c>
      <c r="P52" s="257"/>
      <c r="Q52" s="258"/>
      <c r="R52" s="261">
        <v>2146.6</v>
      </c>
      <c r="S52" s="262">
        <v>2146.6</v>
      </c>
      <c r="T52" s="262"/>
      <c r="U52" s="263"/>
      <c r="V52" s="259"/>
      <c r="W52" s="257"/>
      <c r="X52" s="257"/>
      <c r="Y52" s="260"/>
      <c r="Z52" s="264">
        <v>2496</v>
      </c>
      <c r="AA52" s="265">
        <v>2496</v>
      </c>
      <c r="AB52" s="695" t="s">
        <v>122</v>
      </c>
      <c r="AC52" s="9">
        <v>172</v>
      </c>
      <c r="AD52" s="9">
        <v>200</v>
      </c>
      <c r="AE52" s="131">
        <v>200</v>
      </c>
      <c r="AH52" s="10"/>
    </row>
    <row r="53" spans="1:34" ht="15" customHeight="1">
      <c r="A53" s="130"/>
      <c r="B53" s="147"/>
      <c r="C53" s="505"/>
      <c r="D53" s="488"/>
      <c r="E53" s="525"/>
      <c r="F53" s="528"/>
      <c r="G53" s="530"/>
      <c r="H53" s="528"/>
      <c r="I53" s="239" t="s">
        <v>115</v>
      </c>
      <c r="J53" s="247">
        <v>1645.6</v>
      </c>
      <c r="K53" s="248">
        <v>1645.6</v>
      </c>
      <c r="L53" s="257"/>
      <c r="M53" s="258"/>
      <c r="N53" s="434"/>
      <c r="O53" s="257"/>
      <c r="P53" s="257"/>
      <c r="Q53" s="258"/>
      <c r="R53" s="261"/>
      <c r="S53" s="262"/>
      <c r="T53" s="262"/>
      <c r="U53" s="263"/>
      <c r="V53" s="259"/>
      <c r="W53" s="257"/>
      <c r="X53" s="257"/>
      <c r="Y53" s="260"/>
      <c r="Z53" s="264"/>
      <c r="AA53" s="265"/>
      <c r="AB53" s="695"/>
      <c r="AC53" s="9"/>
      <c r="AD53" s="9"/>
      <c r="AE53" s="131"/>
      <c r="AH53" s="10"/>
    </row>
    <row r="54" spans="1:34" ht="14.25" customHeight="1">
      <c r="A54" s="130"/>
      <c r="B54" s="147"/>
      <c r="C54" s="443"/>
      <c r="D54" s="488"/>
      <c r="E54" s="491"/>
      <c r="F54" s="460"/>
      <c r="G54" s="530"/>
      <c r="H54" s="460"/>
      <c r="I54" s="239" t="s">
        <v>116</v>
      </c>
      <c r="J54" s="236">
        <v>432.7</v>
      </c>
      <c r="K54" s="237">
        <v>432.7</v>
      </c>
      <c r="L54" s="56"/>
      <c r="M54" s="201"/>
      <c r="N54" s="200"/>
      <c r="O54" s="56"/>
      <c r="P54" s="56"/>
      <c r="Q54" s="201"/>
      <c r="R54" s="311"/>
      <c r="S54" s="312"/>
      <c r="T54" s="57"/>
      <c r="U54" s="214"/>
      <c r="V54" s="198"/>
      <c r="W54" s="56"/>
      <c r="X54" s="56"/>
      <c r="Y54" s="207"/>
      <c r="Z54" s="218"/>
      <c r="AA54" s="215"/>
      <c r="AB54" s="696" t="s">
        <v>226</v>
      </c>
      <c r="AC54" s="394">
        <v>5</v>
      </c>
      <c r="AD54" s="394">
        <v>5</v>
      </c>
      <c r="AE54" s="395">
        <v>5</v>
      </c>
      <c r="AH54" s="10"/>
    </row>
    <row r="55" spans="1:34" ht="14.25" customHeight="1" thickBot="1">
      <c r="A55" s="143"/>
      <c r="B55" s="226"/>
      <c r="C55" s="486"/>
      <c r="D55" s="489"/>
      <c r="E55" s="492"/>
      <c r="F55" s="461"/>
      <c r="G55" s="497"/>
      <c r="H55" s="461"/>
      <c r="I55" s="196" t="s">
        <v>13</v>
      </c>
      <c r="J55" s="202">
        <f>J51+J54+J52+J53</f>
        <v>10452</v>
      </c>
      <c r="K55" s="202">
        <f aca="true" t="shared" si="7" ref="K55:AA55">K51+K54+K52+K53</f>
        <v>10452</v>
      </c>
      <c r="L55" s="202">
        <f t="shared" si="7"/>
        <v>0</v>
      </c>
      <c r="M55" s="202">
        <f t="shared" si="7"/>
        <v>0</v>
      </c>
      <c r="N55" s="202">
        <f>N51+N54+N52+N53</f>
        <v>10825.5</v>
      </c>
      <c r="O55" s="29">
        <f>O51+O54+O52+O53</f>
        <v>10825.5</v>
      </c>
      <c r="P55" s="29">
        <f t="shared" si="7"/>
        <v>0</v>
      </c>
      <c r="Q55" s="203">
        <f t="shared" si="7"/>
        <v>0</v>
      </c>
      <c r="R55" s="202">
        <f t="shared" si="7"/>
        <v>10825.5</v>
      </c>
      <c r="S55" s="202">
        <f t="shared" si="7"/>
        <v>10825.5</v>
      </c>
      <c r="T55" s="202">
        <f t="shared" si="7"/>
        <v>0</v>
      </c>
      <c r="U55" s="219">
        <f t="shared" si="7"/>
        <v>0</v>
      </c>
      <c r="V55" s="199">
        <f t="shared" si="7"/>
        <v>0</v>
      </c>
      <c r="W55" s="202">
        <f t="shared" si="7"/>
        <v>0</v>
      </c>
      <c r="X55" s="202">
        <f t="shared" si="7"/>
        <v>0</v>
      </c>
      <c r="Y55" s="202">
        <f t="shared" si="7"/>
        <v>0</v>
      </c>
      <c r="Z55" s="202">
        <f t="shared" si="7"/>
        <v>11110</v>
      </c>
      <c r="AA55" s="202">
        <f t="shared" si="7"/>
        <v>11110</v>
      </c>
      <c r="AB55" s="697"/>
      <c r="AC55" s="286"/>
      <c r="AD55" s="286"/>
      <c r="AE55" s="288"/>
      <c r="AH55" s="10"/>
    </row>
    <row r="56" spans="1:34" ht="14.25" customHeight="1">
      <c r="A56" s="141" t="s">
        <v>11</v>
      </c>
      <c r="B56" s="225" t="s">
        <v>11</v>
      </c>
      <c r="C56" s="442" t="s">
        <v>73</v>
      </c>
      <c r="D56" s="487" t="s">
        <v>94</v>
      </c>
      <c r="E56" s="490"/>
      <c r="F56" s="459" t="s">
        <v>65</v>
      </c>
      <c r="G56" s="496" t="s">
        <v>12</v>
      </c>
      <c r="H56" s="459" t="s">
        <v>123</v>
      </c>
      <c r="I56" s="229" t="s">
        <v>106</v>
      </c>
      <c r="J56" s="234">
        <v>305.5</v>
      </c>
      <c r="K56" s="235">
        <v>305.5</v>
      </c>
      <c r="L56" s="235">
        <f>132.7-5.1</f>
        <v>127.6</v>
      </c>
      <c r="M56" s="184"/>
      <c r="N56" s="183">
        <v>432.8</v>
      </c>
      <c r="O56" s="7">
        <v>432.8</v>
      </c>
      <c r="P56" s="403">
        <v>264</v>
      </c>
      <c r="Q56" s="184">
        <v>0</v>
      </c>
      <c r="R56" s="211">
        <v>432.8</v>
      </c>
      <c r="S56" s="68">
        <v>432.8</v>
      </c>
      <c r="T56" s="68">
        <v>264</v>
      </c>
      <c r="U56" s="212">
        <v>0</v>
      </c>
      <c r="V56" s="6">
        <v>0</v>
      </c>
      <c r="W56" s="7">
        <v>0</v>
      </c>
      <c r="X56" s="7"/>
      <c r="Y56" s="180">
        <v>0</v>
      </c>
      <c r="Z56" s="192">
        <v>347.3</v>
      </c>
      <c r="AA56" s="19">
        <v>347.3</v>
      </c>
      <c r="AB56" s="697"/>
      <c r="AC56" s="286"/>
      <c r="AD56" s="286"/>
      <c r="AE56" s="288"/>
      <c r="AH56" s="10"/>
    </row>
    <row r="57" spans="1:34" ht="14.25" customHeight="1">
      <c r="A57" s="130"/>
      <c r="B57" s="147"/>
      <c r="C57" s="505"/>
      <c r="D57" s="488"/>
      <c r="E57" s="525"/>
      <c r="F57" s="528"/>
      <c r="G57" s="530"/>
      <c r="H57" s="528"/>
      <c r="I57" s="239" t="s">
        <v>115</v>
      </c>
      <c r="J57" s="251">
        <v>65.8</v>
      </c>
      <c r="K57" s="252">
        <v>65.8</v>
      </c>
      <c r="L57" s="252"/>
      <c r="M57" s="258"/>
      <c r="N57" s="434"/>
      <c r="O57" s="257"/>
      <c r="P57" s="404"/>
      <c r="Q57" s="258"/>
      <c r="R57" s="261"/>
      <c r="S57" s="262"/>
      <c r="T57" s="262"/>
      <c r="U57" s="263"/>
      <c r="V57" s="259"/>
      <c r="W57" s="257"/>
      <c r="X57" s="257"/>
      <c r="Y57" s="260"/>
      <c r="Z57" s="264"/>
      <c r="AA57" s="265"/>
      <c r="AB57" s="697"/>
      <c r="AC57" s="286"/>
      <c r="AD57" s="286"/>
      <c r="AE57" s="288"/>
      <c r="AH57" s="10"/>
    </row>
    <row r="58" spans="1:34" ht="14.25" customHeight="1">
      <c r="A58" s="130"/>
      <c r="B58" s="147"/>
      <c r="C58" s="443"/>
      <c r="D58" s="488"/>
      <c r="E58" s="491"/>
      <c r="F58" s="460"/>
      <c r="G58" s="530"/>
      <c r="H58" s="460"/>
      <c r="I58" s="239" t="s">
        <v>116</v>
      </c>
      <c r="J58" s="253">
        <v>17.3</v>
      </c>
      <c r="K58" s="254">
        <v>17.3</v>
      </c>
      <c r="L58" s="56"/>
      <c r="M58" s="201"/>
      <c r="N58" s="200"/>
      <c r="O58" s="56"/>
      <c r="P58" s="56"/>
      <c r="Q58" s="201"/>
      <c r="R58" s="213"/>
      <c r="S58" s="57"/>
      <c r="T58" s="57"/>
      <c r="U58" s="214"/>
      <c r="V58" s="198"/>
      <c r="W58" s="56"/>
      <c r="X58" s="56"/>
      <c r="Y58" s="207"/>
      <c r="Z58" s="218"/>
      <c r="AA58" s="215"/>
      <c r="AB58" s="657"/>
      <c r="AC58" s="286"/>
      <c r="AD58" s="286"/>
      <c r="AE58" s="288"/>
      <c r="AH58" s="10"/>
    </row>
    <row r="59" spans="1:34" ht="14.25" customHeight="1" thickBot="1">
      <c r="A59" s="143"/>
      <c r="B59" s="226"/>
      <c r="C59" s="486"/>
      <c r="D59" s="489"/>
      <c r="E59" s="492"/>
      <c r="F59" s="461"/>
      <c r="G59" s="497"/>
      <c r="H59" s="461"/>
      <c r="I59" s="196" t="s">
        <v>13</v>
      </c>
      <c r="J59" s="202">
        <f>J56+J58+J57</f>
        <v>388.6</v>
      </c>
      <c r="K59" s="29">
        <f aca="true" t="shared" si="8" ref="K59:AA59">K56+K58+K57</f>
        <v>388.6</v>
      </c>
      <c r="L59" s="29">
        <f t="shared" si="8"/>
        <v>127.6</v>
      </c>
      <c r="M59" s="203">
        <f t="shared" si="8"/>
        <v>0</v>
      </c>
      <c r="N59" s="202">
        <f t="shared" si="8"/>
        <v>432.8</v>
      </c>
      <c r="O59" s="29">
        <f t="shared" si="8"/>
        <v>432.8</v>
      </c>
      <c r="P59" s="29">
        <f t="shared" si="8"/>
        <v>264</v>
      </c>
      <c r="Q59" s="203">
        <f t="shared" si="8"/>
        <v>0</v>
      </c>
      <c r="R59" s="187">
        <f t="shared" si="8"/>
        <v>432.8</v>
      </c>
      <c r="S59" s="11">
        <f t="shared" si="8"/>
        <v>432.8</v>
      </c>
      <c r="T59" s="11">
        <f t="shared" si="8"/>
        <v>264</v>
      </c>
      <c r="U59" s="188">
        <f t="shared" si="8"/>
        <v>0</v>
      </c>
      <c r="V59" s="199">
        <f t="shared" si="8"/>
        <v>0</v>
      </c>
      <c r="W59" s="202">
        <f t="shared" si="8"/>
        <v>0</v>
      </c>
      <c r="X59" s="202">
        <f t="shared" si="8"/>
        <v>0</v>
      </c>
      <c r="Y59" s="202">
        <f t="shared" si="8"/>
        <v>0</v>
      </c>
      <c r="Z59" s="202">
        <f t="shared" si="8"/>
        <v>347.3</v>
      </c>
      <c r="AA59" s="202">
        <f t="shared" si="8"/>
        <v>347.3</v>
      </c>
      <c r="AB59" s="393"/>
      <c r="AC59" s="287"/>
      <c r="AD59" s="287"/>
      <c r="AE59" s="289"/>
      <c r="AH59" s="10"/>
    </row>
    <row r="60" spans="1:34" ht="14.25" customHeight="1">
      <c r="A60" s="141" t="s">
        <v>11</v>
      </c>
      <c r="B60" s="225" t="s">
        <v>11</v>
      </c>
      <c r="C60" s="442" t="s">
        <v>74</v>
      </c>
      <c r="D60" s="487" t="s">
        <v>95</v>
      </c>
      <c r="E60" s="490"/>
      <c r="F60" s="459" t="s">
        <v>65</v>
      </c>
      <c r="G60" s="496" t="s">
        <v>12</v>
      </c>
      <c r="H60" s="459" t="s">
        <v>123</v>
      </c>
      <c r="I60" s="276" t="s">
        <v>106</v>
      </c>
      <c r="J60" s="253">
        <f>K60</f>
        <v>662.5</v>
      </c>
      <c r="K60" s="254">
        <v>662.5</v>
      </c>
      <c r="L60" s="254"/>
      <c r="M60" s="184"/>
      <c r="N60" s="183">
        <v>1269.5</v>
      </c>
      <c r="O60" s="7">
        <v>1269.5</v>
      </c>
      <c r="P60" s="7"/>
      <c r="Q60" s="184">
        <v>0</v>
      </c>
      <c r="R60" s="211">
        <v>1269.5</v>
      </c>
      <c r="S60" s="68">
        <v>1269.5</v>
      </c>
      <c r="T60" s="68"/>
      <c r="U60" s="212">
        <v>0</v>
      </c>
      <c r="V60" s="6">
        <v>0</v>
      </c>
      <c r="W60" s="7">
        <v>0</v>
      </c>
      <c r="X60" s="7"/>
      <c r="Y60" s="180">
        <v>0</v>
      </c>
      <c r="Z60" s="192">
        <v>1347.8</v>
      </c>
      <c r="AA60" s="19">
        <v>1347.8</v>
      </c>
      <c r="AB60" s="653" t="s">
        <v>124</v>
      </c>
      <c r="AC60" s="14">
        <v>118</v>
      </c>
      <c r="AD60" s="14">
        <v>120</v>
      </c>
      <c r="AE60" s="139">
        <v>120</v>
      </c>
      <c r="AH60" s="10"/>
    </row>
    <row r="61" spans="1:34" ht="14.25" customHeight="1">
      <c r="A61" s="130"/>
      <c r="B61" s="147"/>
      <c r="C61" s="505"/>
      <c r="D61" s="488"/>
      <c r="E61" s="525"/>
      <c r="F61" s="528"/>
      <c r="G61" s="530"/>
      <c r="H61" s="460"/>
      <c r="I61" s="239" t="s">
        <v>106</v>
      </c>
      <c r="J61" s="253">
        <f>112.3-112.3</f>
        <v>0</v>
      </c>
      <c r="K61" s="254">
        <f>112.3-112.3</f>
        <v>0</v>
      </c>
      <c r="L61" s="254">
        <f>73-73</f>
        <v>0</v>
      </c>
      <c r="M61" s="258"/>
      <c r="N61" s="434">
        <v>112.3</v>
      </c>
      <c r="O61" s="257">
        <v>112.3</v>
      </c>
      <c r="P61" s="257">
        <v>43.1</v>
      </c>
      <c r="Q61" s="258"/>
      <c r="R61" s="261">
        <v>112.3</v>
      </c>
      <c r="S61" s="262">
        <v>112.3</v>
      </c>
      <c r="T61" s="262">
        <v>43.1</v>
      </c>
      <c r="U61" s="263"/>
      <c r="V61" s="259"/>
      <c r="W61" s="257"/>
      <c r="X61" s="257"/>
      <c r="Y61" s="260"/>
      <c r="Z61" s="264">
        <v>292</v>
      </c>
      <c r="AA61" s="265">
        <v>292</v>
      </c>
      <c r="AB61" s="657"/>
      <c r="AC61" s="9">
        <v>10</v>
      </c>
      <c r="AD61" s="266">
        <v>26</v>
      </c>
      <c r="AE61" s="131">
        <v>26</v>
      </c>
      <c r="AH61" s="10"/>
    </row>
    <row r="62" spans="1:34" ht="13.5" customHeight="1">
      <c r="A62" s="130"/>
      <c r="B62" s="147"/>
      <c r="C62" s="505"/>
      <c r="D62" s="488"/>
      <c r="E62" s="525"/>
      <c r="F62" s="528"/>
      <c r="G62" s="530"/>
      <c r="H62" s="460"/>
      <c r="I62" s="279" t="s">
        <v>106</v>
      </c>
      <c r="J62" s="253">
        <f>258.3-34</f>
        <v>224.3</v>
      </c>
      <c r="K62" s="254">
        <f>258.3-34</f>
        <v>224.3</v>
      </c>
      <c r="L62" s="254">
        <v>113.7</v>
      </c>
      <c r="M62" s="258"/>
      <c r="N62" s="434">
        <v>140</v>
      </c>
      <c r="O62" s="257">
        <v>140</v>
      </c>
      <c r="P62" s="257">
        <v>96.4</v>
      </c>
      <c r="Q62" s="258"/>
      <c r="R62" s="261">
        <v>140</v>
      </c>
      <c r="S62" s="262">
        <v>140</v>
      </c>
      <c r="T62" s="262">
        <v>96.4</v>
      </c>
      <c r="U62" s="263"/>
      <c r="V62" s="259"/>
      <c r="W62" s="257"/>
      <c r="X62" s="257"/>
      <c r="Y62" s="260"/>
      <c r="Z62" s="264">
        <v>186</v>
      </c>
      <c r="AA62" s="265">
        <v>186</v>
      </c>
      <c r="AB62" s="657"/>
      <c r="AC62" s="9">
        <v>25</v>
      </c>
      <c r="AD62" s="266">
        <v>25</v>
      </c>
      <c r="AE62" s="131">
        <v>25</v>
      </c>
      <c r="AH62" s="10"/>
    </row>
    <row r="63" spans="1:34" ht="14.25" customHeight="1">
      <c r="A63" s="130"/>
      <c r="B63" s="147"/>
      <c r="C63" s="505"/>
      <c r="D63" s="488"/>
      <c r="E63" s="525"/>
      <c r="F63" s="528"/>
      <c r="G63" s="530"/>
      <c r="H63" s="460"/>
      <c r="I63" s="256" t="s">
        <v>106</v>
      </c>
      <c r="J63" s="253">
        <v>247.1</v>
      </c>
      <c r="K63" s="254">
        <v>247.1</v>
      </c>
      <c r="L63" s="254">
        <v>152.1</v>
      </c>
      <c r="M63" s="258"/>
      <c r="N63" s="434">
        <v>258.3</v>
      </c>
      <c r="O63" s="257">
        <v>258.3</v>
      </c>
      <c r="P63" s="257">
        <v>140.9</v>
      </c>
      <c r="Q63" s="258"/>
      <c r="R63" s="261">
        <v>258.3</v>
      </c>
      <c r="S63" s="262">
        <v>258.3</v>
      </c>
      <c r="T63" s="262">
        <v>140.9</v>
      </c>
      <c r="U63" s="263"/>
      <c r="V63" s="259"/>
      <c r="W63" s="257"/>
      <c r="X63" s="257"/>
      <c r="Y63" s="260"/>
      <c r="Z63" s="264">
        <v>255</v>
      </c>
      <c r="AA63" s="265">
        <v>255</v>
      </c>
      <c r="AB63" s="657"/>
      <c r="AC63" s="9">
        <v>23</v>
      </c>
      <c r="AD63" s="266">
        <v>23</v>
      </c>
      <c r="AE63" s="131">
        <v>23</v>
      </c>
      <c r="AH63" s="10"/>
    </row>
    <row r="64" spans="1:34" ht="14.25" customHeight="1" thickBot="1">
      <c r="A64" s="143"/>
      <c r="B64" s="226"/>
      <c r="C64" s="486"/>
      <c r="D64" s="489"/>
      <c r="E64" s="492"/>
      <c r="F64" s="461"/>
      <c r="G64" s="497"/>
      <c r="H64" s="461"/>
      <c r="I64" s="196" t="s">
        <v>13</v>
      </c>
      <c r="J64" s="202">
        <f>J60+J61+J62+J63</f>
        <v>1133.8999999999999</v>
      </c>
      <c r="K64" s="29">
        <f aca="true" t="shared" si="9" ref="K64:U64">K60+K61+K62+K63</f>
        <v>1133.8999999999999</v>
      </c>
      <c r="L64" s="29">
        <f t="shared" si="9"/>
        <v>265.8</v>
      </c>
      <c r="M64" s="203">
        <f t="shared" si="9"/>
        <v>0</v>
      </c>
      <c r="N64" s="187">
        <f>N60+N61+N62+N63</f>
        <v>1780.1</v>
      </c>
      <c r="O64" s="11">
        <f t="shared" si="9"/>
        <v>1780.1</v>
      </c>
      <c r="P64" s="11">
        <f>P60+P61+P62+P63</f>
        <v>280.4</v>
      </c>
      <c r="Q64" s="188">
        <f t="shared" si="9"/>
        <v>0</v>
      </c>
      <c r="R64" s="187">
        <f t="shared" si="9"/>
        <v>1780.1</v>
      </c>
      <c r="S64" s="11">
        <f t="shared" si="9"/>
        <v>1780.1</v>
      </c>
      <c r="T64" s="11">
        <f>T60+T61+T62+T63</f>
        <v>280.4</v>
      </c>
      <c r="U64" s="188">
        <f t="shared" si="9"/>
        <v>0</v>
      </c>
      <c r="V64" s="199">
        <f>V60</f>
        <v>0</v>
      </c>
      <c r="W64" s="29">
        <f>W60</f>
        <v>0</v>
      </c>
      <c r="X64" s="29"/>
      <c r="Y64" s="208">
        <f>Y60</f>
        <v>0</v>
      </c>
      <c r="Z64" s="219">
        <f>Z60+Z61+Z62+Z63</f>
        <v>2080.8</v>
      </c>
      <c r="AA64" s="219">
        <f>AA60+AA61+AA62+AA63</f>
        <v>2080.8</v>
      </c>
      <c r="AB64" s="227"/>
      <c r="AC64" s="31"/>
      <c r="AD64" s="33"/>
      <c r="AE64" s="140"/>
      <c r="AH64" s="10"/>
    </row>
    <row r="65" spans="1:34" ht="27.75" customHeight="1" thickBot="1">
      <c r="A65" s="141" t="s">
        <v>11</v>
      </c>
      <c r="B65" s="225" t="s">
        <v>11</v>
      </c>
      <c r="C65" s="442" t="s">
        <v>75</v>
      </c>
      <c r="D65" s="487" t="s">
        <v>96</v>
      </c>
      <c r="E65" s="490"/>
      <c r="F65" s="459" t="s">
        <v>65</v>
      </c>
      <c r="G65" s="496" t="s">
        <v>12</v>
      </c>
      <c r="H65" s="459" t="s">
        <v>123</v>
      </c>
      <c r="I65" s="229" t="s">
        <v>106</v>
      </c>
      <c r="J65" s="398">
        <f>K65</f>
        <v>349.8</v>
      </c>
      <c r="K65" s="399">
        <f>394.9-5.9-39.2</f>
        <v>349.8</v>
      </c>
      <c r="L65" s="399">
        <f>301.5-4.5-29.4</f>
        <v>267.6</v>
      </c>
      <c r="M65" s="267"/>
      <c r="N65" s="183">
        <v>349</v>
      </c>
      <c r="O65" s="7">
        <v>349</v>
      </c>
      <c r="P65" s="7">
        <v>266.5</v>
      </c>
      <c r="Q65" s="184">
        <v>0</v>
      </c>
      <c r="R65" s="211">
        <v>349</v>
      </c>
      <c r="S65" s="68">
        <v>349</v>
      </c>
      <c r="T65" s="68">
        <v>266.5</v>
      </c>
      <c r="U65" s="212">
        <v>0</v>
      </c>
      <c r="V65" s="6">
        <v>0</v>
      </c>
      <c r="W65" s="7">
        <v>0</v>
      </c>
      <c r="X65" s="7"/>
      <c r="Y65" s="180">
        <v>0</v>
      </c>
      <c r="Z65" s="192">
        <v>380.2</v>
      </c>
      <c r="AA65" s="19">
        <v>380.2</v>
      </c>
      <c r="AB65" s="653" t="s">
        <v>227</v>
      </c>
      <c r="AC65" s="14">
        <v>14</v>
      </c>
      <c r="AD65" s="14">
        <v>14</v>
      </c>
      <c r="AE65" s="139">
        <v>14</v>
      </c>
      <c r="AH65" s="10"/>
    </row>
    <row r="66" spans="1:34" ht="18" customHeight="1" thickBot="1">
      <c r="A66" s="143"/>
      <c r="B66" s="226"/>
      <c r="C66" s="486"/>
      <c r="D66" s="489"/>
      <c r="E66" s="492"/>
      <c r="F66" s="461"/>
      <c r="G66" s="497"/>
      <c r="H66" s="461"/>
      <c r="I66" s="381" t="s">
        <v>13</v>
      </c>
      <c r="J66" s="202">
        <f aca="true" t="shared" si="10" ref="J66:Q66">J65</f>
        <v>349.8</v>
      </c>
      <c r="K66" s="29">
        <f t="shared" si="10"/>
        <v>349.8</v>
      </c>
      <c r="L66" s="29">
        <f t="shared" si="10"/>
        <v>267.6</v>
      </c>
      <c r="M66" s="203">
        <f t="shared" si="10"/>
        <v>0</v>
      </c>
      <c r="N66" s="202">
        <f t="shared" si="10"/>
        <v>349</v>
      </c>
      <c r="O66" s="29">
        <f t="shared" si="10"/>
        <v>349</v>
      </c>
      <c r="P66" s="29">
        <f t="shared" si="10"/>
        <v>266.5</v>
      </c>
      <c r="Q66" s="203">
        <f t="shared" si="10"/>
        <v>0</v>
      </c>
      <c r="R66" s="202">
        <f aca="true" t="shared" si="11" ref="R66:AA66">R65</f>
        <v>349</v>
      </c>
      <c r="S66" s="29">
        <f t="shared" si="11"/>
        <v>349</v>
      </c>
      <c r="T66" s="29">
        <f t="shared" si="11"/>
        <v>266.5</v>
      </c>
      <c r="U66" s="203">
        <f t="shared" si="11"/>
        <v>0</v>
      </c>
      <c r="V66" s="203">
        <f t="shared" si="11"/>
        <v>0</v>
      </c>
      <c r="W66" s="203">
        <f t="shared" si="11"/>
        <v>0</v>
      </c>
      <c r="X66" s="203">
        <f t="shared" si="11"/>
        <v>0</v>
      </c>
      <c r="Y66" s="203">
        <f t="shared" si="11"/>
        <v>0</v>
      </c>
      <c r="Z66" s="203">
        <f t="shared" si="11"/>
        <v>380.2</v>
      </c>
      <c r="AA66" s="203">
        <f t="shared" si="11"/>
        <v>380.2</v>
      </c>
      <c r="AB66" s="671"/>
      <c r="AC66" s="31"/>
      <c r="AD66" s="33"/>
      <c r="AE66" s="140"/>
      <c r="AH66" s="10"/>
    </row>
    <row r="67" spans="1:34" ht="32.25" customHeight="1">
      <c r="A67" s="141" t="s">
        <v>11</v>
      </c>
      <c r="B67" s="225" t="s">
        <v>11</v>
      </c>
      <c r="C67" s="442" t="s">
        <v>76</v>
      </c>
      <c r="D67" s="487" t="s">
        <v>97</v>
      </c>
      <c r="E67" s="490"/>
      <c r="F67" s="459" t="s">
        <v>65</v>
      </c>
      <c r="G67" s="496" t="s">
        <v>12</v>
      </c>
      <c r="H67" s="459" t="s">
        <v>123</v>
      </c>
      <c r="I67" s="229" t="s">
        <v>106</v>
      </c>
      <c r="J67" s="231">
        <f>44.8-0.3-6.9+39.2</f>
        <v>76.80000000000001</v>
      </c>
      <c r="K67" s="232">
        <f>44.8-0.3-6.9+39.2</f>
        <v>76.80000000000001</v>
      </c>
      <c r="L67" s="232">
        <f>20.9-0.2-5.3+29.4</f>
        <v>44.8</v>
      </c>
      <c r="M67" s="184"/>
      <c r="N67" s="183">
        <v>53.4</v>
      </c>
      <c r="O67" s="7">
        <v>53.4</v>
      </c>
      <c r="P67" s="7">
        <v>18.4</v>
      </c>
      <c r="Q67" s="184"/>
      <c r="R67" s="211">
        <v>53.4</v>
      </c>
      <c r="S67" s="68">
        <v>53.4</v>
      </c>
      <c r="T67" s="68">
        <v>18.4</v>
      </c>
      <c r="U67" s="212">
        <v>0</v>
      </c>
      <c r="V67" s="6">
        <v>0</v>
      </c>
      <c r="W67" s="7">
        <v>0</v>
      </c>
      <c r="X67" s="7"/>
      <c r="Y67" s="180">
        <v>0</v>
      </c>
      <c r="Z67" s="192">
        <v>61.3</v>
      </c>
      <c r="AA67" s="19">
        <v>61.3</v>
      </c>
      <c r="AB67" s="221"/>
      <c r="AC67" s="14"/>
      <c r="AD67" s="14"/>
      <c r="AE67" s="139"/>
      <c r="AH67" s="10"/>
    </row>
    <row r="68" spans="1:34" ht="18" customHeight="1" thickBot="1">
      <c r="A68" s="143"/>
      <c r="B68" s="226"/>
      <c r="C68" s="486"/>
      <c r="D68" s="489"/>
      <c r="E68" s="492"/>
      <c r="F68" s="461"/>
      <c r="G68" s="497"/>
      <c r="H68" s="461"/>
      <c r="I68" s="153" t="s">
        <v>13</v>
      </c>
      <c r="J68" s="202">
        <f aca="true" t="shared" si="12" ref="J68:O68">J67</f>
        <v>76.80000000000001</v>
      </c>
      <c r="K68" s="29">
        <f t="shared" si="12"/>
        <v>76.80000000000001</v>
      </c>
      <c r="L68" s="29">
        <f t="shared" si="12"/>
        <v>44.8</v>
      </c>
      <c r="M68" s="203">
        <f t="shared" si="12"/>
        <v>0</v>
      </c>
      <c r="N68" s="202">
        <f t="shared" si="12"/>
        <v>53.4</v>
      </c>
      <c r="O68" s="29">
        <f t="shared" si="12"/>
        <v>53.4</v>
      </c>
      <c r="P68" s="29">
        <f aca="true" t="shared" si="13" ref="P68:W68">P67</f>
        <v>18.4</v>
      </c>
      <c r="Q68" s="203">
        <f t="shared" si="13"/>
        <v>0</v>
      </c>
      <c r="R68" s="202">
        <f t="shared" si="13"/>
        <v>53.4</v>
      </c>
      <c r="S68" s="29">
        <f t="shared" si="13"/>
        <v>53.4</v>
      </c>
      <c r="T68" s="29">
        <f t="shared" si="13"/>
        <v>18.4</v>
      </c>
      <c r="U68" s="203">
        <f t="shared" si="13"/>
        <v>0</v>
      </c>
      <c r="V68" s="199">
        <f t="shared" si="13"/>
        <v>0</v>
      </c>
      <c r="W68" s="29">
        <f t="shared" si="13"/>
        <v>0</v>
      </c>
      <c r="X68" s="29"/>
      <c r="Y68" s="208">
        <f>Y67</f>
        <v>0</v>
      </c>
      <c r="Z68" s="208">
        <f>Z67</f>
        <v>61.3</v>
      </c>
      <c r="AA68" s="208">
        <f>AA67</f>
        <v>61.3</v>
      </c>
      <c r="AB68" s="227"/>
      <c r="AC68" s="31"/>
      <c r="AD68" s="33"/>
      <c r="AE68" s="140"/>
      <c r="AH68" s="10"/>
    </row>
    <row r="69" spans="1:34" ht="15" customHeight="1">
      <c r="A69" s="141" t="s">
        <v>11</v>
      </c>
      <c r="B69" s="225" t="s">
        <v>11</v>
      </c>
      <c r="C69" s="442" t="s">
        <v>77</v>
      </c>
      <c r="D69" s="487" t="s">
        <v>105</v>
      </c>
      <c r="E69" s="490"/>
      <c r="F69" s="407" t="s">
        <v>65</v>
      </c>
      <c r="G69" s="552" t="s">
        <v>12</v>
      </c>
      <c r="H69" s="459" t="s">
        <v>123</v>
      </c>
      <c r="I69" s="276" t="s">
        <v>106</v>
      </c>
      <c r="J69" s="253">
        <f>2790.3-5.8-121</f>
        <v>2663.5</v>
      </c>
      <c r="K69" s="254">
        <f>2790.3-5.8-121</f>
        <v>2663.5</v>
      </c>
      <c r="L69" s="56"/>
      <c r="M69" s="201"/>
      <c r="N69" s="435">
        <v>2452.5</v>
      </c>
      <c r="O69" s="411">
        <v>2452.5</v>
      </c>
      <c r="P69" s="7"/>
      <c r="Q69" s="184">
        <v>0</v>
      </c>
      <c r="R69" s="211">
        <v>2452.5</v>
      </c>
      <c r="S69" s="68">
        <v>2452.5</v>
      </c>
      <c r="T69" s="68"/>
      <c r="U69" s="212">
        <v>0</v>
      </c>
      <c r="V69" s="6">
        <v>0</v>
      </c>
      <c r="W69" s="7">
        <v>0</v>
      </c>
      <c r="X69" s="7"/>
      <c r="Y69" s="180">
        <v>0</v>
      </c>
      <c r="Z69" s="307">
        <v>2600</v>
      </c>
      <c r="AA69" s="415">
        <v>2600</v>
      </c>
      <c r="AB69" s="653" t="s">
        <v>131</v>
      </c>
      <c r="AC69" s="698">
        <v>3610</v>
      </c>
      <c r="AD69" s="698">
        <v>3600</v>
      </c>
      <c r="AE69" s="699">
        <v>3600</v>
      </c>
      <c r="AH69" s="10"/>
    </row>
    <row r="70" spans="1:34" ht="16.5" customHeight="1">
      <c r="A70" s="130"/>
      <c r="B70" s="147"/>
      <c r="C70" s="443"/>
      <c r="D70" s="488"/>
      <c r="E70" s="491"/>
      <c r="F70" s="408"/>
      <c r="G70" s="553"/>
      <c r="H70" s="460"/>
      <c r="I70" s="279" t="s">
        <v>115</v>
      </c>
      <c r="J70" s="308">
        <f>161.2</f>
        <v>161.2</v>
      </c>
      <c r="K70" s="309">
        <v>161.2</v>
      </c>
      <c r="L70" s="56"/>
      <c r="M70" s="201"/>
      <c r="N70" s="436"/>
      <c r="O70" s="306"/>
      <c r="P70" s="405"/>
      <c r="Q70" s="437"/>
      <c r="R70" s="213"/>
      <c r="S70" s="57"/>
      <c r="T70" s="57"/>
      <c r="U70" s="214"/>
      <c r="V70" s="198"/>
      <c r="W70" s="56"/>
      <c r="X70" s="56"/>
      <c r="Y70" s="207"/>
      <c r="Z70" s="307"/>
      <c r="AA70" s="415"/>
      <c r="AB70" s="657"/>
      <c r="AC70" s="683"/>
      <c r="AD70" s="683"/>
      <c r="AE70" s="664"/>
      <c r="AH70" s="10"/>
    </row>
    <row r="71" spans="1:34" ht="15" customHeight="1" thickBot="1">
      <c r="A71" s="143"/>
      <c r="B71" s="226"/>
      <c r="C71" s="486"/>
      <c r="D71" s="489"/>
      <c r="E71" s="492"/>
      <c r="F71" s="406"/>
      <c r="G71" s="632"/>
      <c r="H71" s="461"/>
      <c r="I71" s="196" t="s">
        <v>13</v>
      </c>
      <c r="J71" s="187">
        <f>SUM(J69:J70)</f>
        <v>2824.7</v>
      </c>
      <c r="K71" s="11">
        <f>SUM(K69:K70)</f>
        <v>2824.7</v>
      </c>
      <c r="L71" s="11">
        <f>SUM(L69:L70)</f>
        <v>0</v>
      </c>
      <c r="M71" s="188">
        <f>SUM(M69:M70)</f>
        <v>0</v>
      </c>
      <c r="N71" s="187">
        <f>N69</f>
        <v>2452.5</v>
      </c>
      <c r="O71" s="412">
        <f>SUM(O69:O70)</f>
        <v>2452.5</v>
      </c>
      <c r="P71" s="412">
        <f aca="true" t="shared" si="14" ref="P71:AA71">SUM(P69:P70)</f>
        <v>0</v>
      </c>
      <c r="Q71" s="413">
        <f t="shared" si="14"/>
        <v>0</v>
      </c>
      <c r="R71" s="414">
        <f t="shared" si="14"/>
        <v>2452.5</v>
      </c>
      <c r="S71" s="412">
        <f t="shared" si="14"/>
        <v>2452.5</v>
      </c>
      <c r="T71" s="412">
        <f t="shared" si="14"/>
        <v>0</v>
      </c>
      <c r="U71" s="413">
        <f t="shared" si="14"/>
        <v>0</v>
      </c>
      <c r="V71" s="400">
        <f t="shared" si="14"/>
        <v>0</v>
      </c>
      <c r="W71" s="400">
        <f t="shared" si="14"/>
        <v>0</v>
      </c>
      <c r="X71" s="400">
        <f t="shared" si="14"/>
        <v>0</v>
      </c>
      <c r="Y71" s="400">
        <f t="shared" si="14"/>
        <v>0</v>
      </c>
      <c r="Z71" s="400">
        <f t="shared" si="14"/>
        <v>2600</v>
      </c>
      <c r="AA71" s="202">
        <f t="shared" si="14"/>
        <v>2600</v>
      </c>
      <c r="AB71" s="654"/>
      <c r="AC71" s="420"/>
      <c r="AD71" s="420"/>
      <c r="AE71" s="422"/>
      <c r="AH71" s="10"/>
    </row>
    <row r="72" spans="1:34" ht="18" customHeight="1">
      <c r="A72" s="141" t="s">
        <v>11</v>
      </c>
      <c r="B72" s="225" t="s">
        <v>11</v>
      </c>
      <c r="C72" s="442" t="s">
        <v>78</v>
      </c>
      <c r="D72" s="487" t="s">
        <v>98</v>
      </c>
      <c r="E72" s="490"/>
      <c r="F72" s="407" t="s">
        <v>64</v>
      </c>
      <c r="G72" s="496" t="s">
        <v>12</v>
      </c>
      <c r="H72" s="459" t="s">
        <v>123</v>
      </c>
      <c r="I72" s="276" t="s">
        <v>106</v>
      </c>
      <c r="J72" s="231">
        <f>K72</f>
        <v>104.19999999999999</v>
      </c>
      <c r="K72" s="232">
        <f>111.6-0.2-2.4-4.8</f>
        <v>104.19999999999999</v>
      </c>
      <c r="L72" s="232">
        <v>62.2</v>
      </c>
      <c r="M72" s="184">
        <v>0</v>
      </c>
      <c r="N72" s="438">
        <v>98.1</v>
      </c>
      <c r="O72" s="403">
        <v>98.1</v>
      </c>
      <c r="P72" s="403">
        <v>59.9</v>
      </c>
      <c r="Q72" s="184">
        <v>0</v>
      </c>
      <c r="R72" s="211">
        <v>98.1</v>
      </c>
      <c r="S72" s="68">
        <v>98.1</v>
      </c>
      <c r="T72" s="68">
        <v>59.9</v>
      </c>
      <c r="U72" s="212">
        <v>0</v>
      </c>
      <c r="V72" s="6">
        <v>0</v>
      </c>
      <c r="W72" s="7">
        <v>0</v>
      </c>
      <c r="X72" s="7"/>
      <c r="Y72" s="180">
        <v>0</v>
      </c>
      <c r="Z72" s="192">
        <v>101.4</v>
      </c>
      <c r="AA72" s="19">
        <v>101.4</v>
      </c>
      <c r="AB72" s="392"/>
      <c r="AC72" s="419"/>
      <c r="AD72" s="419"/>
      <c r="AE72" s="421"/>
      <c r="AH72" s="10"/>
    </row>
    <row r="73" spans="1:34" ht="14.25" customHeight="1">
      <c r="A73" s="130"/>
      <c r="B73" s="147"/>
      <c r="C73" s="443"/>
      <c r="D73" s="488"/>
      <c r="E73" s="491"/>
      <c r="F73" s="408">
        <v>10</v>
      </c>
      <c r="G73" s="530"/>
      <c r="H73" s="460"/>
      <c r="I73" s="275" t="s">
        <v>106</v>
      </c>
      <c r="J73" s="200"/>
      <c r="K73" s="56"/>
      <c r="L73" s="56"/>
      <c r="M73" s="201"/>
      <c r="N73" s="200"/>
      <c r="O73" s="56"/>
      <c r="P73" s="56"/>
      <c r="Q73" s="201"/>
      <c r="R73" s="213"/>
      <c r="S73" s="57"/>
      <c r="T73" s="57"/>
      <c r="U73" s="214"/>
      <c r="V73" s="198"/>
      <c r="W73" s="56"/>
      <c r="X73" s="56"/>
      <c r="Y73" s="207"/>
      <c r="Z73" s="218"/>
      <c r="AA73" s="215"/>
      <c r="AB73" s="392"/>
      <c r="AC73" s="419"/>
      <c r="AD73" s="419"/>
      <c r="AE73" s="421"/>
      <c r="AH73" s="10"/>
    </row>
    <row r="74" spans="1:34" ht="14.25" customHeight="1" thickBot="1">
      <c r="A74" s="143"/>
      <c r="B74" s="226"/>
      <c r="C74" s="486"/>
      <c r="D74" s="489"/>
      <c r="E74" s="492"/>
      <c r="F74" s="409"/>
      <c r="G74" s="497"/>
      <c r="H74" s="461"/>
      <c r="I74" s="153" t="s">
        <v>13</v>
      </c>
      <c r="J74" s="202">
        <f aca="true" t="shared" si="15" ref="J74:O74">J72</f>
        <v>104.19999999999999</v>
      </c>
      <c r="K74" s="29">
        <f t="shared" si="15"/>
        <v>104.19999999999999</v>
      </c>
      <c r="L74" s="29">
        <f t="shared" si="15"/>
        <v>62.2</v>
      </c>
      <c r="M74" s="203">
        <f t="shared" si="15"/>
        <v>0</v>
      </c>
      <c r="N74" s="202">
        <f t="shared" si="15"/>
        <v>98.1</v>
      </c>
      <c r="O74" s="29">
        <f t="shared" si="15"/>
        <v>98.1</v>
      </c>
      <c r="P74" s="29"/>
      <c r="Q74" s="203">
        <f>Q72</f>
        <v>0</v>
      </c>
      <c r="R74" s="202">
        <f>R72</f>
        <v>98.1</v>
      </c>
      <c r="S74" s="29">
        <f>S72</f>
        <v>98.1</v>
      </c>
      <c r="T74" s="29">
        <f>SUM(T72:T73)</f>
        <v>59.9</v>
      </c>
      <c r="U74" s="203">
        <f>U72</f>
        <v>0</v>
      </c>
      <c r="V74" s="199">
        <f>V72</f>
        <v>0</v>
      </c>
      <c r="W74" s="29">
        <f>W72</f>
        <v>0</v>
      </c>
      <c r="X74" s="29"/>
      <c r="Y74" s="208">
        <f>Y72</f>
        <v>0</v>
      </c>
      <c r="Z74" s="219">
        <f>Z73+Z72</f>
        <v>101.4</v>
      </c>
      <c r="AA74" s="216">
        <f>AA73+AA72</f>
        <v>101.4</v>
      </c>
      <c r="AB74" s="393"/>
      <c r="AC74" s="420"/>
      <c r="AD74" s="420"/>
      <c r="AE74" s="422"/>
      <c r="AH74" s="10"/>
    </row>
    <row r="75" spans="1:34" ht="14.25" customHeight="1">
      <c r="A75" s="141" t="s">
        <v>11</v>
      </c>
      <c r="B75" s="225" t="s">
        <v>11</v>
      </c>
      <c r="C75" s="442" t="s">
        <v>99</v>
      </c>
      <c r="D75" s="487" t="s">
        <v>102</v>
      </c>
      <c r="E75" s="490"/>
      <c r="F75" s="459" t="s">
        <v>59</v>
      </c>
      <c r="G75" s="496" t="s">
        <v>12</v>
      </c>
      <c r="H75" s="459" t="s">
        <v>123</v>
      </c>
      <c r="I75" s="229" t="s">
        <v>106</v>
      </c>
      <c r="J75" s="231">
        <f>K75</f>
        <v>410.6</v>
      </c>
      <c r="K75" s="232">
        <f>421.8-11.2</f>
        <v>410.6</v>
      </c>
      <c r="L75" s="7"/>
      <c r="M75" s="184"/>
      <c r="N75" s="183">
        <v>646.2</v>
      </c>
      <c r="O75" s="7">
        <v>646.2</v>
      </c>
      <c r="P75" s="7">
        <v>12.3</v>
      </c>
      <c r="Q75" s="184">
        <v>0</v>
      </c>
      <c r="R75" s="211">
        <v>646.2</v>
      </c>
      <c r="S75" s="68">
        <v>646.2</v>
      </c>
      <c r="T75" s="68">
        <v>12.3</v>
      </c>
      <c r="U75" s="212">
        <v>0</v>
      </c>
      <c r="V75" s="6">
        <v>0</v>
      </c>
      <c r="W75" s="7">
        <v>0</v>
      </c>
      <c r="X75" s="7"/>
      <c r="Y75" s="180">
        <v>0</v>
      </c>
      <c r="Z75" s="192">
        <v>835.8</v>
      </c>
      <c r="AA75" s="19">
        <v>835.8</v>
      </c>
      <c r="AB75" s="653" t="s">
        <v>133</v>
      </c>
      <c r="AC75" s="14">
        <v>600</v>
      </c>
      <c r="AD75" s="14">
        <v>600</v>
      </c>
      <c r="AE75" s="139">
        <v>600</v>
      </c>
      <c r="AH75" s="10"/>
    </row>
    <row r="76" spans="1:34" ht="14.25" customHeight="1">
      <c r="A76" s="130"/>
      <c r="B76" s="147"/>
      <c r="C76" s="443"/>
      <c r="D76" s="488"/>
      <c r="E76" s="491"/>
      <c r="F76" s="460"/>
      <c r="G76" s="530"/>
      <c r="H76" s="460"/>
      <c r="I76" s="230"/>
      <c r="J76" s="200"/>
      <c r="K76" s="56"/>
      <c r="L76" s="56"/>
      <c r="M76" s="201"/>
      <c r="N76" s="200"/>
      <c r="O76" s="56"/>
      <c r="P76" s="56"/>
      <c r="Q76" s="201"/>
      <c r="R76" s="213"/>
      <c r="S76" s="57"/>
      <c r="T76" s="57"/>
      <c r="U76" s="214"/>
      <c r="V76" s="198"/>
      <c r="W76" s="56"/>
      <c r="X76" s="56"/>
      <c r="Y76" s="207"/>
      <c r="Z76" s="218"/>
      <c r="AA76" s="215"/>
      <c r="AB76" s="657"/>
      <c r="AC76" s="30"/>
      <c r="AD76" s="55"/>
      <c r="AE76" s="142"/>
      <c r="AH76" s="10"/>
    </row>
    <row r="77" spans="1:34" ht="14.25" customHeight="1" thickBot="1">
      <c r="A77" s="143"/>
      <c r="B77" s="226"/>
      <c r="C77" s="486"/>
      <c r="D77" s="489"/>
      <c r="E77" s="492"/>
      <c r="F77" s="461"/>
      <c r="G77" s="497"/>
      <c r="H77" s="461"/>
      <c r="I77" s="196" t="s">
        <v>13</v>
      </c>
      <c r="J77" s="202">
        <f aca="true" t="shared" si="16" ref="J77:O77">J75</f>
        <v>410.6</v>
      </c>
      <c r="K77" s="29">
        <f t="shared" si="16"/>
        <v>410.6</v>
      </c>
      <c r="L77" s="29">
        <f t="shared" si="16"/>
        <v>0</v>
      </c>
      <c r="M77" s="203">
        <f t="shared" si="16"/>
        <v>0</v>
      </c>
      <c r="N77" s="202">
        <f t="shared" si="16"/>
        <v>646.2</v>
      </c>
      <c r="O77" s="29">
        <f t="shared" si="16"/>
        <v>646.2</v>
      </c>
      <c r="P77" s="29"/>
      <c r="Q77" s="203">
        <f>Q75</f>
        <v>0</v>
      </c>
      <c r="R77" s="202">
        <f>R75</f>
        <v>646.2</v>
      </c>
      <c r="S77" s="29">
        <f>S75</f>
        <v>646.2</v>
      </c>
      <c r="T77" s="29">
        <f>SUM(T75:T76)</f>
        <v>12.3</v>
      </c>
      <c r="U77" s="203">
        <f>U75</f>
        <v>0</v>
      </c>
      <c r="V77" s="199">
        <f>V75</f>
        <v>0</v>
      </c>
      <c r="W77" s="29">
        <f>W75</f>
        <v>0</v>
      </c>
      <c r="X77" s="29"/>
      <c r="Y77" s="208">
        <f>Y75</f>
        <v>0</v>
      </c>
      <c r="Z77" s="219">
        <f>Z76+Z75</f>
        <v>835.8</v>
      </c>
      <c r="AA77" s="216">
        <f>AA76+AA75</f>
        <v>835.8</v>
      </c>
      <c r="AB77" s="654"/>
      <c r="AC77" s="31"/>
      <c r="AD77" s="33"/>
      <c r="AE77" s="140"/>
      <c r="AH77" s="10"/>
    </row>
    <row r="78" spans="1:34" ht="53.25" customHeight="1">
      <c r="A78" s="141" t="s">
        <v>11</v>
      </c>
      <c r="B78" s="225" t="s">
        <v>11</v>
      </c>
      <c r="C78" s="442" t="s">
        <v>100</v>
      </c>
      <c r="D78" s="487" t="s">
        <v>103</v>
      </c>
      <c r="E78" s="490"/>
      <c r="F78" s="459" t="s">
        <v>65</v>
      </c>
      <c r="G78" s="496" t="s">
        <v>12</v>
      </c>
      <c r="H78" s="459" t="s">
        <v>123</v>
      </c>
      <c r="I78" s="255" t="s">
        <v>107</v>
      </c>
      <c r="J78" s="268">
        <v>32156.6</v>
      </c>
      <c r="K78" s="269">
        <v>32156.6</v>
      </c>
      <c r="L78" s="270">
        <v>320.8</v>
      </c>
      <c r="M78" s="184">
        <v>0</v>
      </c>
      <c r="N78" s="183">
        <v>28108.9</v>
      </c>
      <c r="O78" s="7">
        <v>28108.9</v>
      </c>
      <c r="P78" s="403">
        <v>342.2</v>
      </c>
      <c r="Q78" s="184">
        <v>0</v>
      </c>
      <c r="R78" s="211">
        <v>28108.9</v>
      </c>
      <c r="S78" s="68">
        <v>28108.9</v>
      </c>
      <c r="T78" s="68">
        <v>342.2</v>
      </c>
      <c r="U78" s="212">
        <v>0</v>
      </c>
      <c r="V78" s="6">
        <v>0</v>
      </c>
      <c r="W78" s="7">
        <v>0</v>
      </c>
      <c r="X78" s="7"/>
      <c r="Y78" s="180">
        <v>0</v>
      </c>
      <c r="Z78" s="192">
        <v>35255</v>
      </c>
      <c r="AA78" s="271">
        <v>35255</v>
      </c>
      <c r="AB78" s="221" t="s">
        <v>125</v>
      </c>
      <c r="AC78" s="280">
        <v>6900</v>
      </c>
      <c r="AD78" s="280">
        <v>6952</v>
      </c>
      <c r="AE78" s="281">
        <v>6975</v>
      </c>
      <c r="AH78" s="10"/>
    </row>
    <row r="79" spans="1:34" ht="14.25" customHeight="1" thickBot="1">
      <c r="A79" s="143"/>
      <c r="B79" s="226"/>
      <c r="C79" s="486"/>
      <c r="D79" s="489"/>
      <c r="E79" s="492"/>
      <c r="F79" s="461"/>
      <c r="G79" s="497"/>
      <c r="H79" s="461"/>
      <c r="I79" s="196" t="s">
        <v>13</v>
      </c>
      <c r="J79" s="202">
        <f>J78</f>
        <v>32156.6</v>
      </c>
      <c r="K79" s="29">
        <f>K78</f>
        <v>32156.6</v>
      </c>
      <c r="L79" s="29">
        <f aca="true" t="shared" si="17" ref="L79:Q79">L78</f>
        <v>320.8</v>
      </c>
      <c r="M79" s="203">
        <f t="shared" si="17"/>
        <v>0</v>
      </c>
      <c r="N79" s="202">
        <f t="shared" si="17"/>
        <v>28108.9</v>
      </c>
      <c r="O79" s="29">
        <f t="shared" si="17"/>
        <v>28108.9</v>
      </c>
      <c r="P79" s="29">
        <f t="shared" si="17"/>
        <v>342.2</v>
      </c>
      <c r="Q79" s="203">
        <f t="shared" si="17"/>
        <v>0</v>
      </c>
      <c r="R79" s="202">
        <f>R78</f>
        <v>28108.9</v>
      </c>
      <c r="S79" s="29">
        <f>S78</f>
        <v>28108.9</v>
      </c>
      <c r="T79" s="29">
        <f>SUM(T78)</f>
        <v>342.2</v>
      </c>
      <c r="U79" s="203">
        <f>U78</f>
        <v>0</v>
      </c>
      <c r="V79" s="203">
        <f aca="true" t="shared" si="18" ref="V79:AA79">V78</f>
        <v>0</v>
      </c>
      <c r="W79" s="203">
        <f t="shared" si="18"/>
        <v>0</v>
      </c>
      <c r="X79" s="203">
        <f t="shared" si="18"/>
        <v>0</v>
      </c>
      <c r="Y79" s="203">
        <f t="shared" si="18"/>
        <v>0</v>
      </c>
      <c r="Z79" s="203">
        <f t="shared" si="18"/>
        <v>35255</v>
      </c>
      <c r="AA79" s="203">
        <f t="shared" si="18"/>
        <v>35255</v>
      </c>
      <c r="AB79" s="227"/>
      <c r="AC79" s="31"/>
      <c r="AD79" s="33"/>
      <c r="AE79" s="140"/>
      <c r="AH79" s="10"/>
    </row>
    <row r="80" spans="1:34" ht="14.25" customHeight="1">
      <c r="A80" s="141" t="s">
        <v>11</v>
      </c>
      <c r="B80" s="225" t="s">
        <v>11</v>
      </c>
      <c r="C80" s="442" t="s">
        <v>101</v>
      </c>
      <c r="D80" s="487" t="s">
        <v>104</v>
      </c>
      <c r="E80" s="490"/>
      <c r="F80" s="459" t="s">
        <v>65</v>
      </c>
      <c r="G80" s="496" t="s">
        <v>12</v>
      </c>
      <c r="H80" s="459" t="s">
        <v>123</v>
      </c>
      <c r="I80" s="315" t="s">
        <v>107</v>
      </c>
      <c r="J80" s="231">
        <v>32993.3</v>
      </c>
      <c r="K80" s="232">
        <v>32993.3</v>
      </c>
      <c r="L80" s="232">
        <v>759.4</v>
      </c>
      <c r="M80" s="184">
        <v>0</v>
      </c>
      <c r="N80" s="438">
        <v>21796</v>
      </c>
      <c r="O80" s="403">
        <v>21796</v>
      </c>
      <c r="P80" s="7">
        <v>242.3</v>
      </c>
      <c r="Q80" s="184">
        <v>0</v>
      </c>
      <c r="R80" s="211">
        <v>21796</v>
      </c>
      <c r="S80" s="68">
        <v>21796</v>
      </c>
      <c r="T80" s="68">
        <v>242.3</v>
      </c>
      <c r="U80" s="212">
        <v>0</v>
      </c>
      <c r="V80" s="6">
        <v>0</v>
      </c>
      <c r="W80" s="7">
        <v>0</v>
      </c>
      <c r="X80" s="7"/>
      <c r="Y80" s="180">
        <v>0</v>
      </c>
      <c r="Z80" s="192">
        <v>32718.3</v>
      </c>
      <c r="AA80" s="19">
        <v>32718.3</v>
      </c>
      <c r="AB80" s="653" t="s">
        <v>126</v>
      </c>
      <c r="AC80" s="277">
        <v>19.5</v>
      </c>
      <c r="AD80" s="277">
        <v>19.5</v>
      </c>
      <c r="AE80" s="278">
        <v>19.5</v>
      </c>
      <c r="AH80" s="10"/>
    </row>
    <row r="81" spans="1:34" ht="14.25" customHeight="1" thickBot="1">
      <c r="A81" s="143"/>
      <c r="B81" s="226"/>
      <c r="C81" s="486"/>
      <c r="D81" s="489"/>
      <c r="E81" s="492"/>
      <c r="F81" s="461"/>
      <c r="G81" s="497"/>
      <c r="H81" s="461"/>
      <c r="I81" s="153" t="s">
        <v>13</v>
      </c>
      <c r="J81" s="202">
        <f>J80</f>
        <v>32993.3</v>
      </c>
      <c r="K81" s="29">
        <f>K80</f>
        <v>32993.3</v>
      </c>
      <c r="L81" s="29">
        <f aca="true" t="shared" si="19" ref="L81:Q81">L80</f>
        <v>759.4</v>
      </c>
      <c r="M81" s="203">
        <f t="shared" si="19"/>
        <v>0</v>
      </c>
      <c r="N81" s="202">
        <f>N80</f>
        <v>21796</v>
      </c>
      <c r="O81" s="29">
        <f>O80</f>
        <v>21796</v>
      </c>
      <c r="P81" s="29">
        <f t="shared" si="19"/>
        <v>242.3</v>
      </c>
      <c r="Q81" s="203">
        <f t="shared" si="19"/>
        <v>0</v>
      </c>
      <c r="R81" s="202">
        <f>R80</f>
        <v>21796</v>
      </c>
      <c r="S81" s="29">
        <f>S80</f>
        <v>21796</v>
      </c>
      <c r="T81" s="29">
        <f>SUM(T80)</f>
        <v>242.3</v>
      </c>
      <c r="U81" s="203">
        <f>U80</f>
        <v>0</v>
      </c>
      <c r="V81" s="203">
        <f aca="true" t="shared" si="20" ref="V81:AA81">V80</f>
        <v>0</v>
      </c>
      <c r="W81" s="203">
        <f t="shared" si="20"/>
        <v>0</v>
      </c>
      <c r="X81" s="203">
        <f t="shared" si="20"/>
        <v>0</v>
      </c>
      <c r="Y81" s="203">
        <f t="shared" si="20"/>
        <v>0</v>
      </c>
      <c r="Z81" s="203">
        <f t="shared" si="20"/>
        <v>32718.3</v>
      </c>
      <c r="AA81" s="203">
        <f t="shared" si="20"/>
        <v>32718.3</v>
      </c>
      <c r="AB81" s="654"/>
      <c r="AC81" s="31"/>
      <c r="AD81" s="33"/>
      <c r="AE81" s="140"/>
      <c r="AH81" s="10"/>
    </row>
    <row r="82" spans="1:31" ht="14.25" customHeight="1" thickBot="1">
      <c r="A82" s="144" t="s">
        <v>11</v>
      </c>
      <c r="B82" s="18" t="s">
        <v>11</v>
      </c>
      <c r="C82" s="503" t="s">
        <v>15</v>
      </c>
      <c r="D82" s="504"/>
      <c r="E82" s="504"/>
      <c r="F82" s="504"/>
      <c r="G82" s="504"/>
      <c r="H82" s="504"/>
      <c r="I82" s="504"/>
      <c r="J82" s="204">
        <f>J15+J17+J20+J22+J25+J27+J29+J31+J34+J36+J38+J40+J44+J46+J48+J50+J55+J59+J64+J66+J68+J71+J74+J77+J79+J81</f>
        <v>83554.7</v>
      </c>
      <c r="K82" s="428">
        <f>K15+K17+K20+K22+K25+K27+K29+K31+K34+K36+K38+K40+K44+K46+K48+K50+K55+K59+K64+K66+K68+K71+K74+K77+K79+K81</f>
        <v>83354.7</v>
      </c>
      <c r="L82" s="428">
        <f>L15+L17+L20+L22+L25+L27+L29+L31+L34+L36+L38+L40+L44+L46+L48+L50+L55+L59+L64+L66+L68+L71+L74+L77+L79+L81</f>
        <v>3153.2000000000003</v>
      </c>
      <c r="M82" s="429">
        <f>M15+M17+M20+M22+M25+M27+M29+M31+M34+M36+M38+M40+M44+M46+M48+M50+M55+M59+M64+M66+M68+M71+M74+M77+M79+M81</f>
        <v>200</v>
      </c>
      <c r="N82" s="204">
        <f>N81+N79+N77+N74+N71+N68+N66+N64+N59+N55+N50+N48+N46+N44+N40+N38+N36+N34+N31+N29+N27+N25+N22+N20+N17+N15</f>
        <v>68654.49999999997</v>
      </c>
      <c r="O82" s="428">
        <f aca="true" t="shared" si="21" ref="O82:AA82">O81+O79+O77+O74+O71+O68+O66+O64+O59+O55+O50+O48+O46+O44+O40+O38+O36+O34+O31+O29+O27+O25+O22+O20+O17+O15</f>
        <v>68654.49999999997</v>
      </c>
      <c r="P82" s="428">
        <f t="shared" si="21"/>
        <v>2748.5</v>
      </c>
      <c r="Q82" s="429">
        <f t="shared" si="21"/>
        <v>0</v>
      </c>
      <c r="R82" s="204">
        <f t="shared" si="21"/>
        <v>68369.09999999998</v>
      </c>
      <c r="S82" s="428">
        <f t="shared" si="21"/>
        <v>68369.09999999998</v>
      </c>
      <c r="T82" s="428">
        <f>T81+T79+T77+T74+T71+T68+T66+T64+T59+T55+T50+T48+T46+T44+T40+T38+T36+T34+T31+T29+T27+T25+T22+T20+T17+T15</f>
        <v>2686.8999999999996</v>
      </c>
      <c r="U82" s="429">
        <f t="shared" si="21"/>
        <v>0</v>
      </c>
      <c r="V82" s="204">
        <f t="shared" si="21"/>
        <v>0</v>
      </c>
      <c r="W82" s="204">
        <f t="shared" si="21"/>
        <v>0</v>
      </c>
      <c r="X82" s="204">
        <f t="shared" si="21"/>
        <v>0</v>
      </c>
      <c r="Y82" s="204">
        <f t="shared" si="21"/>
        <v>0</v>
      </c>
      <c r="Z82" s="204">
        <f t="shared" si="21"/>
        <v>87519.99999999999</v>
      </c>
      <c r="AA82" s="204">
        <f t="shared" si="21"/>
        <v>87519.99999999999</v>
      </c>
      <c r="AB82" s="223"/>
      <c r="AC82" s="34"/>
      <c r="AD82" s="34"/>
      <c r="AE82" s="145"/>
    </row>
    <row r="83" spans="1:31" ht="14.25" customHeight="1" thickBot="1">
      <c r="A83" s="128" t="s">
        <v>11</v>
      </c>
      <c r="B83" s="501" t="s">
        <v>16</v>
      </c>
      <c r="C83" s="502"/>
      <c r="D83" s="502"/>
      <c r="E83" s="502"/>
      <c r="F83" s="502"/>
      <c r="G83" s="502"/>
      <c r="H83" s="502"/>
      <c r="I83" s="502"/>
      <c r="J83" s="189">
        <f aca="true" t="shared" si="22" ref="J83:S84">J82</f>
        <v>83554.7</v>
      </c>
      <c r="K83" s="430">
        <f t="shared" si="22"/>
        <v>83354.7</v>
      </c>
      <c r="L83" s="430">
        <f t="shared" si="22"/>
        <v>3153.2000000000003</v>
      </c>
      <c r="M83" s="431">
        <f t="shared" si="22"/>
        <v>200</v>
      </c>
      <c r="N83" s="189">
        <f t="shared" si="22"/>
        <v>68654.49999999997</v>
      </c>
      <c r="O83" s="430">
        <f t="shared" si="22"/>
        <v>68654.49999999997</v>
      </c>
      <c r="P83" s="430">
        <f t="shared" si="22"/>
        <v>2748.5</v>
      </c>
      <c r="Q83" s="431">
        <f t="shared" si="22"/>
        <v>0</v>
      </c>
      <c r="R83" s="189">
        <f t="shared" si="22"/>
        <v>68369.09999999998</v>
      </c>
      <c r="S83" s="430">
        <f t="shared" si="22"/>
        <v>68369.09999999998</v>
      </c>
      <c r="T83" s="430">
        <f aca="true" t="shared" si="23" ref="T83:AA84">T82</f>
        <v>2686.8999999999996</v>
      </c>
      <c r="U83" s="431">
        <f t="shared" si="23"/>
        <v>0</v>
      </c>
      <c r="V83" s="189">
        <f t="shared" si="23"/>
        <v>0</v>
      </c>
      <c r="W83" s="189">
        <f t="shared" si="23"/>
        <v>0</v>
      </c>
      <c r="X83" s="189">
        <f t="shared" si="23"/>
        <v>0</v>
      </c>
      <c r="Y83" s="189">
        <f t="shared" si="23"/>
        <v>0</v>
      </c>
      <c r="Z83" s="189">
        <f t="shared" si="23"/>
        <v>87519.99999999999</v>
      </c>
      <c r="AA83" s="189">
        <f t="shared" si="23"/>
        <v>87519.99999999999</v>
      </c>
      <c r="AB83" s="224"/>
      <c r="AC83" s="32"/>
      <c r="AD83" s="32"/>
      <c r="AE83" s="138"/>
    </row>
    <row r="84" spans="1:31" ht="14.25" customHeight="1" thickBot="1">
      <c r="A84" s="146" t="s">
        <v>60</v>
      </c>
      <c r="B84" s="500" t="s">
        <v>17</v>
      </c>
      <c r="C84" s="500"/>
      <c r="D84" s="500"/>
      <c r="E84" s="500"/>
      <c r="F84" s="500"/>
      <c r="G84" s="500"/>
      <c r="H84" s="500"/>
      <c r="I84" s="500"/>
      <c r="J84" s="205">
        <f t="shared" si="22"/>
        <v>83554.7</v>
      </c>
      <c r="K84" s="432">
        <f t="shared" si="22"/>
        <v>83354.7</v>
      </c>
      <c r="L84" s="432">
        <f t="shared" si="22"/>
        <v>3153.2000000000003</v>
      </c>
      <c r="M84" s="433">
        <f t="shared" si="22"/>
        <v>200</v>
      </c>
      <c r="N84" s="205">
        <f t="shared" si="22"/>
        <v>68654.49999999997</v>
      </c>
      <c r="O84" s="432">
        <f t="shared" si="22"/>
        <v>68654.49999999997</v>
      </c>
      <c r="P84" s="432">
        <f t="shared" si="22"/>
        <v>2748.5</v>
      </c>
      <c r="Q84" s="433">
        <f t="shared" si="22"/>
        <v>0</v>
      </c>
      <c r="R84" s="205">
        <f t="shared" si="22"/>
        <v>68369.09999999998</v>
      </c>
      <c r="S84" s="432">
        <f t="shared" si="22"/>
        <v>68369.09999999998</v>
      </c>
      <c r="T84" s="432">
        <f t="shared" si="23"/>
        <v>2686.8999999999996</v>
      </c>
      <c r="U84" s="433">
        <f t="shared" si="23"/>
        <v>0</v>
      </c>
      <c r="V84" s="205">
        <f t="shared" si="23"/>
        <v>0</v>
      </c>
      <c r="W84" s="205">
        <f t="shared" si="23"/>
        <v>0</v>
      </c>
      <c r="X84" s="205">
        <f t="shared" si="23"/>
        <v>0</v>
      </c>
      <c r="Y84" s="205">
        <f t="shared" si="23"/>
        <v>0</v>
      </c>
      <c r="Z84" s="205">
        <f t="shared" si="23"/>
        <v>87519.99999999999</v>
      </c>
      <c r="AA84" s="205">
        <f t="shared" si="23"/>
        <v>87519.99999999999</v>
      </c>
      <c r="AB84" s="493"/>
      <c r="AC84" s="494"/>
      <c r="AD84" s="494"/>
      <c r="AE84" s="495"/>
    </row>
    <row r="85" spans="1:53" s="35" customFormat="1" ht="28.5" customHeight="1">
      <c r="A85" s="441"/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</row>
    <row r="86" spans="1:53" s="35" customFormat="1" ht="15.75" customHeight="1">
      <c r="A86" s="58"/>
      <c r="B86" s="59"/>
      <c r="C86" s="59"/>
      <c r="D86" s="59"/>
      <c r="E86" s="59"/>
      <c r="F86" s="59"/>
      <c r="G86" s="59"/>
      <c r="H86" s="60"/>
      <c r="I86" s="498" t="s">
        <v>28</v>
      </c>
      <c r="J86" s="499"/>
      <c r="K86" s="499"/>
      <c r="L86" s="499"/>
      <c r="M86" s="499"/>
      <c r="N86" s="499"/>
      <c r="O86" s="499"/>
      <c r="P86" s="499"/>
      <c r="Q86" s="499"/>
      <c r="R86" s="61"/>
      <c r="S86" s="61"/>
      <c r="T86" s="61"/>
      <c r="U86" s="61"/>
      <c r="V86" s="61"/>
      <c r="W86" s="61"/>
      <c r="X86" s="62"/>
      <c r="Y86" s="61"/>
      <c r="Z86" s="61"/>
      <c r="AA86" s="63"/>
      <c r="AB86" s="64"/>
      <c r="AC86" s="64"/>
      <c r="AD86" s="64"/>
      <c r="AE86" s="64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</row>
    <row r="87" spans="1:53" s="35" customFormat="1" ht="15.75" customHeight="1">
      <c r="A87" s="58"/>
      <c r="B87" s="59"/>
      <c r="C87" s="59"/>
      <c r="D87" s="59"/>
      <c r="E87" s="59"/>
      <c r="F87" s="59"/>
      <c r="G87" s="59"/>
      <c r="H87" s="60"/>
      <c r="I87" s="60"/>
      <c r="J87" s="61"/>
      <c r="K87" s="61"/>
      <c r="L87" s="61"/>
      <c r="M87" s="61"/>
      <c r="N87" s="61"/>
      <c r="O87" s="61"/>
      <c r="P87" s="62"/>
      <c r="Q87" s="61"/>
      <c r="R87" s="61"/>
      <c r="S87" s="70"/>
      <c r="T87" s="70"/>
      <c r="U87" s="70"/>
      <c r="V87" s="70" t="s">
        <v>29</v>
      </c>
      <c r="W87" s="70"/>
      <c r="X87" s="70"/>
      <c r="Y87" s="61"/>
      <c r="Z87" s="61"/>
      <c r="AA87" s="63"/>
      <c r="AB87" s="64"/>
      <c r="AC87" s="64"/>
      <c r="AD87" s="64"/>
      <c r="AE87" s="64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</row>
    <row r="88" spans="3:27" ht="13.5" thickBot="1">
      <c r="C88" s="13"/>
      <c r="D88" s="37"/>
      <c r="E88" s="38"/>
      <c r="F88" s="38"/>
      <c r="G88" s="38"/>
      <c r="H88" s="38"/>
      <c r="I88" s="39"/>
      <c r="J88" s="40"/>
      <c r="K88" s="40"/>
      <c r="L88" s="40"/>
      <c r="M88" s="39"/>
      <c r="N88" s="40"/>
      <c r="O88" s="40"/>
      <c r="P88" s="39"/>
      <c r="Q88" s="40"/>
      <c r="R88" s="40"/>
      <c r="S88" s="40"/>
      <c r="T88" s="39"/>
      <c r="U88" s="40"/>
      <c r="V88" s="40"/>
      <c r="W88" s="40"/>
      <c r="X88" s="39"/>
      <c r="Y88" s="40"/>
      <c r="Z88" s="397"/>
      <c r="AA88" s="1"/>
    </row>
    <row r="89" spans="3:27" ht="38.25" customHeight="1" thickBot="1">
      <c r="C89" s="452" t="s">
        <v>18</v>
      </c>
      <c r="D89" s="453"/>
      <c r="E89" s="453"/>
      <c r="F89" s="453"/>
      <c r="G89" s="453"/>
      <c r="H89" s="453"/>
      <c r="I89" s="439"/>
      <c r="J89" s="449" t="s">
        <v>108</v>
      </c>
      <c r="K89" s="450"/>
      <c r="L89" s="450"/>
      <c r="M89" s="440"/>
      <c r="N89" s="449" t="s">
        <v>109</v>
      </c>
      <c r="O89" s="450"/>
      <c r="P89" s="450"/>
      <c r="Q89" s="451"/>
      <c r="R89" s="446" t="s">
        <v>195</v>
      </c>
      <c r="S89" s="447"/>
      <c r="T89" s="447"/>
      <c r="U89" s="448"/>
      <c r="V89" s="449" t="s">
        <v>110</v>
      </c>
      <c r="W89" s="450"/>
      <c r="X89" s="450"/>
      <c r="Y89" s="451"/>
      <c r="Z89" s="1"/>
      <c r="AA89" s="1"/>
    </row>
    <row r="90" spans="3:27" ht="13.5" customHeight="1" thickBot="1">
      <c r="C90" s="474" t="s">
        <v>30</v>
      </c>
      <c r="D90" s="475"/>
      <c r="E90" s="475"/>
      <c r="F90" s="475"/>
      <c r="G90" s="475"/>
      <c r="H90" s="475"/>
      <c r="I90" s="476"/>
      <c r="J90" s="454">
        <f>J94+J97+J98</f>
        <v>18404.8</v>
      </c>
      <c r="K90" s="455"/>
      <c r="L90" s="455"/>
      <c r="M90" s="456"/>
      <c r="N90" s="454">
        <f>N94</f>
        <v>18749.599999999995</v>
      </c>
      <c r="O90" s="455"/>
      <c r="P90" s="455"/>
      <c r="Q90" s="456"/>
      <c r="R90" s="454">
        <f>R94</f>
        <v>18464.199999999997</v>
      </c>
      <c r="S90" s="455"/>
      <c r="T90" s="455"/>
      <c r="U90" s="456"/>
      <c r="V90" s="457" t="e">
        <f>V91+#REF!+V96+V97+V98</f>
        <v>#REF!</v>
      </c>
      <c r="W90" s="444"/>
      <c r="X90" s="444"/>
      <c r="Y90" s="445"/>
      <c r="Z90" s="1"/>
      <c r="AA90" s="1"/>
    </row>
    <row r="91" spans="3:27" ht="13.5" customHeight="1">
      <c r="C91" s="477" t="s">
        <v>31</v>
      </c>
      <c r="D91" s="478"/>
      <c r="E91" s="478"/>
      <c r="F91" s="478"/>
      <c r="G91" s="478"/>
      <c r="H91" s="478"/>
      <c r="I91" s="479"/>
      <c r="J91" s="481">
        <v>0</v>
      </c>
      <c r="K91" s="482"/>
      <c r="L91" s="482"/>
      <c r="M91" s="483"/>
      <c r="N91" s="481">
        <v>0</v>
      </c>
      <c r="O91" s="482"/>
      <c r="P91" s="482"/>
      <c r="Q91" s="483"/>
      <c r="R91" s="481">
        <v>0</v>
      </c>
      <c r="S91" s="482"/>
      <c r="T91" s="482"/>
      <c r="U91" s="483"/>
      <c r="V91" s="611">
        <v>0</v>
      </c>
      <c r="W91" s="612"/>
      <c r="X91" s="612"/>
      <c r="Y91" s="613"/>
      <c r="Z91" s="1"/>
      <c r="AA91" s="1"/>
    </row>
    <row r="92" spans="3:27" ht="13.5" customHeight="1">
      <c r="C92" s="462" t="s">
        <v>32</v>
      </c>
      <c r="D92" s="463"/>
      <c r="E92" s="463"/>
      <c r="F92" s="463"/>
      <c r="G92" s="463"/>
      <c r="H92" s="463"/>
      <c r="I92" s="464"/>
      <c r="J92" s="484">
        <v>0</v>
      </c>
      <c r="K92" s="485"/>
      <c r="L92" s="485"/>
      <c r="M92" s="458"/>
      <c r="N92" s="484">
        <v>0</v>
      </c>
      <c r="O92" s="485"/>
      <c r="P92" s="485"/>
      <c r="Q92" s="458"/>
      <c r="R92" s="484">
        <v>0</v>
      </c>
      <c r="S92" s="485"/>
      <c r="T92" s="485"/>
      <c r="U92" s="458"/>
      <c r="V92" s="614">
        <v>0</v>
      </c>
      <c r="W92" s="615"/>
      <c r="X92" s="615"/>
      <c r="Y92" s="616"/>
      <c r="Z92" s="1"/>
      <c r="AA92" s="1"/>
    </row>
    <row r="93" spans="3:27" ht="13.5" customHeight="1">
      <c r="C93" s="468" t="s">
        <v>47</v>
      </c>
      <c r="D93" s="469"/>
      <c r="E93" s="469"/>
      <c r="F93" s="469"/>
      <c r="G93" s="469"/>
      <c r="H93" s="469"/>
      <c r="I93" s="480"/>
      <c r="J93" s="484">
        <v>0</v>
      </c>
      <c r="K93" s="485"/>
      <c r="L93" s="485"/>
      <c r="M93" s="458"/>
      <c r="N93" s="484">
        <v>0</v>
      </c>
      <c r="O93" s="485"/>
      <c r="P93" s="485"/>
      <c r="Q93" s="458"/>
      <c r="R93" s="484">
        <v>0</v>
      </c>
      <c r="S93" s="485"/>
      <c r="T93" s="485"/>
      <c r="U93" s="458"/>
      <c r="V93" s="614">
        <v>0</v>
      </c>
      <c r="W93" s="615"/>
      <c r="X93" s="615"/>
      <c r="Y93" s="616"/>
      <c r="Z93" s="1"/>
      <c r="AA93" s="1"/>
    </row>
    <row r="94" spans="3:27" ht="13.5" customHeight="1">
      <c r="C94" s="462" t="s">
        <v>33</v>
      </c>
      <c r="D94" s="463"/>
      <c r="E94" s="463"/>
      <c r="F94" s="463"/>
      <c r="G94" s="463"/>
      <c r="H94" s="463"/>
      <c r="I94" s="464"/>
      <c r="J94" s="484">
        <f>SUMIF(I12:I81,I75,J12:J81)</f>
        <v>15554.3</v>
      </c>
      <c r="K94" s="485"/>
      <c r="L94" s="485"/>
      <c r="M94" s="458"/>
      <c r="N94" s="484">
        <f>SUMIF(I12:I81,I75,N12:N81)</f>
        <v>18749.599999999995</v>
      </c>
      <c r="O94" s="485"/>
      <c r="P94" s="485"/>
      <c r="Q94" s="458"/>
      <c r="R94" s="484">
        <f>SUMIF(I12:I82,I75,R12:R82)</f>
        <v>18464.199999999997</v>
      </c>
      <c r="S94" s="485"/>
      <c r="T94" s="485"/>
      <c r="U94" s="458"/>
      <c r="V94" s="614">
        <v>0</v>
      </c>
      <c r="W94" s="615"/>
      <c r="X94" s="615"/>
      <c r="Y94" s="616"/>
      <c r="Z94" s="1"/>
      <c r="AA94" s="1"/>
    </row>
    <row r="95" spans="3:27" ht="24.75" customHeight="1">
      <c r="C95" s="468" t="s">
        <v>198</v>
      </c>
      <c r="D95" s="469"/>
      <c r="E95" s="469"/>
      <c r="F95" s="469"/>
      <c r="G95" s="469"/>
      <c r="H95" s="469"/>
      <c r="I95" s="480"/>
      <c r="J95" s="484">
        <v>0</v>
      </c>
      <c r="K95" s="485"/>
      <c r="L95" s="485"/>
      <c r="M95" s="458"/>
      <c r="N95" s="484"/>
      <c r="O95" s="485"/>
      <c r="P95" s="485"/>
      <c r="Q95" s="458"/>
      <c r="R95" s="484">
        <v>0</v>
      </c>
      <c r="S95" s="485"/>
      <c r="T95" s="485"/>
      <c r="U95" s="458"/>
      <c r="V95" s="614">
        <v>0</v>
      </c>
      <c r="W95" s="615"/>
      <c r="X95" s="615"/>
      <c r="Y95" s="616"/>
      <c r="Z95" s="1"/>
      <c r="AA95" s="1"/>
    </row>
    <row r="96" spans="3:27" ht="26.25" customHeight="1">
      <c r="C96" s="462" t="s">
        <v>37</v>
      </c>
      <c r="D96" s="463"/>
      <c r="E96" s="463"/>
      <c r="F96" s="463"/>
      <c r="G96" s="463"/>
      <c r="H96" s="463"/>
      <c r="I96" s="464"/>
      <c r="J96" s="484">
        <v>0</v>
      </c>
      <c r="K96" s="485"/>
      <c r="L96" s="485"/>
      <c r="M96" s="458"/>
      <c r="N96" s="484">
        <v>0</v>
      </c>
      <c r="O96" s="485"/>
      <c r="P96" s="485"/>
      <c r="Q96" s="458"/>
      <c r="R96" s="484">
        <v>0</v>
      </c>
      <c r="S96" s="485"/>
      <c r="T96" s="485"/>
      <c r="U96" s="458"/>
      <c r="V96" s="614">
        <v>0</v>
      </c>
      <c r="W96" s="615"/>
      <c r="X96" s="615"/>
      <c r="Y96" s="616"/>
      <c r="Z96" s="397"/>
      <c r="AA96" s="1"/>
    </row>
    <row r="97" spans="3:27" ht="14.25" customHeight="1">
      <c r="C97" s="468" t="s">
        <v>19</v>
      </c>
      <c r="D97" s="469"/>
      <c r="E97" s="469"/>
      <c r="F97" s="469"/>
      <c r="G97" s="469"/>
      <c r="H97" s="469"/>
      <c r="I97" s="469"/>
      <c r="J97" s="484">
        <f>SUMIF(I12:I81,I57,J12:J81)</f>
        <v>2400.5</v>
      </c>
      <c r="K97" s="485"/>
      <c r="L97" s="485"/>
      <c r="M97" s="458"/>
      <c r="N97" s="484">
        <f>SUMIF(I12:I82,I70,N12:N83)</f>
        <v>0</v>
      </c>
      <c r="O97" s="485"/>
      <c r="P97" s="485"/>
      <c r="Q97" s="458"/>
      <c r="R97" s="484">
        <v>0</v>
      </c>
      <c r="S97" s="485"/>
      <c r="T97" s="485"/>
      <c r="U97" s="458"/>
      <c r="V97" s="614">
        <v>0</v>
      </c>
      <c r="W97" s="615"/>
      <c r="X97" s="615"/>
      <c r="Y97" s="616"/>
      <c r="Z97" s="397"/>
      <c r="AA97" s="1"/>
    </row>
    <row r="98" spans="3:27" ht="27" customHeight="1" thickBot="1">
      <c r="C98" s="468" t="s">
        <v>117</v>
      </c>
      <c r="D98" s="469"/>
      <c r="E98" s="469"/>
      <c r="F98" s="469"/>
      <c r="G98" s="469"/>
      <c r="H98" s="469"/>
      <c r="I98" s="469"/>
      <c r="J98" s="605">
        <f>J58+J54</f>
        <v>450</v>
      </c>
      <c r="K98" s="606"/>
      <c r="L98" s="606"/>
      <c r="M98" s="607"/>
      <c r="N98" s="605">
        <f>J98-450</f>
        <v>0</v>
      </c>
      <c r="O98" s="606"/>
      <c r="P98" s="606"/>
      <c r="Q98" s="607"/>
      <c r="R98" s="605">
        <v>0</v>
      </c>
      <c r="S98" s="606"/>
      <c r="T98" s="606"/>
      <c r="U98" s="607"/>
      <c r="V98" s="608">
        <v>0</v>
      </c>
      <c r="W98" s="609"/>
      <c r="X98" s="609"/>
      <c r="Y98" s="610"/>
      <c r="Z98" s="1"/>
      <c r="AA98" s="1"/>
    </row>
    <row r="99" spans="3:27" ht="13.5" customHeight="1" thickBot="1">
      <c r="C99" s="474" t="s">
        <v>36</v>
      </c>
      <c r="D99" s="475"/>
      <c r="E99" s="475"/>
      <c r="F99" s="475"/>
      <c r="G99" s="475"/>
      <c r="H99" s="475"/>
      <c r="I99" s="476"/>
      <c r="J99" s="454">
        <f>J100+J101+J102+J103+J106+J107+J104+J105</f>
        <v>65149.9</v>
      </c>
      <c r="K99" s="455"/>
      <c r="L99" s="455"/>
      <c r="M99" s="456"/>
      <c r="N99" s="454">
        <f>N100+N101+N102+N103+N106+N107+N104+N105</f>
        <v>49904.9</v>
      </c>
      <c r="O99" s="455"/>
      <c r="P99" s="455"/>
      <c r="Q99" s="456"/>
      <c r="R99" s="454">
        <f>R100+R101+R102+R103+R106+R107+R104+R105</f>
        <v>49904.9</v>
      </c>
      <c r="S99" s="455"/>
      <c r="T99" s="455"/>
      <c r="U99" s="456"/>
      <c r="V99" s="629">
        <f>V100+V101+V102+V103+V106+V107+V104+V105</f>
        <v>0</v>
      </c>
      <c r="W99" s="630"/>
      <c r="X99" s="630"/>
      <c r="Y99" s="631"/>
      <c r="Z99" s="1"/>
      <c r="AA99" s="1"/>
    </row>
    <row r="100" spans="3:27" ht="13.5" customHeight="1">
      <c r="C100" s="470" t="s">
        <v>22</v>
      </c>
      <c r="D100" s="471"/>
      <c r="E100" s="471"/>
      <c r="F100" s="471"/>
      <c r="G100" s="471"/>
      <c r="H100" s="471"/>
      <c r="I100" s="471"/>
      <c r="J100" s="484">
        <v>0</v>
      </c>
      <c r="K100" s="485"/>
      <c r="L100" s="485"/>
      <c r="M100" s="458"/>
      <c r="N100" s="484">
        <v>0</v>
      </c>
      <c r="O100" s="485"/>
      <c r="P100" s="485"/>
      <c r="Q100" s="458"/>
      <c r="R100" s="484">
        <v>0</v>
      </c>
      <c r="S100" s="485"/>
      <c r="T100" s="485"/>
      <c r="U100" s="458"/>
      <c r="V100" s="614">
        <v>0</v>
      </c>
      <c r="W100" s="615"/>
      <c r="X100" s="615"/>
      <c r="Y100" s="616"/>
      <c r="Z100" s="1"/>
      <c r="AA100" s="1"/>
    </row>
    <row r="101" spans="3:27" ht="13.5" customHeight="1">
      <c r="C101" s="472" t="s">
        <v>46</v>
      </c>
      <c r="D101" s="473"/>
      <c r="E101" s="473"/>
      <c r="F101" s="473"/>
      <c r="G101" s="473"/>
      <c r="H101" s="473"/>
      <c r="I101" s="473"/>
      <c r="J101" s="484">
        <v>0</v>
      </c>
      <c r="K101" s="485"/>
      <c r="L101" s="485"/>
      <c r="M101" s="458"/>
      <c r="N101" s="484">
        <v>0</v>
      </c>
      <c r="O101" s="485"/>
      <c r="P101" s="485"/>
      <c r="Q101" s="458"/>
      <c r="R101" s="484">
        <v>0</v>
      </c>
      <c r="S101" s="485"/>
      <c r="T101" s="485"/>
      <c r="U101" s="458"/>
      <c r="V101" s="614">
        <v>0</v>
      </c>
      <c r="W101" s="615"/>
      <c r="X101" s="615"/>
      <c r="Y101" s="616"/>
      <c r="Z101" s="1"/>
      <c r="AA101" s="1"/>
    </row>
    <row r="102" spans="3:27" ht="13.5" customHeight="1">
      <c r="C102" s="472" t="s">
        <v>34</v>
      </c>
      <c r="D102" s="473"/>
      <c r="E102" s="473"/>
      <c r="F102" s="473"/>
      <c r="G102" s="473"/>
      <c r="H102" s="473"/>
      <c r="I102" s="473"/>
      <c r="J102" s="484">
        <v>0</v>
      </c>
      <c r="K102" s="485"/>
      <c r="L102" s="485"/>
      <c r="M102" s="458"/>
      <c r="N102" s="484">
        <v>0</v>
      </c>
      <c r="O102" s="485"/>
      <c r="P102" s="485"/>
      <c r="Q102" s="458"/>
      <c r="R102" s="484">
        <v>0</v>
      </c>
      <c r="S102" s="485"/>
      <c r="T102" s="485"/>
      <c r="U102" s="458"/>
      <c r="V102" s="614">
        <v>0</v>
      </c>
      <c r="W102" s="615"/>
      <c r="X102" s="615"/>
      <c r="Y102" s="616"/>
      <c r="Z102" s="1"/>
      <c r="AA102" s="1"/>
    </row>
    <row r="103" spans="3:27" ht="13.5" customHeight="1">
      <c r="C103" s="477" t="s">
        <v>21</v>
      </c>
      <c r="D103" s="478"/>
      <c r="E103" s="478"/>
      <c r="F103" s="478"/>
      <c r="G103" s="478"/>
      <c r="H103" s="478"/>
      <c r="I103" s="479"/>
      <c r="J103" s="484">
        <f>SUMIF(I12:I81,I80,J12:J81)</f>
        <v>65149.9</v>
      </c>
      <c r="K103" s="485"/>
      <c r="L103" s="485"/>
      <c r="M103" s="458"/>
      <c r="N103" s="484">
        <f>SUMIF(I12:I83,I80,N12:N83)</f>
        <v>49904.9</v>
      </c>
      <c r="O103" s="485"/>
      <c r="P103" s="485"/>
      <c r="Q103" s="458"/>
      <c r="R103" s="484">
        <f>SUMIF(I12:I82,I78,R12:R82)</f>
        <v>49904.9</v>
      </c>
      <c r="S103" s="485"/>
      <c r="T103" s="485"/>
      <c r="U103" s="458"/>
      <c r="V103" s="614">
        <v>0</v>
      </c>
      <c r="W103" s="615"/>
      <c r="X103" s="615"/>
      <c r="Y103" s="616"/>
      <c r="Z103" s="1"/>
      <c r="AA103" s="1"/>
    </row>
    <row r="104" spans="3:27" ht="15" customHeight="1">
      <c r="C104" s="462" t="s">
        <v>48</v>
      </c>
      <c r="D104" s="463"/>
      <c r="E104" s="463"/>
      <c r="F104" s="463"/>
      <c r="G104" s="463"/>
      <c r="H104" s="463"/>
      <c r="I104" s="464"/>
      <c r="J104" s="484">
        <v>0</v>
      </c>
      <c r="K104" s="485"/>
      <c r="L104" s="485"/>
      <c r="M104" s="458"/>
      <c r="N104" s="484">
        <v>0</v>
      </c>
      <c r="O104" s="485"/>
      <c r="P104" s="485"/>
      <c r="Q104" s="458"/>
      <c r="R104" s="484">
        <v>0</v>
      </c>
      <c r="S104" s="485"/>
      <c r="T104" s="485"/>
      <c r="U104" s="458"/>
      <c r="V104" s="614">
        <v>0</v>
      </c>
      <c r="W104" s="615"/>
      <c r="X104" s="615"/>
      <c r="Y104" s="616"/>
      <c r="Z104" s="1"/>
      <c r="AA104" s="1"/>
    </row>
    <row r="105" spans="3:27" ht="13.5" customHeight="1">
      <c r="C105" s="468" t="s">
        <v>49</v>
      </c>
      <c r="D105" s="469"/>
      <c r="E105" s="469"/>
      <c r="F105" s="469"/>
      <c r="G105" s="469"/>
      <c r="H105" s="469"/>
      <c r="I105" s="469"/>
      <c r="J105" s="484">
        <v>0</v>
      </c>
      <c r="K105" s="485"/>
      <c r="L105" s="485"/>
      <c r="M105" s="458"/>
      <c r="N105" s="484">
        <v>0</v>
      </c>
      <c r="O105" s="485"/>
      <c r="P105" s="485"/>
      <c r="Q105" s="458"/>
      <c r="R105" s="484">
        <v>0</v>
      </c>
      <c r="S105" s="485"/>
      <c r="T105" s="485"/>
      <c r="U105" s="458"/>
      <c r="V105" s="614">
        <v>0</v>
      </c>
      <c r="W105" s="615"/>
      <c r="X105" s="615"/>
      <c r="Y105" s="616"/>
      <c r="Z105" s="1"/>
      <c r="AA105" s="1"/>
    </row>
    <row r="106" spans="3:27" ht="13.5" customHeight="1">
      <c r="C106" s="477" t="s">
        <v>20</v>
      </c>
      <c r="D106" s="478"/>
      <c r="E106" s="478"/>
      <c r="F106" s="478"/>
      <c r="G106" s="478"/>
      <c r="H106" s="478"/>
      <c r="I106" s="479"/>
      <c r="J106" s="484">
        <v>0</v>
      </c>
      <c r="K106" s="485"/>
      <c r="L106" s="485"/>
      <c r="M106" s="458"/>
      <c r="N106" s="484">
        <v>0</v>
      </c>
      <c r="O106" s="485"/>
      <c r="P106" s="485"/>
      <c r="Q106" s="458"/>
      <c r="R106" s="484">
        <v>0</v>
      </c>
      <c r="S106" s="485"/>
      <c r="T106" s="485"/>
      <c r="U106" s="458"/>
      <c r="V106" s="614">
        <v>0</v>
      </c>
      <c r="W106" s="615"/>
      <c r="X106" s="615"/>
      <c r="Y106" s="616"/>
      <c r="Z106" s="1"/>
      <c r="AA106" s="1"/>
    </row>
    <row r="107" spans="3:25" ht="13.5" customHeight="1" thickBot="1">
      <c r="C107" s="462" t="s">
        <v>35</v>
      </c>
      <c r="D107" s="463"/>
      <c r="E107" s="463"/>
      <c r="F107" s="463"/>
      <c r="G107" s="463"/>
      <c r="H107" s="463"/>
      <c r="I107" s="464"/>
      <c r="J107" s="617">
        <v>0</v>
      </c>
      <c r="K107" s="618"/>
      <c r="L107" s="618"/>
      <c r="M107" s="619"/>
      <c r="N107" s="617">
        <v>0</v>
      </c>
      <c r="O107" s="618"/>
      <c r="P107" s="618"/>
      <c r="Q107" s="619"/>
      <c r="R107" s="617">
        <v>0</v>
      </c>
      <c r="S107" s="618"/>
      <c r="T107" s="618"/>
      <c r="U107" s="619"/>
      <c r="V107" s="623">
        <v>0</v>
      </c>
      <c r="W107" s="624"/>
      <c r="X107" s="624"/>
      <c r="Y107" s="625"/>
    </row>
    <row r="108" spans="3:25" ht="13.5" customHeight="1" thickBot="1">
      <c r="C108" s="465" t="s">
        <v>38</v>
      </c>
      <c r="D108" s="466"/>
      <c r="E108" s="466"/>
      <c r="F108" s="466"/>
      <c r="G108" s="466"/>
      <c r="H108" s="466"/>
      <c r="I108" s="467"/>
      <c r="J108" s="620">
        <f>J99+J90</f>
        <v>83554.7</v>
      </c>
      <c r="K108" s="621"/>
      <c r="L108" s="621"/>
      <c r="M108" s="622"/>
      <c r="N108" s="620">
        <f>N99+N90</f>
        <v>68654.5</v>
      </c>
      <c r="O108" s="621"/>
      <c r="P108" s="621"/>
      <c r="Q108" s="622"/>
      <c r="R108" s="620">
        <f>R99+R90</f>
        <v>68369.1</v>
      </c>
      <c r="S108" s="621"/>
      <c r="T108" s="621"/>
      <c r="U108" s="622"/>
      <c r="V108" s="626" t="e">
        <f>V99+V90</f>
        <v>#REF!</v>
      </c>
      <c r="W108" s="627"/>
      <c r="X108" s="627"/>
      <c r="Y108" s="628"/>
    </row>
    <row r="109" spans="10:25" ht="11.25"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2" spans="7:20" ht="15.75">
      <c r="G112" s="71"/>
      <c r="L112" s="71"/>
      <c r="S112" s="71"/>
      <c r="T112" s="71"/>
    </row>
    <row r="114" spans="4:34" ht="12.75"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</row>
    <row r="116" spans="7:19" ht="15.75">
      <c r="G116" s="71"/>
      <c r="S116" s="71"/>
    </row>
  </sheetData>
  <mergeCells count="357">
    <mergeCell ref="AB54:AB58"/>
    <mergeCell ref="AC69:AC70"/>
    <mergeCell ref="AD69:AD70"/>
    <mergeCell ref="AE69:AE70"/>
    <mergeCell ref="AB69:AB71"/>
    <mergeCell ref="B18:B20"/>
    <mergeCell ref="C18:C20"/>
    <mergeCell ref="AB52:AB53"/>
    <mergeCell ref="G51:G55"/>
    <mergeCell ref="H51:H55"/>
    <mergeCell ref="C51:C55"/>
    <mergeCell ref="D51:D55"/>
    <mergeCell ref="E51:E55"/>
    <mergeCell ref="F51:F55"/>
    <mergeCell ref="E23:E25"/>
    <mergeCell ref="AC3:AE3"/>
    <mergeCell ref="A9:AE9"/>
    <mergeCell ref="B10:AE10"/>
    <mergeCell ref="C11:AE11"/>
    <mergeCell ref="J5:M5"/>
    <mergeCell ref="N5:Q5"/>
    <mergeCell ref="R5:U5"/>
    <mergeCell ref="J6:J7"/>
    <mergeCell ref="K6:L6"/>
    <mergeCell ref="M6:M7"/>
    <mergeCell ref="A18:A20"/>
    <mergeCell ref="AB65:AB66"/>
    <mergeCell ref="AD28:AD31"/>
    <mergeCell ref="AE28:AE31"/>
    <mergeCell ref="AB41:AB44"/>
    <mergeCell ref="AC46:AC48"/>
    <mergeCell ref="AD46:AD48"/>
    <mergeCell ref="AE46:AE48"/>
    <mergeCell ref="AC32:AC33"/>
    <mergeCell ref="AD32:AD33"/>
    <mergeCell ref="AE32:AE33"/>
    <mergeCell ref="AD15:AD17"/>
    <mergeCell ref="AE15:AE17"/>
    <mergeCell ref="AC23:AC24"/>
    <mergeCell ref="AD23:AD24"/>
    <mergeCell ref="AE23:AE24"/>
    <mergeCell ref="AB80:AB81"/>
    <mergeCell ref="AB19:AB20"/>
    <mergeCell ref="AB46:AB48"/>
    <mergeCell ref="AB28:AB31"/>
    <mergeCell ref="AB49:AB50"/>
    <mergeCell ref="AB60:AB63"/>
    <mergeCell ref="AB23:AB25"/>
    <mergeCell ref="AB26:AB27"/>
    <mergeCell ref="AB21:AB22"/>
    <mergeCell ref="AB75:AB77"/>
    <mergeCell ref="G72:G74"/>
    <mergeCell ref="H72:H74"/>
    <mergeCell ref="C72:C74"/>
    <mergeCell ref="D72:D74"/>
    <mergeCell ref="E72:E74"/>
    <mergeCell ref="H75:H77"/>
    <mergeCell ref="C75:C77"/>
    <mergeCell ref="D75:D77"/>
    <mergeCell ref="E75:E77"/>
    <mergeCell ref="F75:F77"/>
    <mergeCell ref="D78:D79"/>
    <mergeCell ref="E78:E79"/>
    <mergeCell ref="F78:F79"/>
    <mergeCell ref="G75:G77"/>
    <mergeCell ref="G67:G68"/>
    <mergeCell ref="H67:H68"/>
    <mergeCell ref="C67:C68"/>
    <mergeCell ref="D67:D68"/>
    <mergeCell ref="E67:E68"/>
    <mergeCell ref="F67:F68"/>
    <mergeCell ref="D60:D64"/>
    <mergeCell ref="E60:E64"/>
    <mergeCell ref="F60:F64"/>
    <mergeCell ref="G60:G64"/>
    <mergeCell ref="E56:E59"/>
    <mergeCell ref="F56:F59"/>
    <mergeCell ref="G56:G59"/>
    <mergeCell ref="H56:H59"/>
    <mergeCell ref="C65:C66"/>
    <mergeCell ref="D65:D66"/>
    <mergeCell ref="E65:E66"/>
    <mergeCell ref="F65:F66"/>
    <mergeCell ref="G65:G66"/>
    <mergeCell ref="H65:H66"/>
    <mergeCell ref="C60:C64"/>
    <mergeCell ref="E12:E15"/>
    <mergeCell ref="E28:E29"/>
    <mergeCell ref="F28:F29"/>
    <mergeCell ref="G28:G29"/>
    <mergeCell ref="H28:H29"/>
    <mergeCell ref="G21:G22"/>
    <mergeCell ref="H21:H22"/>
    <mergeCell ref="F23:F25"/>
    <mergeCell ref="G23:G25"/>
    <mergeCell ref="E16:E17"/>
    <mergeCell ref="F16:F17"/>
    <mergeCell ref="H23:H25"/>
    <mergeCell ref="G18:G20"/>
    <mergeCell ref="H18:H20"/>
    <mergeCell ref="G16:G17"/>
    <mergeCell ref="H16:H17"/>
    <mergeCell ref="A12:A15"/>
    <mergeCell ref="B12:B15"/>
    <mergeCell ref="C12:C15"/>
    <mergeCell ref="D12:D15"/>
    <mergeCell ref="A16:A17"/>
    <mergeCell ref="B16:B17"/>
    <mergeCell ref="C16:C17"/>
    <mergeCell ref="D16:D17"/>
    <mergeCell ref="A23:A25"/>
    <mergeCell ref="B23:B25"/>
    <mergeCell ref="C23:C25"/>
    <mergeCell ref="D23:D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A30:A31"/>
    <mergeCell ref="B30:B31"/>
    <mergeCell ref="C30:C31"/>
    <mergeCell ref="D30:D31"/>
    <mergeCell ref="E30:E31"/>
    <mergeCell ref="F30:F31"/>
    <mergeCell ref="G30:G31"/>
    <mergeCell ref="H30:H31"/>
    <mergeCell ref="E32:E34"/>
    <mergeCell ref="F32:F34"/>
    <mergeCell ref="G32:G34"/>
    <mergeCell ref="H32:H34"/>
    <mergeCell ref="A32:A34"/>
    <mergeCell ref="B32:B34"/>
    <mergeCell ref="C32:C34"/>
    <mergeCell ref="D32:D34"/>
    <mergeCell ref="A35:A36"/>
    <mergeCell ref="B35:B36"/>
    <mergeCell ref="C35:C36"/>
    <mergeCell ref="D35:D36"/>
    <mergeCell ref="E35:E36"/>
    <mergeCell ref="F35:F36"/>
    <mergeCell ref="G35:G36"/>
    <mergeCell ref="H35:H36"/>
    <mergeCell ref="E37:E38"/>
    <mergeCell ref="F37:F38"/>
    <mergeCell ref="G37:G38"/>
    <mergeCell ref="H37:H38"/>
    <mergeCell ref="A37:A38"/>
    <mergeCell ref="B37:B38"/>
    <mergeCell ref="C37:C38"/>
    <mergeCell ref="D37:D38"/>
    <mergeCell ref="H47:H48"/>
    <mergeCell ref="AC28:AC31"/>
    <mergeCell ref="H41:H44"/>
    <mergeCell ref="H45:H46"/>
    <mergeCell ref="AB32:AB34"/>
    <mergeCell ref="R104:U104"/>
    <mergeCell ref="G69:G71"/>
    <mergeCell ref="H69:H71"/>
    <mergeCell ref="G80:G81"/>
    <mergeCell ref="H80:H81"/>
    <mergeCell ref="G78:G79"/>
    <mergeCell ref="H78:H79"/>
    <mergeCell ref="R99:U99"/>
    <mergeCell ref="R98:U98"/>
    <mergeCell ref="R91:U91"/>
    <mergeCell ref="V99:Y99"/>
    <mergeCell ref="V104:Y104"/>
    <mergeCell ref="C105:I105"/>
    <mergeCell ref="J105:M105"/>
    <mergeCell ref="N105:Q105"/>
    <mergeCell ref="R105:U105"/>
    <mergeCell ref="V105:Y105"/>
    <mergeCell ref="C104:I104"/>
    <mergeCell ref="J104:M104"/>
    <mergeCell ref="N104:Q104"/>
    <mergeCell ref="J106:M106"/>
    <mergeCell ref="J101:M101"/>
    <mergeCell ref="J102:M102"/>
    <mergeCell ref="J103:M103"/>
    <mergeCell ref="V102:Y102"/>
    <mergeCell ref="V103:Y103"/>
    <mergeCell ref="V106:Y106"/>
    <mergeCell ref="V101:Y101"/>
    <mergeCell ref="V107:Y107"/>
    <mergeCell ref="V108:Y108"/>
    <mergeCell ref="R100:U100"/>
    <mergeCell ref="R101:U101"/>
    <mergeCell ref="R102:U102"/>
    <mergeCell ref="R103:U103"/>
    <mergeCell ref="R106:U106"/>
    <mergeCell ref="R107:U107"/>
    <mergeCell ref="R108:U108"/>
    <mergeCell ref="V100:Y100"/>
    <mergeCell ref="J107:M107"/>
    <mergeCell ref="J108:M108"/>
    <mergeCell ref="N100:Q100"/>
    <mergeCell ref="N101:Q101"/>
    <mergeCell ref="N102:Q102"/>
    <mergeCell ref="N103:Q103"/>
    <mergeCell ref="N106:Q106"/>
    <mergeCell ref="N107:Q107"/>
    <mergeCell ref="N108:Q108"/>
    <mergeCell ref="J100:M100"/>
    <mergeCell ref="V98:Y98"/>
    <mergeCell ref="V91:Y91"/>
    <mergeCell ref="V96:Y96"/>
    <mergeCell ref="V97:Y97"/>
    <mergeCell ref="V92:Y92"/>
    <mergeCell ref="V93:Y93"/>
    <mergeCell ref="V94:Y94"/>
    <mergeCell ref="V95:Y95"/>
    <mergeCell ref="R96:U96"/>
    <mergeCell ref="R97:U97"/>
    <mergeCell ref="R92:U92"/>
    <mergeCell ref="R93:U93"/>
    <mergeCell ref="R94:U94"/>
    <mergeCell ref="R95:U95"/>
    <mergeCell ref="N99:Q99"/>
    <mergeCell ref="N98:Q98"/>
    <mergeCell ref="N91:Q91"/>
    <mergeCell ref="N96:Q96"/>
    <mergeCell ref="N97:Q97"/>
    <mergeCell ref="N92:Q92"/>
    <mergeCell ref="N93:Q93"/>
    <mergeCell ref="N94:Q94"/>
    <mergeCell ref="N95:Q95"/>
    <mergeCell ref="J99:M99"/>
    <mergeCell ref="J97:M97"/>
    <mergeCell ref="J98:M98"/>
    <mergeCell ref="J92:M92"/>
    <mergeCell ref="J93:M93"/>
    <mergeCell ref="J94:M94"/>
    <mergeCell ref="A2:AE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V5:Y5"/>
    <mergeCell ref="Z5:Z7"/>
    <mergeCell ref="AA5:AA7"/>
    <mergeCell ref="AB5:AE5"/>
    <mergeCell ref="W6:X6"/>
    <mergeCell ref="Y6:Y7"/>
    <mergeCell ref="AB6:AB7"/>
    <mergeCell ref="AC6:AE6"/>
    <mergeCell ref="S6:T6"/>
    <mergeCell ref="U6:U7"/>
    <mergeCell ref="V6:V7"/>
    <mergeCell ref="A8:AE8"/>
    <mergeCell ref="N6:N7"/>
    <mergeCell ref="O6:P6"/>
    <mergeCell ref="Q6:Q7"/>
    <mergeCell ref="R6:R7"/>
    <mergeCell ref="D18:D20"/>
    <mergeCell ref="E18:E20"/>
    <mergeCell ref="F18:F20"/>
    <mergeCell ref="AC15:AC17"/>
    <mergeCell ref="H12:H15"/>
    <mergeCell ref="F12:F15"/>
    <mergeCell ref="G12:G15"/>
    <mergeCell ref="AB15:AB17"/>
    <mergeCell ref="C21:C22"/>
    <mergeCell ref="D21:D22"/>
    <mergeCell ref="E21:E22"/>
    <mergeCell ref="F21:F22"/>
    <mergeCell ref="A39:A40"/>
    <mergeCell ref="B39:B40"/>
    <mergeCell ref="C39:C40"/>
    <mergeCell ref="D39:D40"/>
    <mergeCell ref="E39:E40"/>
    <mergeCell ref="F39:F40"/>
    <mergeCell ref="G39:G40"/>
    <mergeCell ref="H39:H40"/>
    <mergeCell ref="E41:E44"/>
    <mergeCell ref="F41:F44"/>
    <mergeCell ref="G41:G44"/>
    <mergeCell ref="F47:F48"/>
    <mergeCell ref="F45:F46"/>
    <mergeCell ref="G45:G46"/>
    <mergeCell ref="G47:G48"/>
    <mergeCell ref="A41:A44"/>
    <mergeCell ref="B41:B44"/>
    <mergeCell ref="C41:C44"/>
    <mergeCell ref="D41:D44"/>
    <mergeCell ref="E49:E50"/>
    <mergeCell ref="F49:F50"/>
    <mergeCell ref="A45:A46"/>
    <mergeCell ref="B45:B46"/>
    <mergeCell ref="C45:C46"/>
    <mergeCell ref="D45:D46"/>
    <mergeCell ref="C47:C48"/>
    <mergeCell ref="D47:D48"/>
    <mergeCell ref="E47:E48"/>
    <mergeCell ref="E45:E46"/>
    <mergeCell ref="G49:G50"/>
    <mergeCell ref="H49:H50"/>
    <mergeCell ref="I86:Q86"/>
    <mergeCell ref="B84:I84"/>
    <mergeCell ref="B83:I83"/>
    <mergeCell ref="C82:I82"/>
    <mergeCell ref="C49:C50"/>
    <mergeCell ref="D49:D50"/>
    <mergeCell ref="C56:C59"/>
    <mergeCell ref="D56:D59"/>
    <mergeCell ref="A85:AE85"/>
    <mergeCell ref="C69:C71"/>
    <mergeCell ref="D69:D71"/>
    <mergeCell ref="E69:E71"/>
    <mergeCell ref="AB84:AE84"/>
    <mergeCell ref="C80:C81"/>
    <mergeCell ref="D80:D81"/>
    <mergeCell ref="E80:E81"/>
    <mergeCell ref="F80:F81"/>
    <mergeCell ref="C78:C79"/>
    <mergeCell ref="R89:U89"/>
    <mergeCell ref="V89:Y89"/>
    <mergeCell ref="C89:I89"/>
    <mergeCell ref="J89:M89"/>
    <mergeCell ref="N89:Q89"/>
    <mergeCell ref="C90:I90"/>
    <mergeCell ref="R90:U90"/>
    <mergeCell ref="V90:Y90"/>
    <mergeCell ref="J90:M90"/>
    <mergeCell ref="N90:Q90"/>
    <mergeCell ref="J91:M91"/>
    <mergeCell ref="C91:I91"/>
    <mergeCell ref="C96:I96"/>
    <mergeCell ref="J95:M95"/>
    <mergeCell ref="J96:M96"/>
    <mergeCell ref="C97:I97"/>
    <mergeCell ref="C92:I92"/>
    <mergeCell ref="C93:I93"/>
    <mergeCell ref="C94:I94"/>
    <mergeCell ref="C95:I95"/>
    <mergeCell ref="H60:H64"/>
    <mergeCell ref="C107:I107"/>
    <mergeCell ref="C108:I108"/>
    <mergeCell ref="C98:I98"/>
    <mergeCell ref="C100:I100"/>
    <mergeCell ref="C101:I101"/>
    <mergeCell ref="C102:I102"/>
    <mergeCell ref="C99:I99"/>
    <mergeCell ref="C103:I103"/>
    <mergeCell ref="C106:I106"/>
  </mergeCells>
  <printOptions/>
  <pageMargins left="0.75" right="0.75" top="0.7874015748031497" bottom="0" header="0" footer="0"/>
  <pageSetup horizontalDpi="600" verticalDpi="600" orientation="landscape" scale="75" r:id="rId1"/>
  <rowBreaks count="3" manualBreakCount="3">
    <brk id="38" max="30" man="1"/>
    <brk id="66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8515625" style="0" customWidth="1"/>
    <col min="4" max="4" width="11.00390625" style="0" customWidth="1"/>
    <col min="5" max="6" width="11.28125" style="0" customWidth="1"/>
  </cols>
  <sheetData>
    <row r="1" spans="5:6" ht="15.75">
      <c r="E1" s="703" t="s">
        <v>220</v>
      </c>
      <c r="F1" s="703"/>
    </row>
    <row r="2" spans="1:6" ht="15.75">
      <c r="A2" s="700" t="s">
        <v>219</v>
      </c>
      <c r="B2" s="701"/>
      <c r="C2" s="701"/>
      <c r="D2" s="701"/>
      <c r="E2" s="702"/>
      <c r="F2" s="702"/>
    </row>
    <row r="3" ht="11.25" customHeight="1" thickBot="1">
      <c r="F3" s="87" t="s">
        <v>0</v>
      </c>
    </row>
    <row r="4" spans="1:6" ht="12.75" customHeight="1">
      <c r="A4" s="707" t="s">
        <v>23</v>
      </c>
      <c r="B4" s="704" t="s">
        <v>108</v>
      </c>
      <c r="C4" s="707" t="s">
        <v>109</v>
      </c>
      <c r="D4" s="704" t="s">
        <v>196</v>
      </c>
      <c r="E4" s="704" t="s">
        <v>118</v>
      </c>
      <c r="F4" s="704" t="s">
        <v>119</v>
      </c>
    </row>
    <row r="5" spans="1:6" ht="12.75">
      <c r="A5" s="710"/>
      <c r="B5" s="705"/>
      <c r="C5" s="708"/>
      <c r="D5" s="705"/>
      <c r="E5" s="705"/>
      <c r="F5" s="705"/>
    </row>
    <row r="6" spans="1:8" ht="12.75">
      <c r="A6" s="710"/>
      <c r="B6" s="705"/>
      <c r="C6" s="708"/>
      <c r="D6" s="705"/>
      <c r="E6" s="705"/>
      <c r="F6" s="705"/>
      <c r="G6" s="84"/>
      <c r="H6" s="84"/>
    </row>
    <row r="7" spans="1:8" ht="31.5" customHeight="1" thickBot="1">
      <c r="A7" s="711"/>
      <c r="B7" s="706"/>
      <c r="C7" s="709"/>
      <c r="D7" s="706"/>
      <c r="E7" s="706"/>
      <c r="F7" s="706"/>
      <c r="G7" s="84"/>
      <c r="H7" s="84"/>
    </row>
    <row r="8" spans="1:8" ht="17.25" customHeight="1">
      <c r="A8" s="107" t="s">
        <v>39</v>
      </c>
      <c r="B8" s="72">
        <f>B9+B11</f>
        <v>83554.7</v>
      </c>
      <c r="C8" s="43">
        <f>C9+C11</f>
        <v>68654.5</v>
      </c>
      <c r="D8" s="72">
        <f>D9+D11</f>
        <v>68369.09999999998</v>
      </c>
      <c r="E8" s="72">
        <f>E12</f>
        <v>87520</v>
      </c>
      <c r="F8" s="108">
        <f>F12</f>
        <v>87520</v>
      </c>
      <c r="G8" s="85"/>
      <c r="H8" s="84"/>
    </row>
    <row r="9" spans="1:8" ht="15" customHeight="1">
      <c r="A9" s="109" t="s">
        <v>54</v>
      </c>
      <c r="B9" s="73">
        <f>'1 lentelė'!K84</f>
        <v>83354.7</v>
      </c>
      <c r="C9" s="44">
        <v>68654.5</v>
      </c>
      <c r="D9" s="80">
        <f>'1 lentelė'!S84</f>
        <v>68369.09999999998</v>
      </c>
      <c r="E9" s="73">
        <v>87520</v>
      </c>
      <c r="F9" s="110">
        <v>87520</v>
      </c>
      <c r="G9" s="84"/>
      <c r="H9" s="84"/>
    </row>
    <row r="10" spans="1:8" ht="16.5" customHeight="1">
      <c r="A10" s="102" t="s">
        <v>55</v>
      </c>
      <c r="B10" s="74">
        <f>'1 lentelė'!L84</f>
        <v>3153.2000000000003</v>
      </c>
      <c r="C10" s="45">
        <f>'1 lentelė'!P84</f>
        <v>2748.5</v>
      </c>
      <c r="D10" s="81">
        <f>'1 lentelė'!T84</f>
        <v>2686.8999999999996</v>
      </c>
      <c r="E10" s="73">
        <v>0</v>
      </c>
      <c r="F10" s="111">
        <v>0</v>
      </c>
      <c r="G10" s="84"/>
      <c r="H10" s="84"/>
    </row>
    <row r="11" spans="1:8" ht="27.75" customHeight="1" thickBot="1">
      <c r="A11" s="112" t="s">
        <v>24</v>
      </c>
      <c r="B11" s="96">
        <f>'1 lentelė'!M84</f>
        <v>200</v>
      </c>
      <c r="C11" s="97">
        <f>'1 lentelė'!Q84</f>
        <v>0</v>
      </c>
      <c r="D11" s="98">
        <f>'1 lentelė'!U84</f>
        <v>0</v>
      </c>
      <c r="E11" s="96">
        <v>0</v>
      </c>
      <c r="F11" s="113">
        <v>0</v>
      </c>
      <c r="G11" s="84"/>
      <c r="H11" s="84"/>
    </row>
    <row r="12" spans="1:6" ht="19.5" customHeight="1" thickBot="1">
      <c r="A12" s="114" t="s">
        <v>42</v>
      </c>
      <c r="B12" s="95">
        <f>B13+B24</f>
        <v>83554.7</v>
      </c>
      <c r="C12" s="95">
        <f>C13+C24</f>
        <v>68654.5</v>
      </c>
      <c r="D12" s="95">
        <f>D13+D24</f>
        <v>68369.1</v>
      </c>
      <c r="E12" s="95">
        <f>E13+E24</f>
        <v>87520</v>
      </c>
      <c r="F12" s="95">
        <f>F13+F24</f>
        <v>87520</v>
      </c>
    </row>
    <row r="13" spans="1:6" ht="22.5" customHeight="1" thickBot="1">
      <c r="A13" s="115" t="s">
        <v>41</v>
      </c>
      <c r="B13" s="86">
        <f>B14+B23</f>
        <v>18404.8</v>
      </c>
      <c r="C13" s="86">
        <f>C14+C23</f>
        <v>18749.599999999995</v>
      </c>
      <c r="D13" s="86">
        <f>D14+D23</f>
        <v>18464.199999999997</v>
      </c>
      <c r="E13" s="86">
        <f>E14+E23</f>
        <v>19546.7</v>
      </c>
      <c r="F13" s="86">
        <f>F14+F23</f>
        <v>19546.7</v>
      </c>
    </row>
    <row r="14" spans="1:6" ht="20.25" customHeight="1">
      <c r="A14" s="116" t="s">
        <v>210</v>
      </c>
      <c r="B14" s="76">
        <f>B15+B16+B17+B19+B21+B22</f>
        <v>18404.8</v>
      </c>
      <c r="C14" s="76">
        <f>C15+C16+C17+C19+C21+C22</f>
        <v>18749.599999999995</v>
      </c>
      <c r="D14" s="75">
        <f>D15+D16+D17+D19+D21+D22</f>
        <v>18464.199999999997</v>
      </c>
      <c r="E14" s="76">
        <f>E15+E16+E17+E19+E21+E22</f>
        <v>19546.7</v>
      </c>
      <c r="F14" s="76">
        <f>F15+F16+F17+F19+F21+F22</f>
        <v>19546.7</v>
      </c>
    </row>
    <row r="15" spans="1:6" ht="21" customHeight="1">
      <c r="A15" s="103" t="s">
        <v>211</v>
      </c>
      <c r="B15" s="77">
        <f>'1 lentelė'!J91</f>
        <v>0</v>
      </c>
      <c r="C15" s="77">
        <v>0</v>
      </c>
      <c r="D15" s="81">
        <v>0</v>
      </c>
      <c r="E15" s="77">
        <v>0</v>
      </c>
      <c r="F15" s="77">
        <v>0</v>
      </c>
    </row>
    <row r="16" spans="1:6" ht="36.75" customHeight="1">
      <c r="A16" s="102" t="s">
        <v>50</v>
      </c>
      <c r="B16" s="73">
        <v>0</v>
      </c>
      <c r="C16" s="73">
        <v>0</v>
      </c>
      <c r="D16" s="80">
        <v>0</v>
      </c>
      <c r="E16" s="73">
        <v>0</v>
      </c>
      <c r="F16" s="77">
        <v>0</v>
      </c>
    </row>
    <row r="17" spans="1:16" ht="30.75" customHeight="1">
      <c r="A17" s="102" t="s">
        <v>51</v>
      </c>
      <c r="B17" s="78">
        <v>0</v>
      </c>
      <c r="C17" s="78">
        <v>0</v>
      </c>
      <c r="D17" s="82">
        <v>0</v>
      </c>
      <c r="E17" s="78">
        <v>0</v>
      </c>
      <c r="F17" s="78">
        <v>0</v>
      </c>
      <c r="O17" s="410"/>
      <c r="P17" s="410"/>
    </row>
    <row r="18" spans="1:6" ht="39" customHeight="1">
      <c r="A18" s="102" t="s">
        <v>52</v>
      </c>
      <c r="B18" s="78">
        <v>0</v>
      </c>
      <c r="C18" s="78">
        <v>0</v>
      </c>
      <c r="D18" s="82">
        <v>0</v>
      </c>
      <c r="E18" s="78">
        <v>0</v>
      </c>
      <c r="F18" s="78">
        <v>0</v>
      </c>
    </row>
    <row r="19" spans="1:6" ht="28.5" customHeight="1">
      <c r="A19" s="102" t="s">
        <v>212</v>
      </c>
      <c r="B19" s="73">
        <f>'1 lentelė'!J94</f>
        <v>15554.3</v>
      </c>
      <c r="C19" s="73">
        <f>'1 lentelė'!N94</f>
        <v>18749.599999999995</v>
      </c>
      <c r="D19" s="80">
        <f>'1 lentelė'!R94</f>
        <v>18464.199999999997</v>
      </c>
      <c r="E19" s="73">
        <f>SUMIF('1 lentelė'!I12:I84,'1 lentelė'!I75,'1 lentelė'!Z12:Z84)</f>
        <v>19546.7</v>
      </c>
      <c r="F19" s="73">
        <f>SUMIF('1 lentelė'!I12:I84,'1 lentelė'!I75,'1 lentelė'!AA12:AA84)</f>
        <v>19546.7</v>
      </c>
    </row>
    <row r="20" spans="1:6" ht="42" customHeight="1">
      <c r="A20" s="102" t="s">
        <v>213</v>
      </c>
      <c r="B20" s="73">
        <v>0</v>
      </c>
      <c r="C20" s="73">
        <v>0</v>
      </c>
      <c r="D20" s="80">
        <v>0</v>
      </c>
      <c r="E20" s="73">
        <v>0</v>
      </c>
      <c r="F20" s="73">
        <v>0</v>
      </c>
    </row>
    <row r="21" spans="1:6" ht="32.25" customHeight="1">
      <c r="A21" s="102" t="s">
        <v>214</v>
      </c>
      <c r="B21" s="73">
        <f>'1 lentelė'!J97</f>
        <v>2400.5</v>
      </c>
      <c r="C21" s="73">
        <f>'1 lentelė'!N97</f>
        <v>0</v>
      </c>
      <c r="D21" s="80">
        <v>0</v>
      </c>
      <c r="E21" s="73">
        <v>0</v>
      </c>
      <c r="F21" s="73">
        <v>0</v>
      </c>
    </row>
    <row r="22" spans="1:6" ht="39" customHeight="1">
      <c r="A22" s="102" t="s">
        <v>215</v>
      </c>
      <c r="B22" s="77">
        <f>'1 lentelė'!J98</f>
        <v>450</v>
      </c>
      <c r="C22" s="77">
        <v>0</v>
      </c>
      <c r="D22" s="81">
        <v>0</v>
      </c>
      <c r="E22" s="77">
        <v>0</v>
      </c>
      <c r="F22" s="77">
        <v>0</v>
      </c>
    </row>
    <row r="23" spans="1:6" ht="25.5" customHeight="1" thickBot="1">
      <c r="A23" s="117" t="s">
        <v>43</v>
      </c>
      <c r="B23" s="76">
        <v>0</v>
      </c>
      <c r="C23" s="76">
        <v>0</v>
      </c>
      <c r="D23" s="75">
        <v>0</v>
      </c>
      <c r="E23" s="76">
        <v>0</v>
      </c>
      <c r="F23" s="118">
        <v>0</v>
      </c>
    </row>
    <row r="24" spans="1:6" ht="17.25" customHeight="1" thickBot="1">
      <c r="A24" s="119" t="s">
        <v>40</v>
      </c>
      <c r="B24" s="86">
        <f>B25+B26+B27</f>
        <v>65149.9</v>
      </c>
      <c r="C24" s="86">
        <f>C25+C26+C27</f>
        <v>49904.9</v>
      </c>
      <c r="D24" s="86">
        <f>D25+D26+D27</f>
        <v>49904.9</v>
      </c>
      <c r="E24" s="86">
        <f>E25+E26+E27</f>
        <v>67973.3</v>
      </c>
      <c r="F24" s="86">
        <f>F25+F26+F27</f>
        <v>67973.3</v>
      </c>
    </row>
    <row r="25" spans="1:6" ht="16.5" customHeight="1">
      <c r="A25" s="99" t="s">
        <v>200</v>
      </c>
      <c r="B25" s="100">
        <v>0</v>
      </c>
      <c r="C25" s="100">
        <v>0</v>
      </c>
      <c r="D25" s="101">
        <v>0</v>
      </c>
      <c r="E25" s="100">
        <v>0</v>
      </c>
      <c r="F25" s="100">
        <v>0</v>
      </c>
    </row>
    <row r="26" spans="1:6" ht="15" customHeight="1">
      <c r="A26" s="104" t="s">
        <v>216</v>
      </c>
      <c r="B26" s="79">
        <f>'1 lentelė'!J103</f>
        <v>65149.9</v>
      </c>
      <c r="C26" s="79">
        <f>'1 lentelė'!N103</f>
        <v>49904.9</v>
      </c>
      <c r="D26" s="83">
        <f>'1 lentelė'!R103</f>
        <v>49904.9</v>
      </c>
      <c r="E26" s="79">
        <f>SUMIF('1 lentelė'!I12:I84,'1 lentelė'!I78,'1 lentelė'!Z12:Z84)</f>
        <v>67973.3</v>
      </c>
      <c r="F26" s="79">
        <f>SUMIF('1 lentelė'!I12:I84,'1 lentelė'!I78,'1 lentelė'!AA12:AA84)</f>
        <v>67973.3</v>
      </c>
    </row>
    <row r="27" spans="1:6" ht="18.75" customHeight="1">
      <c r="A27" s="103" t="s">
        <v>217</v>
      </c>
      <c r="B27" s="77">
        <v>0</v>
      </c>
      <c r="C27" s="77">
        <v>0</v>
      </c>
      <c r="D27" s="81">
        <v>0</v>
      </c>
      <c r="E27" s="77">
        <v>0</v>
      </c>
      <c r="F27" s="77">
        <v>0</v>
      </c>
    </row>
    <row r="28" spans="1:6" ht="18" customHeight="1" thickBot="1">
      <c r="A28" s="105" t="s">
        <v>218</v>
      </c>
      <c r="B28" s="96">
        <v>0</v>
      </c>
      <c r="C28" s="96">
        <v>0</v>
      </c>
      <c r="D28" s="106">
        <v>0</v>
      </c>
      <c r="E28" s="96">
        <v>0</v>
      </c>
      <c r="F28" s="96">
        <v>0</v>
      </c>
    </row>
    <row r="29" ht="18" customHeight="1">
      <c r="A29" s="88"/>
    </row>
    <row r="30" ht="18.75" customHeight="1">
      <c r="A30" s="89"/>
    </row>
    <row r="31" spans="1:5" ht="12.75">
      <c r="A31" s="88"/>
      <c r="C31" s="90"/>
      <c r="E31" s="88"/>
    </row>
    <row r="34" ht="12.75">
      <c r="A34" s="88"/>
    </row>
  </sheetData>
  <mergeCells count="8">
    <mergeCell ref="A2:F2"/>
    <mergeCell ref="E1:F1"/>
    <mergeCell ref="E4:E7"/>
    <mergeCell ref="F4:F7"/>
    <mergeCell ref="C4:C7"/>
    <mergeCell ref="A4:A7"/>
    <mergeCell ref="B4:B7"/>
    <mergeCell ref="D4:D7"/>
  </mergeCells>
  <printOptions horizontalCentered="1"/>
  <pageMargins left="0.7874015748031497" right="0.75" top="0.7874015748031497" bottom="0.3937007874015748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31.5" customHeight="1"/>
  <cols>
    <col min="1" max="1" width="14.28125" style="0" customWidth="1"/>
    <col min="2" max="2" width="69.8515625" style="0" customWidth="1"/>
    <col min="3" max="3" width="14.57421875" style="0" customWidth="1"/>
    <col min="4" max="4" width="11.28125" style="0" customWidth="1"/>
    <col min="5" max="5" width="10.28125" style="0" customWidth="1"/>
    <col min="6" max="6" width="10.421875" style="0" customWidth="1"/>
    <col min="7" max="7" width="10.8515625" style="0" customWidth="1"/>
  </cols>
  <sheetData>
    <row r="1" spans="1:7" ht="31.5" customHeight="1">
      <c r="A1" s="316"/>
      <c r="B1" s="316" t="s">
        <v>139</v>
      </c>
      <c r="C1" s="317"/>
      <c r="D1" s="317"/>
      <c r="E1" s="317"/>
      <c r="F1" s="318"/>
      <c r="G1" s="319" t="s">
        <v>140</v>
      </c>
    </row>
    <row r="2" spans="1:7" ht="21.75" customHeight="1">
      <c r="A2" s="320"/>
      <c r="B2" s="321"/>
      <c r="C2" s="322" t="s">
        <v>141</v>
      </c>
      <c r="D2" s="323"/>
      <c r="E2" s="324"/>
      <c r="F2" s="324"/>
      <c r="G2" s="324"/>
    </row>
    <row r="3" spans="1:7" ht="16.5" customHeight="1">
      <c r="A3" s="320"/>
      <c r="B3" s="325" t="s">
        <v>142</v>
      </c>
      <c r="C3" s="326"/>
      <c r="D3" s="327"/>
      <c r="E3" s="324"/>
      <c r="F3" s="324"/>
      <c r="G3" s="324"/>
    </row>
    <row r="4" spans="1:7" ht="31.5" customHeight="1">
      <c r="A4" s="320"/>
      <c r="B4" s="321" t="s">
        <v>201</v>
      </c>
      <c r="C4" s="322" t="s">
        <v>141</v>
      </c>
      <c r="D4" s="328" t="s">
        <v>60</v>
      </c>
      <c r="E4" s="324"/>
      <c r="F4" s="324"/>
      <c r="G4" s="324"/>
    </row>
    <row r="5" spans="1:7" ht="18.75" customHeight="1">
      <c r="A5" s="329"/>
      <c r="B5" s="325" t="s">
        <v>143</v>
      </c>
      <c r="C5" s="330"/>
      <c r="D5" s="331"/>
      <c r="E5" s="332"/>
      <c r="F5" s="333"/>
      <c r="G5" s="333"/>
    </row>
    <row r="6" spans="1:7" ht="31.5" customHeight="1">
      <c r="A6" s="334"/>
      <c r="B6" s="335"/>
      <c r="C6" s="335"/>
      <c r="D6" s="335"/>
      <c r="E6" s="334"/>
      <c r="F6" s="335"/>
      <c r="G6" s="335"/>
    </row>
    <row r="7" spans="1:7" ht="31.5" customHeight="1">
      <c r="A7" s="716" t="s">
        <v>202</v>
      </c>
      <c r="B7" s="712" t="s">
        <v>144</v>
      </c>
      <c r="C7" s="712" t="s">
        <v>145</v>
      </c>
      <c r="D7" s="712" t="s">
        <v>146</v>
      </c>
      <c r="E7" s="712" t="s">
        <v>147</v>
      </c>
      <c r="F7" s="712" t="s">
        <v>148</v>
      </c>
      <c r="G7" s="712" t="s">
        <v>149</v>
      </c>
    </row>
    <row r="8" spans="1:7" ht="18" customHeight="1">
      <c r="A8" s="717"/>
      <c r="B8" s="712"/>
      <c r="C8" s="713" t="s">
        <v>26</v>
      </c>
      <c r="D8" s="713" t="s">
        <v>150</v>
      </c>
      <c r="E8" s="713"/>
      <c r="F8" s="714"/>
      <c r="G8" s="714"/>
    </row>
    <row r="9" spans="1:7" ht="14.25" customHeight="1">
      <c r="A9" s="336"/>
      <c r="B9" s="337" t="s">
        <v>151</v>
      </c>
      <c r="C9" s="338"/>
      <c r="D9" s="339"/>
      <c r="E9" s="339"/>
      <c r="F9" s="339"/>
      <c r="G9" s="339"/>
    </row>
    <row r="10" spans="1:7" ht="19.5" customHeight="1">
      <c r="A10" s="340"/>
      <c r="B10" s="341" t="s">
        <v>152</v>
      </c>
      <c r="C10" s="342"/>
      <c r="D10" s="343"/>
      <c r="E10" s="343"/>
      <c r="F10" s="343"/>
      <c r="G10" s="343"/>
    </row>
    <row r="11" spans="1:7" ht="20.25" customHeight="1">
      <c r="A11" s="344"/>
      <c r="B11" s="345" t="s">
        <v>153</v>
      </c>
      <c r="C11" s="342" t="s">
        <v>154</v>
      </c>
      <c r="D11" s="343">
        <v>0.55</v>
      </c>
      <c r="E11" s="343">
        <v>0.84</v>
      </c>
      <c r="F11" s="343">
        <v>0.86</v>
      </c>
      <c r="G11" s="343">
        <v>0.87</v>
      </c>
    </row>
    <row r="12" spans="1:7" ht="18.75" customHeight="1">
      <c r="A12" s="344"/>
      <c r="B12" s="345" t="s">
        <v>221</v>
      </c>
      <c r="C12" s="342" t="s">
        <v>155</v>
      </c>
      <c r="D12" s="396">
        <v>100</v>
      </c>
      <c r="E12" s="396">
        <v>100</v>
      </c>
      <c r="F12" s="396">
        <v>100</v>
      </c>
      <c r="G12" s="396">
        <v>100</v>
      </c>
    </row>
    <row r="13" spans="1:7" ht="15.75" customHeight="1">
      <c r="A13" s="336"/>
      <c r="B13" s="337" t="s">
        <v>156</v>
      </c>
      <c r="C13" s="338"/>
      <c r="D13" s="339"/>
      <c r="E13" s="339"/>
      <c r="F13" s="339"/>
      <c r="G13" s="339"/>
    </row>
    <row r="14" spans="1:7" ht="18.75" customHeight="1">
      <c r="A14" s="340"/>
      <c r="B14" s="341" t="s">
        <v>152</v>
      </c>
      <c r="C14" s="342"/>
      <c r="D14" s="343"/>
      <c r="E14" s="343"/>
      <c r="F14" s="343"/>
      <c r="G14" s="343"/>
    </row>
    <row r="15" spans="1:7" ht="18" customHeight="1">
      <c r="A15" s="340"/>
      <c r="B15" s="346" t="s">
        <v>157</v>
      </c>
      <c r="C15" s="342"/>
      <c r="D15" s="343"/>
      <c r="E15" s="343"/>
      <c r="F15" s="343"/>
      <c r="G15" s="343"/>
    </row>
    <row r="16" spans="1:7" ht="21" customHeight="1">
      <c r="A16" s="344"/>
      <c r="B16" s="347" t="s">
        <v>158</v>
      </c>
      <c r="C16" s="342" t="s">
        <v>159</v>
      </c>
      <c r="D16" s="343">
        <v>2200</v>
      </c>
      <c r="E16" s="343">
        <v>2020</v>
      </c>
      <c r="F16" s="343">
        <v>2050</v>
      </c>
      <c r="G16" s="343">
        <v>2050</v>
      </c>
    </row>
    <row r="17" spans="1:7" ht="18" customHeight="1">
      <c r="A17" s="344"/>
      <c r="B17" s="347" t="s">
        <v>160</v>
      </c>
      <c r="C17" s="342" t="s">
        <v>161</v>
      </c>
      <c r="D17" s="343">
        <v>2150</v>
      </c>
      <c r="E17" s="343">
        <v>2100</v>
      </c>
      <c r="F17" s="343">
        <v>2100</v>
      </c>
      <c r="G17" s="343">
        <v>2100</v>
      </c>
    </row>
    <row r="18" spans="1:7" ht="18.75" customHeight="1">
      <c r="A18" s="344"/>
      <c r="B18" s="347" t="s">
        <v>162</v>
      </c>
      <c r="C18" s="342" t="s">
        <v>163</v>
      </c>
      <c r="D18" s="343">
        <v>1450</v>
      </c>
      <c r="E18" s="343">
        <v>1460</v>
      </c>
      <c r="F18" s="343">
        <v>1465</v>
      </c>
      <c r="G18" s="343">
        <v>1465</v>
      </c>
    </row>
    <row r="19" spans="1:7" ht="18" customHeight="1">
      <c r="A19" s="344"/>
      <c r="B19" s="347" t="s">
        <v>164</v>
      </c>
      <c r="C19" s="342" t="s">
        <v>165</v>
      </c>
      <c r="D19" s="343">
        <v>800</v>
      </c>
      <c r="E19" s="343">
        <v>620</v>
      </c>
      <c r="F19" s="343">
        <v>600</v>
      </c>
      <c r="G19" s="343">
        <v>600</v>
      </c>
    </row>
    <row r="20" spans="1:7" ht="18.75" customHeight="1">
      <c r="A20" s="344"/>
      <c r="B20" s="348" t="s">
        <v>166</v>
      </c>
      <c r="C20" s="349" t="s">
        <v>167</v>
      </c>
      <c r="D20" s="350">
        <v>22</v>
      </c>
      <c r="E20" s="350">
        <v>16</v>
      </c>
      <c r="F20" s="350">
        <v>18</v>
      </c>
      <c r="G20" s="343">
        <v>18</v>
      </c>
    </row>
    <row r="21" spans="1:7" ht="18.75" customHeight="1">
      <c r="A21" s="344"/>
      <c r="B21" s="347" t="s">
        <v>168</v>
      </c>
      <c r="C21" s="342" t="s">
        <v>169</v>
      </c>
      <c r="D21" s="343">
        <v>8</v>
      </c>
      <c r="E21" s="343">
        <v>10</v>
      </c>
      <c r="F21" s="343">
        <v>11</v>
      </c>
      <c r="G21" s="343">
        <v>11</v>
      </c>
    </row>
    <row r="22" spans="1:7" ht="18.75" customHeight="1">
      <c r="A22" s="423"/>
      <c r="B22" s="424" t="s">
        <v>170</v>
      </c>
      <c r="C22" s="354" t="s">
        <v>171</v>
      </c>
      <c r="D22" s="355">
        <v>3500</v>
      </c>
      <c r="E22" s="355">
        <v>3550</v>
      </c>
      <c r="F22" s="355">
        <v>3560</v>
      </c>
      <c r="G22" s="355">
        <v>3560</v>
      </c>
    </row>
    <row r="23" spans="1:7" ht="18.75" customHeight="1">
      <c r="A23" s="352"/>
      <c r="B23" s="347" t="s">
        <v>172</v>
      </c>
      <c r="C23" s="342" t="s">
        <v>173</v>
      </c>
      <c r="D23" s="343">
        <v>40</v>
      </c>
      <c r="E23" s="343">
        <v>42</v>
      </c>
      <c r="F23" s="343">
        <v>42</v>
      </c>
      <c r="G23" s="343">
        <v>42</v>
      </c>
    </row>
    <row r="24" spans="1:7" ht="28.5" customHeight="1">
      <c r="A24" s="352"/>
      <c r="B24" s="347" t="s">
        <v>222</v>
      </c>
      <c r="C24" s="342" t="s">
        <v>174</v>
      </c>
      <c r="D24" s="343">
        <v>1050</v>
      </c>
      <c r="E24" s="343">
        <v>1045</v>
      </c>
      <c r="F24" s="343">
        <v>1050</v>
      </c>
      <c r="G24" s="343">
        <v>1050</v>
      </c>
    </row>
    <row r="25" spans="1:7" ht="26.25" customHeight="1">
      <c r="A25" s="352"/>
      <c r="B25" s="347" t="s">
        <v>223</v>
      </c>
      <c r="C25" s="342" t="s">
        <v>175</v>
      </c>
      <c r="D25" s="343">
        <v>3</v>
      </c>
      <c r="E25" s="343">
        <v>3</v>
      </c>
      <c r="F25" s="343">
        <v>0</v>
      </c>
      <c r="G25" s="343">
        <v>0</v>
      </c>
    </row>
    <row r="26" spans="1:7" ht="17.25" customHeight="1">
      <c r="A26" s="352"/>
      <c r="B26" s="356" t="s">
        <v>176</v>
      </c>
      <c r="C26" s="342" t="s">
        <v>177</v>
      </c>
      <c r="D26" s="343">
        <v>12000</v>
      </c>
      <c r="E26" s="343">
        <v>12200</v>
      </c>
      <c r="F26" s="343">
        <v>12200</v>
      </c>
      <c r="G26" s="343">
        <v>12200</v>
      </c>
    </row>
    <row r="27" spans="1:7" ht="31.5" customHeight="1">
      <c r="A27" s="352"/>
      <c r="B27" s="351" t="s">
        <v>225</v>
      </c>
      <c r="C27" s="342" t="s">
        <v>178</v>
      </c>
      <c r="D27" s="343">
        <v>4</v>
      </c>
      <c r="E27" s="343">
        <v>5</v>
      </c>
      <c r="F27" s="343">
        <v>5</v>
      </c>
      <c r="G27" s="343">
        <v>5</v>
      </c>
    </row>
    <row r="28" spans="1:7" ht="17.25" customHeight="1">
      <c r="A28" s="352"/>
      <c r="B28" s="356" t="s">
        <v>179</v>
      </c>
      <c r="C28" s="342" t="s">
        <v>180</v>
      </c>
      <c r="D28" s="343">
        <v>10.5</v>
      </c>
      <c r="E28" s="343">
        <v>13.1</v>
      </c>
      <c r="F28" s="343">
        <v>13.5</v>
      </c>
      <c r="G28" s="343">
        <v>13.5</v>
      </c>
    </row>
    <row r="29" spans="1:7" ht="18.75" customHeight="1">
      <c r="A29" s="352"/>
      <c r="B29" s="356" t="s">
        <v>181</v>
      </c>
      <c r="C29" s="342" t="s">
        <v>182</v>
      </c>
      <c r="D29" s="343">
        <v>172</v>
      </c>
      <c r="E29" s="343">
        <v>200</v>
      </c>
      <c r="F29" s="343">
        <v>180</v>
      </c>
      <c r="G29" s="343">
        <v>180</v>
      </c>
    </row>
    <row r="30" spans="1:7" ht="19.5" customHeight="1">
      <c r="A30" s="352"/>
      <c r="B30" s="345" t="s">
        <v>183</v>
      </c>
      <c r="C30" s="342" t="s">
        <v>184</v>
      </c>
      <c r="D30" s="343">
        <v>133</v>
      </c>
      <c r="E30" s="343">
        <v>178</v>
      </c>
      <c r="F30" s="343">
        <v>194</v>
      </c>
      <c r="G30" s="343">
        <v>194</v>
      </c>
    </row>
    <row r="31" spans="1:7" ht="16.5" customHeight="1">
      <c r="A31" s="352"/>
      <c r="B31" s="356" t="s">
        <v>185</v>
      </c>
      <c r="C31" s="342" t="s">
        <v>186</v>
      </c>
      <c r="D31" s="343">
        <v>14</v>
      </c>
      <c r="E31" s="343">
        <v>14</v>
      </c>
      <c r="F31" s="343">
        <v>14</v>
      </c>
      <c r="G31" s="343">
        <v>14</v>
      </c>
    </row>
    <row r="32" spans="1:7" ht="19.5" customHeight="1">
      <c r="A32" s="352"/>
      <c r="B32" s="345" t="s">
        <v>187</v>
      </c>
      <c r="C32" s="342" t="s">
        <v>188</v>
      </c>
      <c r="D32" s="343">
        <v>2500</v>
      </c>
      <c r="E32" s="396">
        <v>2650</v>
      </c>
      <c r="F32" s="396">
        <v>2600</v>
      </c>
      <c r="G32" s="396">
        <v>2600</v>
      </c>
    </row>
    <row r="33" spans="1:7" ht="17.25" customHeight="1">
      <c r="A33" s="352"/>
      <c r="B33" s="356" t="s">
        <v>224</v>
      </c>
      <c r="C33" s="342" t="s">
        <v>189</v>
      </c>
      <c r="D33" s="343">
        <v>400</v>
      </c>
      <c r="E33" s="343">
        <v>600</v>
      </c>
      <c r="F33" s="343">
        <v>600</v>
      </c>
      <c r="G33" s="343">
        <v>600</v>
      </c>
    </row>
    <row r="34" spans="1:7" ht="16.5" customHeight="1">
      <c r="A34" s="352"/>
      <c r="B34" s="345" t="s">
        <v>190</v>
      </c>
      <c r="C34" s="342" t="s">
        <v>191</v>
      </c>
      <c r="D34" s="343">
        <v>6808</v>
      </c>
      <c r="E34" s="343">
        <v>6854</v>
      </c>
      <c r="F34" s="343">
        <v>6952</v>
      </c>
      <c r="G34" s="343">
        <v>6975</v>
      </c>
    </row>
    <row r="35" spans="1:7" ht="20.25" customHeight="1">
      <c r="A35" s="353"/>
      <c r="B35" s="357" t="s">
        <v>192</v>
      </c>
      <c r="C35" s="354" t="s">
        <v>193</v>
      </c>
      <c r="D35" s="355">
        <v>39.4</v>
      </c>
      <c r="E35" s="355">
        <v>19.5</v>
      </c>
      <c r="F35" s="355">
        <v>19.5</v>
      </c>
      <c r="G35" s="355">
        <v>19.5</v>
      </c>
    </row>
    <row r="36" spans="1:7" ht="31.5" customHeight="1">
      <c r="A36" s="358"/>
      <c r="B36" s="335"/>
      <c r="C36" s="335"/>
      <c r="D36" s="335"/>
      <c r="E36" s="335"/>
      <c r="F36" s="335"/>
      <c r="G36" s="335"/>
    </row>
    <row r="37" spans="1:8" ht="31.5" customHeight="1">
      <c r="A37" s="359"/>
      <c r="B37" s="360"/>
      <c r="C37" s="360"/>
      <c r="D37" s="360"/>
      <c r="E37" s="360"/>
      <c r="F37" s="360"/>
      <c r="G37" s="360"/>
      <c r="H37" s="361"/>
    </row>
    <row r="38" spans="1:8" ht="31.5" customHeight="1">
      <c r="A38" s="359"/>
      <c r="B38" s="362"/>
      <c r="C38" s="363"/>
      <c r="D38" s="715"/>
      <c r="E38" s="715"/>
      <c r="F38" s="715"/>
      <c r="G38" s="361"/>
      <c r="H38" s="361"/>
    </row>
    <row r="39" spans="1:8" ht="31.5" customHeight="1">
      <c r="A39" s="361"/>
      <c r="B39" s="361"/>
      <c r="C39" s="361"/>
      <c r="D39" s="361"/>
      <c r="E39" s="361"/>
      <c r="F39" s="361"/>
      <c r="G39" s="361"/>
      <c r="H39" s="361"/>
    </row>
  </sheetData>
  <mergeCells count="8">
    <mergeCell ref="A7:A8"/>
    <mergeCell ref="B7:B8"/>
    <mergeCell ref="C7:C8"/>
    <mergeCell ref="D7:D8"/>
    <mergeCell ref="E7:E8"/>
    <mergeCell ref="F7:F8"/>
    <mergeCell ref="G7:G8"/>
    <mergeCell ref="D38:F38"/>
  </mergeCells>
  <printOptions/>
  <pageMargins left="0.75" right="0.75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A.Cepiene</dc:creator>
  <cp:keywords/>
  <dc:description/>
  <cp:lastModifiedBy>Z.Gocente</cp:lastModifiedBy>
  <cp:lastPrinted>2010-01-26T12:22:20Z</cp:lastPrinted>
  <dcterms:created xsi:type="dcterms:W3CDTF">2007-07-27T10:32:34Z</dcterms:created>
  <dcterms:modified xsi:type="dcterms:W3CDTF">2010-02-22T14:48:10Z</dcterms:modified>
  <cp:category/>
  <cp:version/>
  <cp:contentType/>
  <cp:contentStatus/>
</cp:coreProperties>
</file>