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425" windowWidth="15480" windowHeight="9960"/>
  </bookViews>
  <sheets>
    <sheet name="2014-2016 SVP" sheetId="7" r:id="rId1"/>
    <sheet name="Lyginamasis variantas " sheetId="6" state="hidden" r:id="rId2"/>
    <sheet name="Rengimo medžiaga" sheetId="8" state="hidden" r:id="rId3"/>
  </sheets>
  <definedNames>
    <definedName name="_xlnm.Print_Area" localSheetId="0">'2014-2016 SVP'!$A$1:$R$179</definedName>
    <definedName name="_xlnm.Print_Area" localSheetId="1">'Lyginamasis variantas '!$A$1:$R$179</definedName>
    <definedName name="_xlnm.Print_Area" localSheetId="2">'Rengimo medžiaga'!$A$1:$T$166</definedName>
    <definedName name="_xlnm.Print_Titles" localSheetId="0">'2014-2016 SVP'!$5:$7</definedName>
    <definedName name="_xlnm.Print_Titles" localSheetId="1">'Lyginamasis variantas '!$6:$8</definedName>
    <definedName name="_xlnm.Print_Titles" localSheetId="2">'Rengimo medžiaga'!$6:$8</definedName>
  </definedNames>
  <calcPr calcId="145621"/>
</workbook>
</file>

<file path=xl/calcChain.xml><?xml version="1.0" encoding="utf-8"?>
<calcChain xmlns="http://schemas.openxmlformats.org/spreadsheetml/2006/main">
  <c r="Q165" i="8" l="1"/>
  <c r="J137" i="7"/>
  <c r="K137" i="7"/>
  <c r="L137" i="7"/>
  <c r="M137" i="7"/>
  <c r="N137" i="7"/>
  <c r="I137" i="7"/>
  <c r="M125" i="8"/>
  <c r="R124" i="8"/>
  <c r="Q124" i="8"/>
  <c r="R123" i="8"/>
  <c r="Q123" i="8"/>
  <c r="J125" i="8"/>
  <c r="K125" i="8"/>
  <c r="L125" i="8"/>
  <c r="O125" i="8"/>
  <c r="P125" i="8"/>
  <c r="Q125" i="8"/>
  <c r="R125" i="8"/>
  <c r="S125" i="8"/>
  <c r="T125" i="8"/>
  <c r="I125" i="8"/>
  <c r="R129" i="8" l="1"/>
  <c r="R132" i="8" s="1"/>
  <c r="R128" i="8"/>
  <c r="R74" i="8" l="1"/>
  <c r="N134" i="8" l="1"/>
  <c r="J146" i="7"/>
  <c r="R108" i="8" l="1"/>
  <c r="R109" i="8" s="1"/>
  <c r="R99" i="8"/>
  <c r="R101" i="8" s="1"/>
  <c r="R77" i="8"/>
  <c r="R78" i="8" s="1"/>
  <c r="J60" i="7"/>
  <c r="N54" i="8"/>
  <c r="N29" i="8"/>
  <c r="J33" i="7"/>
  <c r="K44" i="7" l="1"/>
  <c r="J44" i="7"/>
  <c r="S148" i="8" l="1"/>
  <c r="T148" i="8"/>
  <c r="N39" i="8" l="1"/>
  <c r="O39" i="8"/>
  <c r="N156" i="7" l="1"/>
  <c r="M156" i="7"/>
  <c r="L156" i="7"/>
  <c r="K156" i="7"/>
  <c r="J156" i="7"/>
  <c r="I155" i="7"/>
  <c r="I156" i="7" s="1"/>
  <c r="R144" i="8"/>
  <c r="R145" i="8" s="1"/>
  <c r="P145" i="8"/>
  <c r="O145" i="8"/>
  <c r="N145" i="8"/>
  <c r="L145" i="8"/>
  <c r="K145" i="8"/>
  <c r="J145" i="8"/>
  <c r="M144" i="8"/>
  <c r="M145" i="8" s="1"/>
  <c r="I144" i="8"/>
  <c r="I145" i="8" s="1"/>
  <c r="J134" i="8"/>
  <c r="I134" i="8"/>
  <c r="J130" i="8"/>
  <c r="I130" i="8"/>
  <c r="J119" i="8"/>
  <c r="I119" i="8"/>
  <c r="L113" i="8"/>
  <c r="I113" i="8"/>
  <c r="I114" i="8" s="1"/>
  <c r="J115" i="8"/>
  <c r="I115" i="8" s="1"/>
  <c r="I116" i="8" s="1"/>
  <c r="J114" i="8"/>
  <c r="J112" i="8"/>
  <c r="I111" i="8"/>
  <c r="I110" i="8"/>
  <c r="J109" i="8"/>
  <c r="I108" i="8"/>
  <c r="I109" i="8" s="1"/>
  <c r="I106" i="8"/>
  <c r="J105" i="8"/>
  <c r="R105" i="8" s="1"/>
  <c r="R107" i="8" s="1"/>
  <c r="R117" i="8" s="1"/>
  <c r="J102" i="8"/>
  <c r="I102" i="8" s="1"/>
  <c r="J54" i="8"/>
  <c r="I54" i="8" s="1"/>
  <c r="K54" i="8"/>
  <c r="L54" i="8"/>
  <c r="L39" i="8"/>
  <c r="K39" i="8"/>
  <c r="S39" i="8" s="1"/>
  <c r="J39" i="8"/>
  <c r="L29" i="8"/>
  <c r="J29" i="8"/>
  <c r="R29" i="8" s="1"/>
  <c r="R38" i="8" s="1"/>
  <c r="I26" i="8"/>
  <c r="I24" i="8"/>
  <c r="I22" i="8"/>
  <c r="I19" i="8"/>
  <c r="I18" i="8"/>
  <c r="L13" i="8"/>
  <c r="J13" i="8"/>
  <c r="J107" i="8" l="1"/>
  <c r="Q144" i="8"/>
  <c r="Q145" i="8" s="1"/>
  <c r="I105" i="8"/>
  <c r="I107" i="8" s="1"/>
  <c r="I29" i="8"/>
  <c r="I39" i="8"/>
  <c r="I112" i="8"/>
  <c r="J116" i="8"/>
  <c r="I13" i="8"/>
  <c r="K32" i="7"/>
  <c r="I24" i="7"/>
  <c r="L12" i="7" l="1"/>
  <c r="L32" i="7" s="1"/>
  <c r="J12" i="7"/>
  <c r="J32" i="7" s="1"/>
  <c r="P13" i="8"/>
  <c r="N13" i="8"/>
  <c r="I27" i="7" l="1"/>
  <c r="L44" i="7" l="1"/>
  <c r="I44" i="7"/>
  <c r="L33" i="7"/>
  <c r="I33" i="7" s="1"/>
  <c r="I60" i="7"/>
  <c r="I146" i="7"/>
  <c r="R134" i="8"/>
  <c r="J130" i="7"/>
  <c r="N119" i="8"/>
  <c r="L124" i="7"/>
  <c r="I124" i="7"/>
  <c r="J126" i="7"/>
  <c r="I126" i="7" s="1"/>
  <c r="N115" i="8"/>
  <c r="I114" i="7"/>
  <c r="N102" i="8"/>
  <c r="R54" i="8"/>
  <c r="J142" i="7"/>
  <c r="I142" i="7"/>
  <c r="N130" i="8"/>
  <c r="M102" i="8" l="1"/>
  <c r="P113" i="8"/>
  <c r="M22" i="8" l="1"/>
  <c r="N32" i="7" l="1"/>
  <c r="M12" i="7"/>
  <c r="M32" i="7" s="1"/>
  <c r="S13" i="8" l="1"/>
  <c r="T13" i="8"/>
  <c r="M18" i="8"/>
  <c r="M24" i="8"/>
  <c r="M26" i="8"/>
  <c r="K28" i="8"/>
  <c r="L28" i="8"/>
  <c r="O28" i="8"/>
  <c r="L38" i="8"/>
  <c r="P29" i="8"/>
  <c r="M29" i="8" s="1"/>
  <c r="Q29" i="8" s="1"/>
  <c r="Q38" i="8" s="1"/>
  <c r="I30" i="8"/>
  <c r="M30" i="8"/>
  <c r="I31" i="8"/>
  <c r="M31" i="8"/>
  <c r="J36" i="8"/>
  <c r="I36" i="8" s="1"/>
  <c r="N36" i="8"/>
  <c r="I37" i="8"/>
  <c r="I159" i="8" s="1"/>
  <c r="M37" i="8"/>
  <c r="J38" i="8"/>
  <c r="K38" i="8"/>
  <c r="O38" i="8"/>
  <c r="P38" i="8"/>
  <c r="N53" i="8"/>
  <c r="O53" i="8"/>
  <c r="P39" i="8"/>
  <c r="L40" i="8"/>
  <c r="I40" i="8" s="1"/>
  <c r="P40" i="8"/>
  <c r="M40" i="8" s="1"/>
  <c r="I41" i="8"/>
  <c r="I157" i="8" s="1"/>
  <c r="M41" i="8"/>
  <c r="K53" i="8"/>
  <c r="S53" i="8"/>
  <c r="T53" i="8"/>
  <c r="K67" i="8"/>
  <c r="L67" i="8"/>
  <c r="M54" i="8"/>
  <c r="O54" i="8"/>
  <c r="O67" i="8" s="1"/>
  <c r="P54" i="8"/>
  <c r="P67" i="8" s="1"/>
  <c r="I55" i="8"/>
  <c r="M55" i="8"/>
  <c r="I63" i="8"/>
  <c r="M63" i="8"/>
  <c r="J67" i="8"/>
  <c r="N67" i="8"/>
  <c r="R67" i="8"/>
  <c r="I68" i="8"/>
  <c r="M68" i="8"/>
  <c r="I69" i="8"/>
  <c r="M69" i="8"/>
  <c r="J70" i="8"/>
  <c r="K70" i="8"/>
  <c r="L70" i="8"/>
  <c r="N70" i="8"/>
  <c r="O70" i="8"/>
  <c r="P70" i="8"/>
  <c r="J71" i="8"/>
  <c r="I71" i="8" s="1"/>
  <c r="N71" i="8"/>
  <c r="M71" i="8" s="1"/>
  <c r="I72" i="8"/>
  <c r="I160" i="8" s="1"/>
  <c r="M72" i="8"/>
  <c r="M160" i="8" s="1"/>
  <c r="I73" i="8"/>
  <c r="M73" i="8"/>
  <c r="I74" i="8"/>
  <c r="M74" i="8"/>
  <c r="I75" i="8"/>
  <c r="M75" i="8"/>
  <c r="K76" i="8"/>
  <c r="L76" i="8"/>
  <c r="O76" i="8"/>
  <c r="P76" i="8"/>
  <c r="R76" i="8"/>
  <c r="S76" i="8"/>
  <c r="I77" i="8"/>
  <c r="I78" i="8" s="1"/>
  <c r="M77" i="8"/>
  <c r="J78" i="8"/>
  <c r="K78" i="8"/>
  <c r="L78" i="8"/>
  <c r="N78" i="8"/>
  <c r="O78" i="8"/>
  <c r="P78" i="8"/>
  <c r="I79" i="8"/>
  <c r="M79" i="8"/>
  <c r="M162" i="8" s="1"/>
  <c r="I80" i="8"/>
  <c r="M80" i="8"/>
  <c r="I81" i="8"/>
  <c r="I164" i="8" s="1"/>
  <c r="M81" i="8"/>
  <c r="M164" i="8" s="1"/>
  <c r="J82" i="8"/>
  <c r="K82" i="8"/>
  <c r="L82" i="8"/>
  <c r="N82" i="8"/>
  <c r="O82" i="8"/>
  <c r="P82" i="8"/>
  <c r="I83" i="8"/>
  <c r="M83" i="8"/>
  <c r="I85" i="8"/>
  <c r="M85" i="8"/>
  <c r="J96" i="8"/>
  <c r="K96" i="8"/>
  <c r="L96" i="8"/>
  <c r="N96" i="8"/>
  <c r="O96" i="8"/>
  <c r="P96" i="8"/>
  <c r="I99" i="8"/>
  <c r="M99" i="8"/>
  <c r="I100" i="8"/>
  <c r="M100" i="8"/>
  <c r="J101" i="8"/>
  <c r="K101" i="8"/>
  <c r="L101" i="8"/>
  <c r="N101" i="8"/>
  <c r="O101" i="8"/>
  <c r="P101" i="8"/>
  <c r="I103" i="8"/>
  <c r="M103" i="8"/>
  <c r="M104" i="8" s="1"/>
  <c r="J104" i="8"/>
  <c r="K104" i="8"/>
  <c r="L104" i="8"/>
  <c r="N104" i="8"/>
  <c r="O104" i="8"/>
  <c r="P104" i="8"/>
  <c r="M105" i="8"/>
  <c r="M106" i="8"/>
  <c r="K107" i="8"/>
  <c r="L107" i="8"/>
  <c r="N107" i="8"/>
  <c r="O107" i="8"/>
  <c r="P107" i="8"/>
  <c r="M108" i="8"/>
  <c r="K109" i="8"/>
  <c r="L109" i="8"/>
  <c r="N109" i="8"/>
  <c r="O109" i="8"/>
  <c r="P109" i="8"/>
  <c r="M110" i="8"/>
  <c r="M111" i="8"/>
  <c r="K112" i="8"/>
  <c r="L112" i="8"/>
  <c r="N112" i="8"/>
  <c r="O112" i="8"/>
  <c r="P112" i="8"/>
  <c r="M113" i="8"/>
  <c r="M114" i="8" s="1"/>
  <c r="K114" i="8"/>
  <c r="L114" i="8"/>
  <c r="N114" i="8"/>
  <c r="O114" i="8"/>
  <c r="P114" i="8"/>
  <c r="M115" i="8"/>
  <c r="K116" i="8"/>
  <c r="L116" i="8"/>
  <c r="N116" i="8"/>
  <c r="O116" i="8"/>
  <c r="P116" i="8"/>
  <c r="M119" i="8"/>
  <c r="I120" i="8"/>
  <c r="I121" i="8" s="1"/>
  <c r="M120" i="8"/>
  <c r="J121" i="8"/>
  <c r="K121" i="8"/>
  <c r="L121" i="8"/>
  <c r="N121" i="8"/>
  <c r="O121" i="8"/>
  <c r="P121" i="8"/>
  <c r="I122" i="8"/>
  <c r="M122" i="8"/>
  <c r="I123" i="8"/>
  <c r="M123" i="8"/>
  <c r="J124" i="8"/>
  <c r="K124" i="8"/>
  <c r="L124" i="8"/>
  <c r="N124" i="8"/>
  <c r="N125" i="8" s="1"/>
  <c r="O124" i="8"/>
  <c r="P124" i="8"/>
  <c r="I127" i="8"/>
  <c r="M127" i="8"/>
  <c r="I128" i="8"/>
  <c r="M128" i="8"/>
  <c r="Q128" i="8" s="1"/>
  <c r="Q129" i="8" s="1"/>
  <c r="Q132" i="8" s="1"/>
  <c r="J129" i="8"/>
  <c r="K129" i="8"/>
  <c r="L129" i="8"/>
  <c r="N129" i="8"/>
  <c r="O129" i="8"/>
  <c r="P129" i="8"/>
  <c r="M130" i="8"/>
  <c r="I131" i="8"/>
  <c r="J131" i="8"/>
  <c r="K131" i="8"/>
  <c r="L131" i="8"/>
  <c r="L132" i="8" s="1"/>
  <c r="N131" i="8"/>
  <c r="O131" i="8"/>
  <c r="P131" i="8"/>
  <c r="M134" i="8"/>
  <c r="I135" i="8"/>
  <c r="M135" i="8"/>
  <c r="J141" i="8"/>
  <c r="K141" i="8"/>
  <c r="L141" i="8"/>
  <c r="N141" i="8"/>
  <c r="O141" i="8"/>
  <c r="P141" i="8"/>
  <c r="R141" i="8"/>
  <c r="R148" i="8" s="1"/>
  <c r="I142" i="8"/>
  <c r="I143" i="8" s="1"/>
  <c r="M142" i="8"/>
  <c r="J143" i="8"/>
  <c r="K143" i="8"/>
  <c r="L143" i="8"/>
  <c r="M143" i="8"/>
  <c r="N143" i="8"/>
  <c r="O143" i="8"/>
  <c r="P143" i="8"/>
  <c r="I146" i="8"/>
  <c r="I147" i="8" s="1"/>
  <c r="M146" i="8"/>
  <c r="M147" i="8" s="1"/>
  <c r="J147" i="8"/>
  <c r="L147" i="8"/>
  <c r="N147" i="8"/>
  <c r="P147" i="8"/>
  <c r="M157" i="8"/>
  <c r="M159" i="8"/>
  <c r="I163" i="8"/>
  <c r="M163" i="8"/>
  <c r="I165" i="8" l="1"/>
  <c r="Q74" i="8"/>
  <c r="Q76" i="8" s="1"/>
  <c r="M165" i="8"/>
  <c r="M161" i="8" s="1"/>
  <c r="M124" i="8"/>
  <c r="P148" i="8"/>
  <c r="N148" i="8"/>
  <c r="M112" i="8"/>
  <c r="N76" i="8"/>
  <c r="I162" i="8"/>
  <c r="I161" i="8" s="1"/>
  <c r="O148" i="8"/>
  <c r="I156" i="8"/>
  <c r="M78" i="8"/>
  <c r="Q77" i="8"/>
  <c r="Q78" i="8" s="1"/>
  <c r="M107" i="8"/>
  <c r="Q105" i="8"/>
  <c r="Q107" i="8" s="1"/>
  <c r="N132" i="8"/>
  <c r="M109" i="8"/>
  <c r="Q108" i="8"/>
  <c r="Q109" i="8" s="1"/>
  <c r="Q99" i="8"/>
  <c r="Q101" i="8" s="1"/>
  <c r="I141" i="8"/>
  <c r="I148" i="8" s="1"/>
  <c r="I96" i="8"/>
  <c r="I70" i="8"/>
  <c r="J148" i="8"/>
  <c r="M158" i="8"/>
  <c r="J117" i="8"/>
  <c r="K148" i="8"/>
  <c r="M70" i="8"/>
  <c r="P117" i="8"/>
  <c r="I158" i="8"/>
  <c r="L148" i="8"/>
  <c r="P132" i="8"/>
  <c r="K132" i="8"/>
  <c r="I129" i="8"/>
  <c r="I132" i="8" s="1"/>
  <c r="M96" i="8"/>
  <c r="Q54" i="8"/>
  <c r="Q67" i="8" s="1"/>
  <c r="P53" i="8"/>
  <c r="J53" i="8"/>
  <c r="R39" i="8"/>
  <c r="R53" i="8" s="1"/>
  <c r="M156" i="8"/>
  <c r="O132" i="8"/>
  <c r="J132" i="8"/>
  <c r="L117" i="8"/>
  <c r="S97" i="8"/>
  <c r="S149" i="8" s="1"/>
  <c r="S150" i="8" s="1"/>
  <c r="M141" i="8"/>
  <c r="M148" i="8" s="1"/>
  <c r="Q134" i="8"/>
  <c r="Q141" i="8" s="1"/>
  <c r="Q148" i="8" s="1"/>
  <c r="M131" i="8"/>
  <c r="K117" i="8"/>
  <c r="I101" i="8"/>
  <c r="I67" i="8"/>
  <c r="M121" i="8"/>
  <c r="M116" i="8"/>
  <c r="O117" i="8"/>
  <c r="N117" i="8"/>
  <c r="O97" i="8"/>
  <c r="M129" i="8"/>
  <c r="I82" i="8"/>
  <c r="M76" i="8"/>
  <c r="M67" i="8"/>
  <c r="K97" i="8"/>
  <c r="L53" i="8"/>
  <c r="L97" i="8" s="1"/>
  <c r="P28" i="8"/>
  <c r="I76" i="8"/>
  <c r="T97" i="8"/>
  <c r="T149" i="8" s="1"/>
  <c r="T150" i="8" s="1"/>
  <c r="I124" i="8"/>
  <c r="I104" i="8"/>
  <c r="M101" i="8"/>
  <c r="M82" i="8"/>
  <c r="J76" i="8"/>
  <c r="M39" i="8"/>
  <c r="I53" i="8"/>
  <c r="M36" i="8"/>
  <c r="M19" i="8"/>
  <c r="I28" i="8"/>
  <c r="I155" i="8"/>
  <c r="I38" i="8"/>
  <c r="R13" i="8"/>
  <c r="M13" i="8"/>
  <c r="N38" i="8"/>
  <c r="N28" i="8"/>
  <c r="J28" i="8"/>
  <c r="J41" i="7"/>
  <c r="Q117" i="8" l="1"/>
  <c r="I154" i="8"/>
  <c r="I166" i="8" s="1"/>
  <c r="P97" i="8"/>
  <c r="P149" i="8" s="1"/>
  <c r="P150" i="8" s="1"/>
  <c r="Q158" i="8"/>
  <c r="M117" i="8"/>
  <c r="M28" i="8"/>
  <c r="M132" i="8"/>
  <c r="K149" i="8"/>
  <c r="K150" i="8" s="1"/>
  <c r="O149" i="8"/>
  <c r="O150" i="8" s="1"/>
  <c r="M38" i="8"/>
  <c r="I97" i="8"/>
  <c r="I117" i="8"/>
  <c r="L149" i="8"/>
  <c r="L150" i="8" s="1"/>
  <c r="M53" i="8"/>
  <c r="Q39" i="8"/>
  <c r="Q53" i="8" s="1"/>
  <c r="Q97" i="8" s="1"/>
  <c r="Q149" i="8" s="1"/>
  <c r="Q163" i="8"/>
  <c r="Q156" i="8"/>
  <c r="Q157" i="8"/>
  <c r="Q160" i="8"/>
  <c r="Q162" i="8"/>
  <c r="Q159" i="8"/>
  <c r="Q164" i="8"/>
  <c r="N97" i="8"/>
  <c r="N149" i="8" s="1"/>
  <c r="N150" i="8" s="1"/>
  <c r="J97" i="8"/>
  <c r="J149" i="8" s="1"/>
  <c r="J150" i="8" s="1"/>
  <c r="Q13" i="8"/>
  <c r="M155" i="8"/>
  <c r="M154" i="8" s="1"/>
  <c r="M166" i="8" s="1"/>
  <c r="R97" i="8"/>
  <c r="R149" i="8" s="1"/>
  <c r="R150" i="8" s="1"/>
  <c r="I149" i="8" l="1"/>
  <c r="I150" i="8" s="1"/>
  <c r="M97" i="8"/>
  <c r="M149" i="8" s="1"/>
  <c r="M150" i="8" s="1"/>
  <c r="Q155" i="8"/>
  <c r="Q154" i="8" s="1"/>
  <c r="Q161" i="8"/>
  <c r="Q166" i="8" l="1"/>
  <c r="Q150" i="8"/>
  <c r="K84" i="7"/>
  <c r="L84" i="7"/>
  <c r="I147" i="7" l="1"/>
  <c r="J141" i="7" l="1"/>
  <c r="I139" i="7"/>
  <c r="I131" i="7"/>
  <c r="J133" i="7"/>
  <c r="K133" i="7"/>
  <c r="I115" i="7"/>
  <c r="J113" i="7"/>
  <c r="I112" i="7"/>
  <c r="I108" i="7"/>
  <c r="I83" i="7"/>
  <c r="J75" i="7"/>
  <c r="I61" i="7"/>
  <c r="I35" i="7"/>
  <c r="I29" i="7"/>
  <c r="I17" i="7"/>
  <c r="I168" i="7" l="1"/>
  <c r="K59" i="7"/>
  <c r="I46" i="7"/>
  <c r="J43" i="7"/>
  <c r="K43" i="7"/>
  <c r="L43" i="7"/>
  <c r="I31" i="7" l="1"/>
  <c r="I30" i="6" l="1"/>
  <c r="K141" i="7"/>
  <c r="L141" i="7"/>
  <c r="M141" i="7"/>
  <c r="N141" i="7"/>
  <c r="N176" i="7"/>
  <c r="M176" i="7"/>
  <c r="N175" i="7"/>
  <c r="M175" i="7"/>
  <c r="N174" i="7"/>
  <c r="M174" i="7"/>
  <c r="I174" i="7"/>
  <c r="N173" i="7"/>
  <c r="M173" i="7"/>
  <c r="N171" i="7"/>
  <c r="M171" i="7"/>
  <c r="N168" i="7"/>
  <c r="M168" i="7"/>
  <c r="N167" i="7"/>
  <c r="M167" i="7"/>
  <c r="N158" i="7"/>
  <c r="M158" i="7"/>
  <c r="L158" i="7"/>
  <c r="J158" i="7"/>
  <c r="I157" i="7"/>
  <c r="I158" i="7" s="1"/>
  <c r="N154" i="7"/>
  <c r="M154" i="7"/>
  <c r="L154" i="7"/>
  <c r="K154" i="7"/>
  <c r="J154" i="7"/>
  <c r="I153" i="7"/>
  <c r="I154" i="7" s="1"/>
  <c r="N152" i="7"/>
  <c r="M152" i="7"/>
  <c r="L152" i="7"/>
  <c r="K152" i="7"/>
  <c r="J152" i="7"/>
  <c r="I152" i="7"/>
  <c r="N143" i="7"/>
  <c r="M143" i="7"/>
  <c r="L143" i="7"/>
  <c r="K143" i="7"/>
  <c r="K144" i="7" s="1"/>
  <c r="J143" i="7"/>
  <c r="I143" i="7"/>
  <c r="I140" i="7"/>
  <c r="I141" i="7" s="1"/>
  <c r="N136" i="7"/>
  <c r="M136" i="7"/>
  <c r="L136" i="7"/>
  <c r="K136" i="7"/>
  <c r="J136" i="7"/>
  <c r="I135" i="7"/>
  <c r="I134" i="7"/>
  <c r="N133" i="7"/>
  <c r="M133" i="7"/>
  <c r="L133" i="7"/>
  <c r="I130" i="7"/>
  <c r="N127" i="7"/>
  <c r="M127" i="7"/>
  <c r="L127" i="7"/>
  <c r="K127" i="7"/>
  <c r="J127" i="7"/>
  <c r="N125" i="7"/>
  <c r="M125" i="7"/>
  <c r="L125" i="7"/>
  <c r="K125" i="7"/>
  <c r="J125" i="7"/>
  <c r="N123" i="7"/>
  <c r="M123" i="7"/>
  <c r="L123" i="7"/>
  <c r="K123" i="7"/>
  <c r="J123" i="7"/>
  <c r="I122" i="7"/>
  <c r="I121" i="7"/>
  <c r="N120" i="7"/>
  <c r="M120" i="7"/>
  <c r="L120" i="7"/>
  <c r="K120" i="7"/>
  <c r="J120" i="7"/>
  <c r="I119" i="7"/>
  <c r="N118" i="7"/>
  <c r="M118" i="7"/>
  <c r="L118" i="7"/>
  <c r="K118" i="7"/>
  <c r="J118" i="7"/>
  <c r="I118" i="7"/>
  <c r="N113" i="7"/>
  <c r="M113" i="7"/>
  <c r="L113" i="7"/>
  <c r="K113" i="7"/>
  <c r="I111" i="7"/>
  <c r="I113" i="7" s="1"/>
  <c r="N110" i="7"/>
  <c r="M110" i="7"/>
  <c r="L110" i="7"/>
  <c r="K110" i="7"/>
  <c r="J110" i="7"/>
  <c r="I109" i="7"/>
  <c r="I107" i="7"/>
  <c r="N104" i="7"/>
  <c r="M104" i="7"/>
  <c r="L104" i="7"/>
  <c r="K104" i="7"/>
  <c r="J104" i="7"/>
  <c r="I93" i="7"/>
  <c r="P91" i="7"/>
  <c r="I91" i="7"/>
  <c r="N90" i="7"/>
  <c r="M90" i="7"/>
  <c r="L90" i="7"/>
  <c r="K90" i="7"/>
  <c r="J90" i="7"/>
  <c r="I89" i="7"/>
  <c r="I175" i="7" s="1"/>
  <c r="I88" i="7"/>
  <c r="I87" i="7"/>
  <c r="N86" i="7"/>
  <c r="M86" i="7"/>
  <c r="L86" i="7"/>
  <c r="K86" i="7"/>
  <c r="J86" i="7"/>
  <c r="I85" i="7"/>
  <c r="I86" i="7" s="1"/>
  <c r="N84" i="7"/>
  <c r="M84" i="7"/>
  <c r="I82" i="7"/>
  <c r="I81" i="7"/>
  <c r="I80" i="7"/>
  <c r="I171" i="7" s="1"/>
  <c r="J79" i="7"/>
  <c r="L78" i="7"/>
  <c r="K78" i="7"/>
  <c r="J78" i="7"/>
  <c r="R76" i="7"/>
  <c r="Q76" i="7"/>
  <c r="P76" i="7"/>
  <c r="N76" i="7"/>
  <c r="N78" i="7" s="1"/>
  <c r="M76" i="7"/>
  <c r="M78" i="7" s="1"/>
  <c r="I76" i="7"/>
  <c r="N75" i="7"/>
  <c r="M75" i="7"/>
  <c r="L75" i="7"/>
  <c r="K75" i="7"/>
  <c r="I71" i="7"/>
  <c r="I176" i="7" s="1"/>
  <c r="L60" i="7"/>
  <c r="K60" i="7"/>
  <c r="N59" i="7"/>
  <c r="M59" i="7"/>
  <c r="L45" i="7"/>
  <c r="I45" i="7" s="1"/>
  <c r="I59" i="7" s="1"/>
  <c r="I42" i="7"/>
  <c r="I170" i="7" s="1"/>
  <c r="I41" i="7"/>
  <c r="I34" i="7"/>
  <c r="N33" i="7"/>
  <c r="M33" i="7"/>
  <c r="M43" i="7" s="1"/>
  <c r="M159" i="7" l="1"/>
  <c r="N159" i="7"/>
  <c r="I159" i="7"/>
  <c r="K159" i="7"/>
  <c r="L144" i="7"/>
  <c r="J159" i="7"/>
  <c r="L159" i="7"/>
  <c r="I43" i="7"/>
  <c r="I110" i="7"/>
  <c r="I75" i="7"/>
  <c r="I136" i="7"/>
  <c r="I133" i="7"/>
  <c r="N166" i="7"/>
  <c r="N165" i="7" s="1"/>
  <c r="I167" i="7"/>
  <c r="L59" i="7"/>
  <c r="L105" i="7" s="1"/>
  <c r="J59" i="7"/>
  <c r="I79" i="7"/>
  <c r="I84" i="7" s="1"/>
  <c r="J84" i="7"/>
  <c r="N172" i="7"/>
  <c r="M172" i="7"/>
  <c r="I144" i="7"/>
  <c r="I78" i="7"/>
  <c r="I120" i="7"/>
  <c r="N128" i="7"/>
  <c r="I104" i="7"/>
  <c r="I12" i="7"/>
  <c r="I32" i="7" s="1"/>
  <c r="I173" i="7"/>
  <c r="I172" i="7" s="1"/>
  <c r="K128" i="7"/>
  <c r="I127" i="7"/>
  <c r="K105" i="7"/>
  <c r="I90" i="7"/>
  <c r="J128" i="7"/>
  <c r="L128" i="7"/>
  <c r="I125" i="7"/>
  <c r="I123" i="7"/>
  <c r="M128" i="7"/>
  <c r="M144" i="7"/>
  <c r="J144" i="7"/>
  <c r="N144" i="7"/>
  <c r="M105" i="7"/>
  <c r="M166" i="7"/>
  <c r="M165" i="7" s="1"/>
  <c r="I169" i="7"/>
  <c r="N43" i="7"/>
  <c r="N105" i="7" s="1"/>
  <c r="J44" i="6"/>
  <c r="M177" i="7" l="1"/>
  <c r="J105" i="7"/>
  <c r="J160" i="7" s="1"/>
  <c r="J161" i="7" s="1"/>
  <c r="I166" i="7"/>
  <c r="I165" i="7" s="1"/>
  <c r="I177" i="7" s="1"/>
  <c r="N177" i="7"/>
  <c r="I105" i="7"/>
  <c r="M160" i="7"/>
  <c r="M161" i="7" s="1"/>
  <c r="K160" i="7"/>
  <c r="K161" i="7" s="1"/>
  <c r="I128" i="7"/>
  <c r="L160" i="7"/>
  <c r="L161" i="7" s="1"/>
  <c r="N160" i="7"/>
  <c r="N161" i="7" s="1"/>
  <c r="I43" i="6"/>
  <c r="I160" i="7" l="1"/>
  <c r="I161" i="7" s="1"/>
  <c r="M32" i="6"/>
  <c r="I95" i="6"/>
  <c r="J45" i="6" l="1"/>
  <c r="L45" i="6"/>
  <c r="J13" i="6"/>
  <c r="L13" i="6"/>
  <c r="P95" i="6" l="1"/>
  <c r="J77" i="6"/>
  <c r="I73" i="6"/>
  <c r="I28" i="6"/>
  <c r="J82" i="6" l="1"/>
  <c r="J109" i="6"/>
  <c r="K109" i="6"/>
  <c r="L109" i="6"/>
  <c r="I97" i="6"/>
  <c r="K158" i="6" l="1"/>
  <c r="N158" i="6"/>
  <c r="I13" i="6"/>
  <c r="M109" i="6"/>
  <c r="N109" i="6"/>
  <c r="I109" i="6"/>
  <c r="N77" i="6"/>
  <c r="M77" i="6"/>
  <c r="I62" i="6"/>
  <c r="I77" i="6" s="1"/>
  <c r="K62" i="6"/>
  <c r="L62" i="6"/>
  <c r="J61" i="6"/>
  <c r="K61" i="6"/>
  <c r="M61" i="6"/>
  <c r="N61" i="6"/>
  <c r="L46" i="6"/>
  <c r="I46" i="6" s="1"/>
  <c r="I45" i="6"/>
  <c r="K44" i="6"/>
  <c r="L44" i="6"/>
  <c r="I34" i="6"/>
  <c r="I42" i="6"/>
  <c r="N33" i="6"/>
  <c r="N44" i="6" s="1"/>
  <c r="M33" i="6"/>
  <c r="M44" i="6" s="1"/>
  <c r="I33" i="6"/>
  <c r="N32" i="6"/>
  <c r="K32" i="6"/>
  <c r="L32" i="6"/>
  <c r="I44" i="6" l="1"/>
  <c r="I61" i="6"/>
  <c r="L61" i="6"/>
  <c r="N176" i="6"/>
  <c r="M176" i="6"/>
  <c r="L176" i="6"/>
  <c r="J176" i="6"/>
  <c r="I174" i="6"/>
  <c r="I176" i="6" s="1"/>
  <c r="N173" i="6"/>
  <c r="M173" i="6"/>
  <c r="L173" i="6"/>
  <c r="K173" i="6"/>
  <c r="J173" i="6"/>
  <c r="I171" i="6"/>
  <c r="I173" i="6" s="1"/>
  <c r="N170" i="6"/>
  <c r="M170" i="6"/>
  <c r="L170" i="6"/>
  <c r="K170" i="6"/>
  <c r="J170" i="6"/>
  <c r="I164" i="6"/>
  <c r="N161" i="6"/>
  <c r="N162" i="6" s="1"/>
  <c r="M161" i="6"/>
  <c r="L161" i="6"/>
  <c r="K161" i="6"/>
  <c r="K162" i="6" s="1"/>
  <c r="J161" i="6"/>
  <c r="J162" i="6" s="1"/>
  <c r="I159" i="6"/>
  <c r="I161" i="6" s="1"/>
  <c r="I156" i="6"/>
  <c r="N149" i="6"/>
  <c r="M149" i="6"/>
  <c r="L149" i="6"/>
  <c r="J149" i="6"/>
  <c r="I148" i="6"/>
  <c r="N147" i="6"/>
  <c r="M147" i="6"/>
  <c r="L147" i="6"/>
  <c r="K147" i="6"/>
  <c r="J147" i="6"/>
  <c r="I146" i="6"/>
  <c r="I145" i="6"/>
  <c r="N144" i="6"/>
  <c r="M144" i="6"/>
  <c r="M150" i="6" s="1"/>
  <c r="L144" i="6"/>
  <c r="K144" i="6"/>
  <c r="J144" i="6"/>
  <c r="I143" i="6"/>
  <c r="I142" i="6"/>
  <c r="N141" i="6"/>
  <c r="M141" i="6"/>
  <c r="L141" i="6"/>
  <c r="K141" i="6"/>
  <c r="J141" i="6"/>
  <c r="I140" i="6"/>
  <c r="I139" i="6"/>
  <c r="I138" i="6"/>
  <c r="N135" i="6"/>
  <c r="M135" i="6"/>
  <c r="L135" i="6"/>
  <c r="K135" i="6"/>
  <c r="J135" i="6"/>
  <c r="I134" i="6"/>
  <c r="I133" i="6"/>
  <c r="N132" i="6"/>
  <c r="M132" i="6"/>
  <c r="L132" i="6"/>
  <c r="K132" i="6"/>
  <c r="J132" i="6"/>
  <c r="I131" i="6"/>
  <c r="I130" i="6"/>
  <c r="N129" i="6"/>
  <c r="M129" i="6"/>
  <c r="L129" i="6"/>
  <c r="K129" i="6"/>
  <c r="J129" i="6"/>
  <c r="I128" i="6"/>
  <c r="I127" i="6"/>
  <c r="N126" i="6"/>
  <c r="M126" i="6"/>
  <c r="L126" i="6"/>
  <c r="K126" i="6"/>
  <c r="J126" i="6"/>
  <c r="I125" i="6"/>
  <c r="I124" i="6"/>
  <c r="N123" i="6"/>
  <c r="M123" i="6"/>
  <c r="L123" i="6"/>
  <c r="K123" i="6"/>
  <c r="J123" i="6"/>
  <c r="I119" i="6"/>
  <c r="N118" i="6"/>
  <c r="M118" i="6"/>
  <c r="L118" i="6"/>
  <c r="K118" i="6"/>
  <c r="J118" i="6"/>
  <c r="I116" i="6"/>
  <c r="N115" i="6"/>
  <c r="M115" i="6"/>
  <c r="L115" i="6"/>
  <c r="K115" i="6"/>
  <c r="J115" i="6"/>
  <c r="I114" i="6"/>
  <c r="I113" i="6"/>
  <c r="I112" i="6"/>
  <c r="N94" i="6"/>
  <c r="M94" i="6"/>
  <c r="L94" i="6"/>
  <c r="K94" i="6"/>
  <c r="J94" i="6"/>
  <c r="I93" i="6"/>
  <c r="I92" i="6"/>
  <c r="I91" i="6"/>
  <c r="N90" i="6"/>
  <c r="M90" i="6"/>
  <c r="L90" i="6"/>
  <c r="K90" i="6"/>
  <c r="J90" i="6"/>
  <c r="I88" i="6"/>
  <c r="N87" i="6"/>
  <c r="M87" i="6"/>
  <c r="L87" i="6"/>
  <c r="K87" i="6"/>
  <c r="J87" i="6"/>
  <c r="I85" i="6"/>
  <c r="I84" i="6"/>
  <c r="I83" i="6"/>
  <c r="I82" i="6"/>
  <c r="L81" i="6"/>
  <c r="K81" i="6"/>
  <c r="J81" i="6"/>
  <c r="I80" i="6"/>
  <c r="I79" i="6"/>
  <c r="R78" i="6"/>
  <c r="Q78" i="6"/>
  <c r="P78" i="6"/>
  <c r="N78" i="6"/>
  <c r="M78" i="6"/>
  <c r="I78" i="6"/>
  <c r="L77" i="6"/>
  <c r="K77" i="6"/>
  <c r="I87" i="6" l="1"/>
  <c r="J136" i="6"/>
  <c r="M81" i="6"/>
  <c r="M110" i="6" s="1"/>
  <c r="L110" i="6"/>
  <c r="K110" i="6"/>
  <c r="I81" i="6"/>
  <c r="I132" i="6"/>
  <c r="I118" i="6"/>
  <c r="I147" i="6"/>
  <c r="I90" i="6"/>
  <c r="I115" i="6"/>
  <c r="M136" i="6"/>
  <c r="J150" i="6"/>
  <c r="N150" i="6"/>
  <c r="L150" i="6"/>
  <c r="N177" i="6"/>
  <c r="I94" i="6"/>
  <c r="N136" i="6"/>
  <c r="K177" i="6"/>
  <c r="I126" i="6"/>
  <c r="I141" i="6"/>
  <c r="I144" i="6"/>
  <c r="K150" i="6"/>
  <c r="M177" i="6"/>
  <c r="I123" i="6"/>
  <c r="I129" i="6"/>
  <c r="L136" i="6"/>
  <c r="L177" i="6"/>
  <c r="N81" i="6"/>
  <c r="N110" i="6" s="1"/>
  <c r="I135" i="6"/>
  <c r="I149" i="6"/>
  <c r="I170" i="6"/>
  <c r="I177" i="6" s="1"/>
  <c r="K136" i="6"/>
  <c r="J177" i="6"/>
  <c r="I136" i="6" l="1"/>
  <c r="N178" i="6"/>
  <c r="N179" i="6" s="1"/>
  <c r="K178" i="6"/>
  <c r="K179" i="6" s="1"/>
  <c r="I150" i="6"/>
  <c r="I179" i="6" l="1"/>
</calcChain>
</file>

<file path=xl/comments1.xml><?xml version="1.0" encoding="utf-8"?>
<comments xmlns="http://schemas.openxmlformats.org/spreadsheetml/2006/main">
  <authors>
    <author>Audra Cepiene</author>
  </authors>
  <commentList>
    <comment ref="E96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J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4,3 pliusuotas žvejo fontano aprašas</t>
        </r>
      </text>
    </comment>
    <comment ref="N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4,3 pliusuotas žvejo fontano aprašas</t>
        </r>
      </text>
    </comment>
    <comment ref="E88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D122" authorId="0">
      <text>
        <r>
          <rPr>
            <b/>
            <sz val="9"/>
            <color indexed="81"/>
            <rFont val="Tahoma"/>
            <family val="2"/>
            <charset val="186"/>
          </rPr>
          <t>Ingos raštas dėl naujos priemonės įtraukimo, bet iš kt lėšų:</t>
        </r>
        <r>
          <rPr>
            <sz val="9"/>
            <color indexed="81"/>
            <rFont val="Tahoma"/>
            <family val="2"/>
            <charset val="186"/>
          </rPr>
          <t xml:space="preserve">
Įgyvendinant Europos Sąjungos fondų ir Lietuvos Respublikos valstybės biudžeto lėšomis finansuojamą projektą „Daugiabučių namų skatinimas, II etapas“, Klaipėdos miesto savivaldybė vykdė pirkimą 6 daugiabučių namų atnaujinimo (modernizavimo) energinio naudingumo sertifikatams bei investicijų planams parengti. Pagal 2014 m. balandžio 14 d. pasirašytą sutartį su VšĮ „Šiaulių regiono plėtros agentūra“  Nr. J9-549 už suteiktas paslaugas apmokėjo Būsto energijos taupymo agentūra, pervedant lėšas į Savivaldybės sąskaitą, kad Savivaldybė, kaip projekto partneris, atsiskaitytų su VšĮ „Šiaulių regiono plėtros agentūra“. Todėl prašome į 2014-2016 metų SVP įtraukti į „Miesto infrastruktūros objektų priežiūros ir modernizavimo programa“ Nr. 07 naują priemonę „Daugiabučių namų atnaujinimo (modernizavimo) energinio naudingumo sertifikatų bei investicijų planų parengimo paslauga“, numatant — </t>
        </r>
        <r>
          <rPr>
            <b/>
            <sz val="9"/>
            <color indexed="81"/>
            <rFont val="Tahoma"/>
            <family val="2"/>
            <charset val="186"/>
          </rPr>
          <t xml:space="preserve">7,2 tūkst. Lt iš kitų lėšų ir </t>
        </r>
        <r>
          <rPr>
            <sz val="9"/>
            <color indexed="81"/>
            <rFont val="Tahoma"/>
            <family val="2"/>
            <charset val="186"/>
          </rPr>
          <t>rodiklį — energinio naudingumo sertifikatas ir investicijų planas, 6 vnt.</t>
        </r>
      </text>
    </comment>
  </commentList>
</comments>
</file>

<file path=xl/sharedStrings.xml><?xml version="1.0" encoding="utf-8"?>
<sst xmlns="http://schemas.openxmlformats.org/spreadsheetml/2006/main" count="1220" uniqueCount="246">
  <si>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</si>
  <si>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</si>
  <si>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</si>
  <si>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</si>
  <si>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</si>
  <si>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</si>
  <si>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</si>
  <si>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</si>
  <si>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</si>
  <si>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</si>
  <si>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</si>
  <si>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</si>
  <si>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</si>
  <si>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</si>
  <si>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</si>
  <si>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</si>
  <si>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</si>
  <si>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</si>
  <si>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</si>
  <si>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</si>
  <si>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</si>
  <si>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</si>
  <si>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</si>
  <si>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</si>
  <si>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</si>
  <si>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</si>
  <si>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</si>
  <si>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</si>
  <si>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</si>
  <si>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</si>
  <si>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</si>
  <si>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</si>
  <si>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</si>
  <si>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</si>
  <si>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</si>
  <si>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</si>
  <si>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</si>
  <si>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</si>
  <si>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</si>
  <si>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</si>
  <si>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</si>
  <si>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10</t>
  </si>
  <si>
    <t>Vaikų žaidimo aikštelių daugiabučių namų kiemuose atnaujinimas ir remontas</t>
  </si>
  <si>
    <t>08</t>
  </si>
  <si>
    <t>Atnaujinta vaikų žaidimo aikštelių, vnt.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</si>
  <si>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</si>
  <si>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</si>
  <si>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</si>
  <si>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</si>
  <si>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Įrengta suoliukų, vnt.</t>
  </si>
  <si>
    <t>Įsigyta gėlinių, vnt.</t>
  </si>
  <si>
    <t>Įsigyta šiukšliadėžių,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</si>
  <si>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</si>
  <si>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</si>
  <si>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</si>
  <si>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</si>
  <si>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</si>
  <si>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</si>
  <si>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</si>
  <si>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Etatų skaičius tualeto priežiūrai, vnt.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</si>
  <si>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</si>
  <si>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</si>
  <si>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</si>
  <si>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</si>
  <si>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</si>
  <si>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Pėsčiųjų perėjų papildomas apšvietimas ar modernizavimas</t>
  </si>
  <si>
    <t>Gatvių ir kiemų apšvietimo galios reguliatorių įdiegimas</t>
  </si>
  <si>
    <t>Įdiegta reguliatorių, vnt.</t>
  </si>
  <si>
    <t>Įrengta apšvietimo tinklų, km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</si>
  <si>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</si>
  <si>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</si>
  <si>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</si>
  <si>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</si>
  <si>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</si>
  <si>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</si>
  <si>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</si>
  <si>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</si>
  <si>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</si>
  <si>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</si>
  <si>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</si>
  <si>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</si>
  <si>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</si>
  <si>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</si>
  <si>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</si>
  <si>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</si>
  <si>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</si>
  <si>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Valoma Danės upės pakrantė (poilsio zona), ha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</si>
  <si>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</si>
  <si>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</si>
  <si>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</si>
  <si>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</si>
  <si>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</si>
  <si>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</si>
  <si>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</si>
  <si>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</si>
  <si>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</si>
  <si>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</si>
  <si>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</si>
  <si>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</si>
  <si>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</si>
  <si>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</si>
  <si>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Sutvarkyta perėjų, 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</si>
  <si>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</si>
  <si>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</si>
  <si>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</si>
  <si>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</si>
  <si>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</si>
  <si>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</si>
  <si>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</si>
  <si>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</si>
  <si>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Įsigyta viešųjų konteinerinių tualetų,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</si>
  <si>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</si>
  <si>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</si>
  <si>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</si>
  <si>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</si>
  <si>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</si>
  <si>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Apšviesta kiemų, sk.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</si>
  <si>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</si>
  <si>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</si>
  <si>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</si>
  <si>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</si>
  <si>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</si>
  <si>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</si>
  <si>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 xml:space="preserve">Šîldoma įstaigų, sk.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</si>
  <si>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</si>
  <si>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</si>
  <si>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</si>
  <si>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</si>
  <si>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</si>
  <si>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</si>
  <si>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t>Švietimo įstaigų kiemų apšvietimo tinklų išplėtimas ar įrengimas</t>
  </si>
  <si>
    <t>Viešųjų erdvių, gatvių ir kiemų apšvietimo tinklų išplėtimas ar įrengimas</t>
  </si>
  <si>
    <t>Bendrojo naudojimo lietaus nuotekų tinklų tiesimas teritorijoje ties Bangų g. 5A, Klaipėdoje</t>
  </si>
  <si>
    <t>Strateginis tikslas 02. Kurti mieste patrauklią, švarią ir saugią gyvenamąją aplinką</t>
  </si>
  <si>
    <t>Teikti miesto gyventojams kokybiškas komunalines ir viešųjų erdvių priežiūros paslaugas</t>
  </si>
  <si>
    <t>Nutiesta lietaus nuotekų tinklų – 100 m, Užbaigtumas proc.</t>
  </si>
  <si>
    <r>
      <t>Parengtas 16,8 ha plotas laidojimui, 17405 laidojimo vietų, 9500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automobilių stovėjimo aikštelės plotas,  įrengtos 173 stovėjimo vietos automobilių stovėjimo aikštelėje. 
Užbaigtumas, proc.</t>
    </r>
  </si>
  <si>
    <t>Palaidota mirusiųjų, sk</t>
  </si>
  <si>
    <t>Įrengta kalėdinė eglė</t>
  </si>
  <si>
    <t>2014-ųjų metų asignavimų planas</t>
  </si>
  <si>
    <t>2016-ųjų metų lėšų projektas</t>
  </si>
  <si>
    <t>2016-ieji metai</t>
  </si>
  <si>
    <t>Pirties paslaugų teikimas Smiltynės paplūdimyje</t>
  </si>
  <si>
    <t>Nupirkta girliandų, vnt.</t>
  </si>
  <si>
    <t>Atsinaujinančių energijos šaltinių panaudojimo plėtros plano parengimas</t>
  </si>
  <si>
    <t>Įsigyta krypties nuorodų Danės krantinėse, vnt.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</si>
  <si>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</si>
  <si>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Sugautų, karantinuotų ir utilizuota gyvūnų, t</t>
  </si>
  <si>
    <t>Plėtros plano parengimas, vnt.</t>
  </si>
  <si>
    <t>Įsigytas traktorius, sk.</t>
  </si>
  <si>
    <t>Įrengta vaikų žaidimo ir sveikatingumo aikštelė, sk.</t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</si>
  <si>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</si>
  <si>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</si>
  <si>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Parengta techn. projektų, sk.</t>
  </si>
  <si>
    <t>Pastato Garažų g. 6 remonto darbai</t>
  </si>
  <si>
    <t>Savivaldybės įstaigų eksploatuojamų pastatų energetinių auditų parengimas</t>
  </si>
  <si>
    <t>Parengtas energ. auditas, sk.</t>
  </si>
  <si>
    <t xml:space="preserve">Parengtas vieno gyvenamojo kvartalo techn. projektas </t>
  </si>
  <si>
    <t>Vaikų žaidimų aikštelių paplūdimiuose įrengimas</t>
  </si>
  <si>
    <t>09</t>
  </si>
  <si>
    <t>Atlikta darbų, proc.</t>
  </si>
  <si>
    <t>Parengta projektų, sk.</t>
  </si>
  <si>
    <t>Paplūdimių sanitarinis ir mechanizuotas valymas, inventoriaus priežiūra ir sutvarkymas (Melnragės ir Girulių paplūdimių valymo paslaugos įsigijimas)</t>
  </si>
  <si>
    <t xml:space="preserve">Gyvenamųjų namų kiemų kompleksinis tvarkymas tikslinėje teritorijoje (vieno gyvenamųjų namų kvartalo techninio projekto parengimas) </t>
  </si>
  <si>
    <t>Vandens tiekimo ir nuotekų tinklų tvarkymas:</t>
  </si>
  <si>
    <t>Integruotos stebėjimo sistemos viešose vietose nuoma ir retransliuojamo vaizdo stebėjimo paslaugos pirkimas (papildomai bus perkamos kameros Piliavietės teritorijoje ir Vasaros estradoje)</t>
  </si>
  <si>
    <t>Pastato Taikos pr. 76 šilumos trasų vamzdynų remontas</t>
  </si>
  <si>
    <t>P2.4.1.2</t>
  </si>
  <si>
    <t>P2.4.2.8</t>
  </si>
  <si>
    <t>P3.2.1.7</t>
  </si>
  <si>
    <t xml:space="preserve">Stadiono perspektyvų regione studijos parengimas </t>
  </si>
  <si>
    <t xml:space="preserve">Sporto akademijos, kaip pamainos rengimo bazės, galimybių studijos su investiciniu projektu parengimas </t>
  </si>
  <si>
    <t>Galimybių studijos, pritaikant II vandenvietę švietimo, sporto, saviraiškos reikmėms parengimas</t>
  </si>
  <si>
    <t>Tikslinės teritorijos gyvenamųjų teritorijų ir gretimų visuomeninių erdvių tvarkymo galimybių studija</t>
  </si>
  <si>
    <t xml:space="preserve">Parengta galimybių studija </t>
  </si>
  <si>
    <t>Parengtų galimybių studijų ir  techn. projektų sk.</t>
  </si>
  <si>
    <t>Galimybių studijų Klaipėdos mieste parengimas: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</si>
  <si>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</si>
  <si>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</si>
  <si>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</si>
  <si>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P1.6.3.7</t>
  </si>
  <si>
    <t>P1.4.3.8</t>
  </si>
  <si>
    <t>P2</t>
  </si>
  <si>
    <t>Suremontuota vamzdynų, proc.</t>
  </si>
  <si>
    <t xml:space="preserve">Parengtas techn. projektas, vnt </t>
  </si>
  <si>
    <t>Atlikta remonto darbų, proc.</t>
  </si>
  <si>
    <t xml:space="preserve">Danės upės krantinių nuo Biržos tilto iki Mokyklos gatvės tilto rekonstravimas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</si>
  <si>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</si>
  <si>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K. Donelaičio ir Kuršių aikščių sutvarkymas</t>
  </si>
  <si>
    <t>Savivaldybei priskirtų teritorijų sanitarinis valymas, parkų, skverų, žaliųjų plotų želdinimas ir aplinkotvarka</t>
  </si>
  <si>
    <t>Viešosios erdvės prie buvusio „Vaidilos“ kino teatro konversija („Vaidilos“ aikštės techninio projekto parengimas)</t>
  </si>
  <si>
    <r>
      <t>Prižiūrima želdynų, km</t>
    </r>
    <r>
      <rPr>
        <vertAlign val="superscript"/>
        <sz val="10"/>
        <rFont val="Times New Roman"/>
        <family val="1"/>
        <charset val="186"/>
      </rPr>
      <t>2</t>
    </r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</si>
  <si>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</si>
  <si>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</si>
  <si>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</si>
  <si>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</si>
  <si>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</si>
  <si>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</si>
  <si>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r>
      <t>Suremontuota Danės upės krantinė nuo Biržos tilto iki įplaukos prie Jono kalnelio – 310 m, proc. 
Sutvarkytos prieigos – 500 m</t>
    </r>
    <r>
      <rPr>
        <vertAlign val="superscript"/>
        <sz val="9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</t>
    </r>
  </si>
  <si>
    <t>Debreceno ir Pempininkų aikščių atnaujinimas (2014 m. – Debreceno, 2015 m. – Pempininkų)</t>
  </si>
  <si>
    <t xml:space="preserve"> 2014–2016 M. KLAIPĖDOS MIESTO SAVIVALDYBĖS</t>
  </si>
  <si>
    <t>3</t>
  </si>
  <si>
    <t>Atlikta Garažų g. 6 remonto darbų, %</t>
  </si>
  <si>
    <t>Skęstančiųjų gelbėjimo paslaugų teikimas (BĮ "Klaipėdos paplūdimiai" veiklos organizavimas – be šildymo)</t>
  </si>
  <si>
    <r>
      <rPr>
        <b/>
        <strike/>
        <sz val="10"/>
        <color rgb="FFFF0000"/>
        <rFont val="Times New Roman"/>
        <family val="1"/>
        <charset val="186"/>
      </rPr>
      <t>410,7</t>
    </r>
    <r>
      <rPr>
        <b/>
        <sz val="10"/>
        <color rgb="FFFF0000"/>
        <rFont val="Times New Roman"/>
        <family val="1"/>
        <charset val="186"/>
      </rPr>
      <t xml:space="preserve">  310,7 </t>
    </r>
  </si>
  <si>
    <r>
      <rPr>
        <b/>
        <strike/>
        <sz val="10"/>
        <color rgb="FFFF0000"/>
        <rFont val="Times New Roman"/>
        <family val="1"/>
        <charset val="186"/>
      </rPr>
      <t xml:space="preserve">366,0 </t>
    </r>
    <r>
      <rPr>
        <b/>
        <sz val="10"/>
        <color rgb="FFFF0000"/>
        <rFont val="Times New Roman"/>
        <family val="1"/>
        <charset val="186"/>
      </rPr>
      <t xml:space="preserve">      266,0</t>
    </r>
  </si>
  <si>
    <r>
      <rPr>
        <b/>
        <strike/>
        <sz val="10"/>
        <color rgb="FFFF0000"/>
        <rFont val="Times New Roman"/>
        <family val="1"/>
        <charset val="186"/>
      </rPr>
      <t>465,7</t>
    </r>
    <r>
      <rPr>
        <b/>
        <sz val="10"/>
        <color rgb="FFFF0000"/>
        <rFont val="Times New Roman"/>
        <family val="1"/>
        <charset val="186"/>
      </rPr>
      <t xml:space="preserve">   265,7</t>
    </r>
  </si>
  <si>
    <r>
      <rPr>
        <b/>
        <strike/>
        <sz val="10"/>
        <color rgb="FFFF0000"/>
        <rFont val="Times New Roman"/>
        <family val="1"/>
        <charset val="186"/>
      </rPr>
      <t xml:space="preserve">514,3 </t>
    </r>
    <r>
      <rPr>
        <b/>
        <sz val="10"/>
        <color rgb="FFFF0000"/>
        <rFont val="Times New Roman"/>
        <family val="1"/>
        <charset val="186"/>
      </rPr>
      <t xml:space="preserve">  314,3</t>
    </r>
  </si>
  <si>
    <t xml:space="preserve">Pastato Bangų g. 5A sklypo ir teritorijos link Jono kalnelio aplinkos sutvarkymas </t>
  </si>
  <si>
    <t>Sutvarkytos teritorijos plotas, ha</t>
  </si>
  <si>
    <t>P2.3.1.3.</t>
  </si>
  <si>
    <r>
      <rPr>
        <b/>
        <strike/>
        <sz val="10"/>
        <color rgb="FFFF0000"/>
        <rFont val="Times New Roman"/>
        <family val="1"/>
        <charset val="186"/>
      </rPr>
      <t>1129,7</t>
    </r>
    <r>
      <rPr>
        <b/>
        <sz val="10"/>
        <color rgb="FFFF0000"/>
        <rFont val="Times New Roman"/>
        <family val="1"/>
        <charset val="186"/>
      </rPr>
      <t xml:space="preserve">  1329,7</t>
    </r>
  </si>
  <si>
    <r>
      <rPr>
        <b/>
        <strike/>
        <sz val="10"/>
        <color rgb="FFFF0000"/>
        <rFont val="Times New Roman"/>
        <family val="1"/>
        <charset val="186"/>
      </rPr>
      <t>999,8</t>
    </r>
    <r>
      <rPr>
        <b/>
        <sz val="10"/>
        <color rgb="FFFF0000"/>
        <rFont val="Times New Roman"/>
        <family val="1"/>
        <charset val="186"/>
      </rPr>
      <t xml:space="preserve"> 1199,8</t>
    </r>
  </si>
  <si>
    <r>
      <rPr>
        <b/>
        <strike/>
        <sz val="10"/>
        <color rgb="FFFF0000"/>
        <rFont val="Times New Roman"/>
        <family val="1"/>
        <charset val="186"/>
      </rPr>
      <t>19279,1</t>
    </r>
    <r>
      <rPr>
        <b/>
        <sz val="10"/>
        <color rgb="FFFF0000"/>
        <rFont val="Times New Roman"/>
        <family val="1"/>
        <charset val="186"/>
      </rPr>
      <t xml:space="preserve">   19479,1</t>
    </r>
  </si>
  <si>
    <r>
      <rPr>
        <b/>
        <strike/>
        <sz val="10"/>
        <color rgb="FFFF0000"/>
        <rFont val="Times New Roman"/>
        <family val="1"/>
        <charset val="186"/>
      </rPr>
      <t xml:space="preserve">17904,4 </t>
    </r>
    <r>
      <rPr>
        <b/>
        <sz val="10"/>
        <color rgb="FFFF0000"/>
        <rFont val="Times New Roman"/>
        <family val="1"/>
        <charset val="186"/>
      </rPr>
      <t xml:space="preserve"> 18104,4</t>
    </r>
  </si>
  <si>
    <r>
      <rPr>
        <b/>
        <strike/>
        <sz val="10"/>
        <color rgb="FFFF0000"/>
        <rFont val="Times New Roman"/>
        <family val="1"/>
        <charset val="186"/>
      </rPr>
      <t>32915,9</t>
    </r>
    <r>
      <rPr>
        <b/>
        <sz val="10"/>
        <color rgb="FFFF0000"/>
        <rFont val="Times New Roman"/>
        <family val="1"/>
        <charset val="186"/>
      </rPr>
      <t xml:space="preserve">   33115,9</t>
    </r>
  </si>
  <si>
    <r>
      <rPr>
        <b/>
        <strike/>
        <sz val="10"/>
        <color rgb="FFFF0000"/>
        <rFont val="Times New Roman"/>
        <family val="1"/>
        <charset val="186"/>
      </rPr>
      <t xml:space="preserve">2049,9 </t>
    </r>
    <r>
      <rPr>
        <b/>
        <sz val="10"/>
        <color rgb="FFFF0000"/>
        <rFont val="Times New Roman"/>
        <family val="1"/>
        <charset val="186"/>
      </rPr>
      <t xml:space="preserve">  1849,9</t>
    </r>
  </si>
  <si>
    <r>
      <rPr>
        <b/>
        <strike/>
        <sz val="10"/>
        <color rgb="FFFF0000"/>
        <rFont val="Times New Roman"/>
        <family val="1"/>
        <charset val="186"/>
      </rPr>
      <t>39302,2</t>
    </r>
    <r>
      <rPr>
        <b/>
        <sz val="10"/>
        <color rgb="FFFF0000"/>
        <rFont val="Times New Roman"/>
        <family val="1"/>
        <charset val="186"/>
      </rPr>
      <t xml:space="preserve">   39202,2</t>
    </r>
  </si>
  <si>
    <t>Lyginamasis variantas</t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</si>
  <si>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</si>
  <si>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</si>
  <si>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</si>
  <si>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</si>
  <si>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</si>
  <si>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</si>
  <si>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SB(SPL)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</si>
  <si>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</si>
  <si>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r>
      <t xml:space="preserve">Specialiosios programos apyvartinių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</si>
  <si>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r>
      <t xml:space="preserve">Specialiosios programos apyvartinių 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</si>
  <si>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t>Apmokytų, priimtų ir įdarbintų asmeninių palydovų, sk.</t>
  </si>
  <si>
    <t>Siūlomas keisti 2014-ųjų metų maksimalių asignavimų planas*</t>
  </si>
  <si>
    <t>Projekto „Danės upės krantinės pritaikymas centrinėje Klaipėdos miesto dalyje“ įgyvendinimas</t>
  </si>
  <si>
    <t>Atnaujinta aikštė, proc.</t>
  </si>
  <si>
    <t xml:space="preserve">Debreceno aikštės atnaujinimas </t>
  </si>
  <si>
    <t>Suremontuotas fontanas, vnt.</t>
  </si>
  <si>
    <t xml:space="preserve">Pempininkų aikštės atnaujinimas </t>
  </si>
  <si>
    <t>Suremontuotas Žvejo fontanas, vnt.</t>
  </si>
  <si>
    <t>Parengtas paprastojo remonto aprašas, vnt.</t>
  </si>
  <si>
    <t>Debreceno aikštės atnaujinimas</t>
  </si>
  <si>
    <t>Santarvės pagrindinės mokyklos ir Versmės progimnazijos automatizuotos šilumos punkto kontrolės ir valdymo sistemų  įdiegimas</t>
  </si>
  <si>
    <t>Įdiegta sistemų, sk.</t>
  </si>
  <si>
    <t>Parengta programa</t>
  </si>
  <si>
    <t>Parengta rinkodaros planų</t>
  </si>
  <si>
    <t>Klaipėdos miesto integruotos tikslinės teritorijos vystymo programos bei joje esančių kultūros objektų rinkodaros planų parengimas</t>
  </si>
  <si>
    <t>Daugiabučių namų atnaujinimo (modernizavimo) energinio naudingumo sertifikatų bei investicijų planų parengimo paslauga</t>
  </si>
  <si>
    <t>Parengtas energinio naudingumo sertifikatas ir investicijų planas,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</si>
</sst>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5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9"/>
      <color indexed="81"/>
      <name val="Tahoma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3" fillId="2" borderId="1" applyBorder="0">
      <alignment horizontal="left" vertical="top" wrapText="1"/>
    </xf>
  </cellStyleXfs>
  <cellXfs count="155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46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40" xfId="0" applyNumberFormat="1" applyFont="1" applyFill="1" applyBorder="1" applyAlignment="1">
      <alignment horizontal="center" vertical="top"/>
    </xf>
    <xf numFmtId="49" fontId="5" fillId="4" borderId="31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4" borderId="63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right" vertical="top"/>
    </xf>
    <xf numFmtId="49" fontId="5" fillId="5" borderId="56" xfId="0" applyNumberFormat="1" applyFont="1" applyFill="1" applyBorder="1" applyAlignment="1">
      <alignment horizontal="center" vertical="top"/>
    </xf>
    <xf numFmtId="3" fontId="3" fillId="0" borderId="17" xfId="1" applyNumberFormat="1" applyFont="1" applyFill="1" applyBorder="1" applyAlignment="1">
      <alignment horizontal="center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4" fontId="3" fillId="2" borderId="65" xfId="0" applyNumberFormat="1" applyFont="1" applyFill="1" applyBorder="1" applyAlignment="1">
      <alignment horizontal="right" vertical="top" wrapText="1"/>
    </xf>
    <xf numFmtId="164" fontId="3" fillId="2" borderId="5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5" fontId="3" fillId="2" borderId="2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6" xfId="0" applyNumberFormat="1" applyFont="1" applyBorder="1" applyAlignment="1">
      <alignment horizontal="center" vertical="top" wrapText="1"/>
    </xf>
    <xf numFmtId="0" fontId="17" fillId="0" borderId="30" xfId="0" applyNumberFormat="1" applyFont="1" applyFill="1" applyBorder="1" applyAlignment="1">
      <alignment horizontal="center" vertical="top"/>
    </xf>
    <xf numFmtId="0" fontId="17" fillId="0" borderId="27" xfId="0" applyNumberFormat="1" applyFont="1" applyFill="1" applyBorder="1" applyAlignment="1">
      <alignment horizontal="center" vertical="top"/>
    </xf>
    <xf numFmtId="0" fontId="3" fillId="0" borderId="40" xfId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7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2" fillId="2" borderId="21" xfId="0" applyNumberFormat="1" applyFont="1" applyFill="1" applyBorder="1" applyAlignment="1">
      <alignment horizontal="center" vertical="top" wrapText="1"/>
    </xf>
    <xf numFmtId="0" fontId="22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2" fillId="2" borderId="17" xfId="0" applyNumberFormat="1" applyFont="1" applyFill="1" applyBorder="1" applyAlignment="1">
      <alignment horizontal="center" vertical="top" wrapText="1"/>
    </xf>
    <xf numFmtId="0" fontId="22" fillId="2" borderId="5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vertical="top"/>
    </xf>
    <xf numFmtId="0" fontId="22" fillId="0" borderId="53" xfId="0" applyFont="1" applyBorder="1" applyAlignment="1">
      <alignment vertical="top"/>
    </xf>
    <xf numFmtId="49" fontId="17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7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53" xfId="0" applyNumberFormat="1" applyFont="1" applyFill="1" applyBorder="1" applyAlignment="1">
      <alignment horizontal="right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vertical="top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0" fontId="0" fillId="0" borderId="31" xfId="0" applyBorder="1" applyAlignment="1"/>
    <xf numFmtId="49" fontId="3" fillId="0" borderId="28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7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3" fontId="3" fillId="0" borderId="34" xfId="1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 wrapText="1"/>
    </xf>
    <xf numFmtId="0" fontId="3" fillId="0" borderId="45" xfId="1" applyFont="1" applyFill="1" applyBorder="1" applyAlignment="1">
      <alignment vertical="top" wrapText="1"/>
    </xf>
    <xf numFmtId="3" fontId="3" fillId="0" borderId="21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textRotation="90"/>
    </xf>
    <xf numFmtId="164" fontId="3" fillId="0" borderId="65" xfId="0" applyNumberFormat="1" applyFont="1" applyFill="1" applyBorder="1" applyAlignment="1">
      <alignment vertical="top"/>
    </xf>
    <xf numFmtId="164" fontId="3" fillId="0" borderId="44" xfId="0" applyNumberFormat="1" applyFont="1" applyFill="1" applyBorder="1" applyAlignment="1">
      <alignment vertical="top"/>
    </xf>
    <xf numFmtId="164" fontId="3" fillId="0" borderId="53" xfId="0" applyNumberFormat="1" applyFont="1" applyFill="1" applyBorder="1" applyAlignment="1">
      <alignment vertical="top"/>
    </xf>
    <xf numFmtId="0" fontId="22" fillId="2" borderId="28" xfId="0" applyNumberFormat="1" applyFont="1" applyFill="1" applyBorder="1" applyAlignment="1">
      <alignment horizontal="center" vertical="top" wrapText="1"/>
    </xf>
    <xf numFmtId="0" fontId="22" fillId="0" borderId="26" xfId="0" applyFont="1" applyBorder="1" applyAlignment="1">
      <alignment vertical="top"/>
    </xf>
    <xf numFmtId="0" fontId="3" fillId="0" borderId="21" xfId="0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10" borderId="20" xfId="0" applyNumberFormat="1" applyFont="1" applyFill="1" applyBorder="1" applyAlignment="1">
      <alignment horizontal="right" vertical="top"/>
    </xf>
    <xf numFmtId="164" fontId="3" fillId="10" borderId="34" xfId="0" applyNumberFormat="1" applyFont="1" applyFill="1" applyBorder="1" applyAlignment="1">
      <alignment horizontal="right" vertical="top"/>
    </xf>
    <xf numFmtId="164" fontId="3" fillId="10" borderId="32" xfId="0" applyNumberFormat="1" applyFont="1" applyFill="1" applyBorder="1" applyAlignment="1">
      <alignment horizontal="right" vertical="top"/>
    </xf>
    <xf numFmtId="164" fontId="3" fillId="10" borderId="51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50" xfId="0" applyNumberFormat="1" applyFont="1" applyFill="1" applyBorder="1" applyAlignment="1">
      <alignment horizontal="right" vertical="top"/>
    </xf>
    <xf numFmtId="164" fontId="3" fillId="10" borderId="38" xfId="0" applyNumberFormat="1" applyFont="1" applyFill="1" applyBorder="1" applyAlignment="1">
      <alignment horizontal="right" vertical="top"/>
    </xf>
    <xf numFmtId="164" fontId="3" fillId="10" borderId="2" xfId="0" applyNumberFormat="1" applyFont="1" applyFill="1" applyBorder="1" applyAlignment="1">
      <alignment horizontal="right" vertical="top"/>
    </xf>
    <xf numFmtId="164" fontId="3" fillId="10" borderId="37" xfId="0" applyNumberFormat="1" applyFont="1" applyFill="1" applyBorder="1" applyAlignment="1">
      <alignment horizontal="right" vertical="top"/>
    </xf>
    <xf numFmtId="164" fontId="3" fillId="10" borderId="21" xfId="0" applyNumberFormat="1" applyFont="1" applyFill="1" applyBorder="1" applyAlignment="1">
      <alignment horizontal="right" vertical="top"/>
    </xf>
    <xf numFmtId="164" fontId="3" fillId="10" borderId="48" xfId="0" applyNumberFormat="1" applyFont="1" applyFill="1" applyBorder="1" applyAlignment="1">
      <alignment horizontal="right" vertical="top"/>
    </xf>
    <xf numFmtId="164" fontId="5" fillId="10" borderId="51" xfId="0" applyNumberFormat="1" applyFont="1" applyFill="1" applyBorder="1" applyAlignment="1">
      <alignment horizontal="right" vertical="top"/>
    </xf>
    <xf numFmtId="164" fontId="5" fillId="10" borderId="21" xfId="0" applyNumberFormat="1" applyFont="1" applyFill="1" applyBorder="1" applyAlignment="1">
      <alignment horizontal="right" vertical="top"/>
    </xf>
    <xf numFmtId="164" fontId="3" fillId="10" borderId="58" xfId="0" applyNumberFormat="1" applyFont="1" applyFill="1" applyBorder="1" applyAlignment="1">
      <alignment horizontal="right" vertical="top"/>
    </xf>
    <xf numFmtId="164" fontId="3" fillId="10" borderId="13" xfId="0" applyNumberFormat="1" applyFont="1" applyFill="1" applyBorder="1" applyAlignment="1">
      <alignment horizontal="right" vertical="top"/>
    </xf>
    <xf numFmtId="164" fontId="3" fillId="10" borderId="14" xfId="0" applyNumberFormat="1" applyFont="1" applyFill="1" applyBorder="1" applyAlignment="1">
      <alignment horizontal="right" vertical="top"/>
    </xf>
    <xf numFmtId="164" fontId="3" fillId="10" borderId="31" xfId="0" applyNumberFormat="1" applyFont="1" applyFill="1" applyBorder="1" applyAlignment="1">
      <alignment horizontal="right" vertical="top"/>
    </xf>
    <xf numFmtId="164" fontId="3" fillId="10" borderId="33" xfId="0" applyNumberFormat="1" applyFont="1" applyFill="1" applyBorder="1" applyAlignment="1">
      <alignment horizontal="right" vertical="top"/>
    </xf>
    <xf numFmtId="164" fontId="3" fillId="10" borderId="16" xfId="0" applyNumberFormat="1" applyFont="1" applyFill="1" applyBorder="1" applyAlignment="1">
      <alignment horizontal="right" vertical="top"/>
    </xf>
    <xf numFmtId="164" fontId="3" fillId="10" borderId="18" xfId="0" applyNumberFormat="1" applyFont="1" applyFill="1" applyBorder="1" applyAlignment="1">
      <alignment horizontal="right" vertical="top"/>
    </xf>
    <xf numFmtId="164" fontId="19" fillId="10" borderId="16" xfId="0" applyNumberFormat="1" applyFont="1" applyFill="1" applyBorder="1" applyAlignment="1">
      <alignment horizontal="right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164" fontId="5" fillId="10" borderId="74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3" fillId="10" borderId="19" xfId="0" applyNumberFormat="1" applyFont="1" applyFill="1" applyBorder="1" applyAlignment="1">
      <alignment horizontal="right" vertical="top"/>
    </xf>
    <xf numFmtId="164" fontId="3" fillId="10" borderId="1" xfId="0" applyNumberFormat="1" applyFont="1" applyFill="1" applyBorder="1" applyAlignment="1">
      <alignment horizontal="right" vertical="top"/>
    </xf>
    <xf numFmtId="164" fontId="5" fillId="10" borderId="64" xfId="0" applyNumberFormat="1" applyFont="1" applyFill="1" applyBorder="1" applyAlignment="1">
      <alignment horizontal="right" vertical="top"/>
    </xf>
    <xf numFmtId="164" fontId="3" fillId="10" borderId="39" xfId="0" applyNumberFormat="1" applyFont="1" applyFill="1" applyBorder="1" applyAlignment="1">
      <alignment horizontal="right" vertical="top"/>
    </xf>
    <xf numFmtId="164" fontId="5" fillId="10" borderId="67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vertical="top"/>
    </xf>
    <xf numFmtId="164" fontId="3" fillId="10" borderId="13" xfId="0" applyNumberFormat="1" applyFont="1" applyFill="1" applyBorder="1" applyAlignment="1">
      <alignment vertical="top"/>
    </xf>
    <xf numFmtId="164" fontId="3" fillId="10" borderId="15" xfId="0" applyNumberFormat="1" applyFont="1" applyFill="1" applyBorder="1" applyAlignment="1">
      <alignment vertical="top"/>
    </xf>
    <xf numFmtId="164" fontId="3" fillId="10" borderId="16" xfId="0" applyNumberFormat="1" applyFont="1" applyFill="1" applyBorder="1" applyAlignment="1">
      <alignment vertical="top"/>
    </xf>
    <xf numFmtId="164" fontId="3" fillId="10" borderId="2" xfId="0" applyNumberFormat="1" applyFont="1" applyFill="1" applyBorder="1" applyAlignment="1">
      <alignment vertical="top"/>
    </xf>
    <xf numFmtId="164" fontId="3" fillId="10" borderId="18" xfId="0" applyNumberFormat="1" applyFont="1" applyFill="1" applyBorder="1" applyAlignment="1">
      <alignment vertical="top"/>
    </xf>
    <xf numFmtId="164" fontId="3" fillId="10" borderId="10" xfId="0" applyNumberFormat="1" applyFont="1" applyFill="1" applyBorder="1" applyAlignment="1">
      <alignment vertical="top"/>
    </xf>
    <xf numFmtId="164" fontId="3" fillId="10" borderId="17" xfId="0" applyNumberFormat="1" applyFont="1" applyFill="1" applyBorder="1" applyAlignment="1">
      <alignment vertical="top"/>
    </xf>
    <xf numFmtId="164" fontId="3" fillId="10" borderId="19" xfId="0" applyNumberFormat="1" applyFont="1" applyFill="1" applyBorder="1" applyAlignment="1">
      <alignment vertical="top"/>
    </xf>
    <xf numFmtId="164" fontId="19" fillId="10" borderId="12" xfId="0" applyNumberFormat="1" applyFont="1" applyFill="1" applyBorder="1" applyAlignment="1">
      <alignment horizontal="right" vertical="top"/>
    </xf>
    <xf numFmtId="164" fontId="19" fillId="10" borderId="13" xfId="0" applyNumberFormat="1" applyFont="1" applyFill="1" applyBorder="1" applyAlignment="1">
      <alignment horizontal="right" vertical="top"/>
    </xf>
    <xf numFmtId="164" fontId="19" fillId="10" borderId="17" xfId="0" applyNumberFormat="1" applyFont="1" applyFill="1" applyBorder="1" applyAlignment="1">
      <alignment horizontal="right" vertical="top"/>
    </xf>
    <xf numFmtId="164" fontId="19" fillId="10" borderId="20" xfId="0" applyNumberFormat="1" applyFont="1" applyFill="1" applyBorder="1" applyAlignment="1">
      <alignment horizontal="right" vertical="top"/>
    </xf>
    <xf numFmtId="164" fontId="20" fillId="10" borderId="59" xfId="0" applyNumberFormat="1" applyFont="1" applyFill="1" applyBorder="1" applyAlignment="1">
      <alignment horizontal="right" vertical="top"/>
    </xf>
    <xf numFmtId="164" fontId="20" fillId="10" borderId="3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center"/>
    </xf>
    <xf numFmtId="164" fontId="3" fillId="10" borderId="58" xfId="0" applyNumberFormat="1" applyFont="1" applyFill="1" applyBorder="1" applyAlignment="1">
      <alignment horizontal="right" vertical="center"/>
    </xf>
    <xf numFmtId="164" fontId="3" fillId="10" borderId="71" xfId="0" applyNumberFormat="1" applyFont="1" applyFill="1" applyBorder="1" applyAlignment="1">
      <alignment horizontal="right" vertical="center"/>
    </xf>
    <xf numFmtId="164" fontId="3" fillId="10" borderId="8" xfId="0" applyNumberFormat="1" applyFont="1" applyFill="1" applyBorder="1" applyAlignment="1">
      <alignment horizontal="right" vertical="top"/>
    </xf>
    <xf numFmtId="165" fontId="9" fillId="10" borderId="28" xfId="0" applyNumberFormat="1" applyFont="1" applyFill="1" applyBorder="1" applyAlignment="1">
      <alignment vertical="top" wrapText="1"/>
    </xf>
    <xf numFmtId="164" fontId="3" fillId="10" borderId="28" xfId="0" applyNumberFormat="1" applyFont="1" applyFill="1" applyBorder="1" applyAlignment="1">
      <alignment horizontal="right" vertical="top"/>
    </xf>
    <xf numFmtId="164" fontId="3" fillId="10" borderId="47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0" fontId="5" fillId="10" borderId="76" xfId="0" applyFont="1" applyFill="1" applyBorder="1" applyAlignment="1">
      <alignment horizontal="center" vertical="top"/>
    </xf>
    <xf numFmtId="0" fontId="5" fillId="10" borderId="57" xfId="0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right" vertical="top"/>
    </xf>
    <xf numFmtId="164" fontId="5" fillId="10" borderId="1" xfId="0" applyNumberFormat="1" applyFont="1" applyFill="1" applyBorder="1" applyAlignment="1">
      <alignment horizontal="right" vertical="top"/>
    </xf>
    <xf numFmtId="164" fontId="5" fillId="10" borderId="42" xfId="0" applyNumberFormat="1" applyFont="1" applyFill="1" applyBorder="1" applyAlignment="1">
      <alignment horizontal="right" vertical="top"/>
    </xf>
    <xf numFmtId="164" fontId="5" fillId="10" borderId="6" xfId="0" applyNumberFormat="1" applyFont="1" applyFill="1" applyBorder="1" applyAlignment="1">
      <alignment horizontal="right" vertical="top"/>
    </xf>
    <xf numFmtId="0" fontId="5" fillId="10" borderId="73" xfId="0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right" vertical="top"/>
    </xf>
    <xf numFmtId="0" fontId="5" fillId="10" borderId="6" xfId="0" applyFont="1" applyFill="1" applyBorder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0" fontId="5" fillId="10" borderId="66" xfId="0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right" vertical="top"/>
    </xf>
    <xf numFmtId="164" fontId="5" fillId="10" borderId="73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5" fillId="7" borderId="56" xfId="0" applyNumberFormat="1" applyFont="1" applyFill="1" applyBorder="1" applyAlignment="1">
      <alignment horizontal="right" vertical="top"/>
    </xf>
    <xf numFmtId="0" fontId="5" fillId="10" borderId="52" xfId="0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 wrapText="1"/>
    </xf>
    <xf numFmtId="164" fontId="5" fillId="10" borderId="52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4" fontId="3" fillId="2" borderId="46" xfId="0" applyNumberFormat="1" applyFont="1" applyFill="1" applyBorder="1" applyAlignment="1">
      <alignment horizontal="right" vertical="top"/>
    </xf>
    <xf numFmtId="0" fontId="3" fillId="8" borderId="40" xfId="0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right" vertical="top"/>
    </xf>
    <xf numFmtId="164" fontId="3" fillId="8" borderId="9" xfId="0" applyNumberFormat="1" applyFont="1" applyFill="1" applyBorder="1" applyAlignment="1">
      <alignment horizontal="right" vertical="top"/>
    </xf>
    <xf numFmtId="49" fontId="5" fillId="8" borderId="17" xfId="0" applyNumberFormat="1" applyFont="1" applyFill="1" applyBorder="1" applyAlignment="1">
      <alignment horizontal="center" vertical="top"/>
    </xf>
    <xf numFmtId="164" fontId="3" fillId="10" borderId="1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164" fontId="19" fillId="10" borderId="10" xfId="0" applyNumberFormat="1" applyFont="1" applyFill="1" applyBorder="1" applyAlignment="1">
      <alignment horizontal="right" vertical="top"/>
    </xf>
    <xf numFmtId="0" fontId="5" fillId="8" borderId="40" xfId="0" applyFont="1" applyFill="1" applyBorder="1" applyAlignment="1">
      <alignment horizontal="center" vertical="top"/>
    </xf>
    <xf numFmtId="164" fontId="20" fillId="10" borderId="10" xfId="0" applyNumberFormat="1" applyFont="1" applyFill="1" applyBorder="1" applyAlignment="1">
      <alignment horizontal="right" vertical="top"/>
    </xf>
    <xf numFmtId="164" fontId="5" fillId="10" borderId="17" xfId="0" applyNumberFormat="1" applyFont="1" applyFill="1" applyBorder="1" applyAlignment="1">
      <alignment horizontal="right" vertical="top"/>
    </xf>
    <xf numFmtId="164" fontId="5" fillId="10" borderId="19" xfId="0" applyNumberFormat="1" applyFont="1" applyFill="1" applyBorder="1" applyAlignment="1">
      <alignment horizontal="right" vertical="top"/>
    </xf>
    <xf numFmtId="164" fontId="5" fillId="8" borderId="0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 wrapText="1"/>
    </xf>
    <xf numFmtId="164" fontId="3" fillId="8" borderId="9" xfId="0" applyNumberFormat="1" applyFont="1" applyFill="1" applyBorder="1" applyAlignment="1">
      <alignment horizontal="right" vertical="top" wrapText="1"/>
    </xf>
    <xf numFmtId="0" fontId="3" fillId="8" borderId="40" xfId="0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right" vertical="top"/>
    </xf>
    <xf numFmtId="164" fontId="5" fillId="8" borderId="53" xfId="0" applyNumberFormat="1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3" fontId="3" fillId="0" borderId="26" xfId="1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3" fontId="3" fillId="2" borderId="21" xfId="0" applyNumberFormat="1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right" vertical="top"/>
    </xf>
    <xf numFmtId="164" fontId="5" fillId="10" borderId="50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3" fillId="0" borderId="46" xfId="0" applyFont="1" applyFill="1" applyBorder="1" applyAlignment="1">
      <alignment horizontal="center" vertical="top" wrapText="1"/>
    </xf>
    <xf numFmtId="164" fontId="3" fillId="10" borderId="72" xfId="0" applyNumberFormat="1" applyFont="1" applyFill="1" applyBorder="1" applyAlignment="1">
      <alignment horizontal="right" vertical="top"/>
    </xf>
    <xf numFmtId="164" fontId="3" fillId="8" borderId="65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center" vertical="top"/>
    </xf>
    <xf numFmtId="164" fontId="3" fillId="10" borderId="26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10" borderId="41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right" vertical="top"/>
    </xf>
    <xf numFmtId="164" fontId="5" fillId="0" borderId="53" xfId="0" applyNumberFormat="1" applyFont="1" applyFill="1" applyBorder="1" applyAlignment="1">
      <alignment horizontal="right" vertical="top"/>
    </xf>
    <xf numFmtId="0" fontId="5" fillId="0" borderId="32" xfId="0" applyFont="1" applyBorder="1" applyAlignment="1">
      <alignment horizontal="left" vertical="top" wrapText="1"/>
    </xf>
    <xf numFmtId="164" fontId="3" fillId="10" borderId="29" xfId="0" applyNumberFormat="1" applyFont="1" applyFill="1" applyBorder="1" applyAlignment="1">
      <alignment horizontal="right" vertical="top"/>
    </xf>
    <xf numFmtId="164" fontId="5" fillId="10" borderId="10" xfId="0" applyNumberFormat="1" applyFont="1" applyFill="1" applyBorder="1" applyAlignment="1">
      <alignment vertical="top"/>
    </xf>
    <xf numFmtId="164" fontId="5" fillId="10" borderId="17" xfId="0" applyNumberFormat="1" applyFont="1" applyFill="1" applyBorder="1" applyAlignment="1">
      <alignment vertical="top"/>
    </xf>
    <xf numFmtId="164" fontId="5" fillId="10" borderId="19" xfId="0" applyNumberFormat="1" applyFont="1" applyFill="1" applyBorder="1" applyAlignment="1">
      <alignment vertical="top"/>
    </xf>
    <xf numFmtId="164" fontId="5" fillId="0" borderId="39" xfId="0" applyNumberFormat="1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top" wrapText="1"/>
    </xf>
    <xf numFmtId="164" fontId="3" fillId="10" borderId="45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2" borderId="50" xfId="0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7" fillId="11" borderId="4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0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right" vertical="top"/>
    </xf>
    <xf numFmtId="164" fontId="23" fillId="10" borderId="17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center" vertical="top"/>
    </xf>
    <xf numFmtId="164" fontId="3" fillId="10" borderId="19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164" fontId="3" fillId="10" borderId="71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3" fillId="8" borderId="7" xfId="0" applyNumberFormat="1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/>
    </xf>
    <xf numFmtId="0" fontId="3" fillId="8" borderId="70" xfId="0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10" borderId="33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0" fontId="3" fillId="8" borderId="57" xfId="0" applyFont="1" applyFill="1" applyBorder="1" applyAlignment="1">
      <alignment horizontal="center" vertical="top"/>
    </xf>
    <xf numFmtId="0" fontId="5" fillId="8" borderId="70" xfId="0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10" borderId="20" xfId="0" applyNumberFormat="1" applyFont="1" applyFill="1" applyBorder="1" applyAlignment="1">
      <alignment horizontal="right" vertical="top"/>
    </xf>
    <xf numFmtId="164" fontId="5" fillId="10" borderId="32" xfId="0" applyNumberFormat="1" applyFont="1" applyFill="1" applyBorder="1" applyAlignment="1">
      <alignment horizontal="right" vertical="top"/>
    </xf>
    <xf numFmtId="164" fontId="5" fillId="8" borderId="55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right" vertical="top"/>
    </xf>
    <xf numFmtId="164" fontId="19" fillId="10" borderId="28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 wrapText="1"/>
    </xf>
    <xf numFmtId="0" fontId="9" fillId="0" borderId="10" xfId="0" applyFont="1" applyBorder="1" applyAlignment="1">
      <alignment vertical="center" textRotation="90" wrapText="1"/>
    </xf>
    <xf numFmtId="0" fontId="24" fillId="0" borderId="31" xfId="0" applyFont="1" applyBorder="1" applyAlignment="1">
      <alignment vertical="center" textRotation="90" wrapText="1"/>
    </xf>
    <xf numFmtId="164" fontId="3" fillId="10" borderId="31" xfId="0" applyNumberFormat="1" applyFont="1" applyFill="1" applyBorder="1" applyAlignment="1">
      <alignment vertical="top"/>
    </xf>
    <xf numFmtId="164" fontId="3" fillId="10" borderId="34" xfId="0" applyNumberFormat="1" applyFont="1" applyFill="1" applyBorder="1" applyAlignment="1">
      <alignment vertical="top"/>
    </xf>
    <xf numFmtId="164" fontId="3" fillId="10" borderId="33" xfId="0" applyNumberFormat="1" applyFont="1" applyFill="1" applyBorder="1" applyAlignment="1">
      <alignment vertical="top"/>
    </xf>
    <xf numFmtId="164" fontId="3" fillId="0" borderId="55" xfId="0" applyNumberFormat="1" applyFont="1" applyFill="1" applyBorder="1" applyAlignment="1">
      <alignment vertical="top"/>
    </xf>
    <xf numFmtId="0" fontId="7" fillId="12" borderId="17" xfId="0" applyFont="1" applyFill="1" applyBorder="1" applyAlignment="1">
      <alignment horizontal="center" vertical="top"/>
    </xf>
    <xf numFmtId="164" fontId="5" fillId="0" borderId="0" xfId="0" applyNumberFormat="1" applyFont="1" applyAlignment="1">
      <alignment horizontal="left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4" borderId="8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4" fontId="11" fillId="10" borderId="38" xfId="0" applyNumberFormat="1" applyFont="1" applyFill="1" applyBorder="1" applyAlignment="1">
      <alignment horizontal="right" vertical="top" wrapText="1"/>
    </xf>
    <xf numFmtId="164" fontId="11" fillId="10" borderId="2" xfId="0" applyNumberFormat="1" applyFont="1" applyFill="1" applyBorder="1" applyAlignment="1">
      <alignment horizontal="right" vertical="top" wrapText="1"/>
    </xf>
    <xf numFmtId="164" fontId="11" fillId="10" borderId="18" xfId="0" applyNumberFormat="1" applyFont="1" applyFill="1" applyBorder="1" applyAlignment="1">
      <alignment horizontal="right" vertical="top" wrapText="1"/>
    </xf>
    <xf numFmtId="164" fontId="11" fillId="10" borderId="51" xfId="0" applyNumberFormat="1" applyFont="1" applyFill="1" applyBorder="1" applyAlignment="1">
      <alignment horizontal="right" vertical="top" wrapText="1"/>
    </xf>
    <xf numFmtId="164" fontId="11" fillId="10" borderId="48" xfId="0" applyNumberFormat="1" applyFont="1" applyFill="1" applyBorder="1" applyAlignment="1">
      <alignment horizontal="right" vertical="top" wrapText="1"/>
    </xf>
    <xf numFmtId="164" fontId="11" fillId="10" borderId="1" xfId="0" applyNumberFormat="1" applyFont="1" applyFill="1" applyBorder="1" applyAlignment="1">
      <alignment horizontal="right" vertical="top" wrapText="1"/>
    </xf>
    <xf numFmtId="164" fontId="5" fillId="10" borderId="51" xfId="0" applyNumberFormat="1" applyFont="1" applyFill="1" applyBorder="1" applyAlignment="1">
      <alignment horizontal="right" vertical="top" wrapText="1"/>
    </xf>
    <xf numFmtId="164" fontId="5" fillId="10" borderId="48" xfId="0" applyNumberFormat="1" applyFont="1" applyFill="1" applyBorder="1" applyAlignment="1">
      <alignment horizontal="right" vertical="top" wrapText="1"/>
    </xf>
    <xf numFmtId="164" fontId="5" fillId="10" borderId="1" xfId="0" applyNumberFormat="1" applyFont="1" applyFill="1" applyBorder="1" applyAlignment="1">
      <alignment horizontal="right" vertical="top" wrapText="1"/>
    </xf>
    <xf numFmtId="49" fontId="3" fillId="0" borderId="78" xfId="0" applyNumberFormat="1" applyFont="1" applyFill="1" applyBorder="1" applyAlignment="1">
      <alignment horizontal="center" vertical="top"/>
    </xf>
    <xf numFmtId="49" fontId="3" fillId="0" borderId="76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vertical="top"/>
    </xf>
    <xf numFmtId="164" fontId="5" fillId="10" borderId="10" xfId="0" applyNumberFormat="1" applyFont="1" applyFill="1" applyBorder="1" applyAlignment="1">
      <alignment horizontal="right" vertical="top"/>
    </xf>
    <xf numFmtId="164" fontId="5" fillId="10" borderId="53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80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164" fontId="27" fillId="10" borderId="45" xfId="0" applyNumberFormat="1" applyFont="1" applyFill="1" applyBorder="1" applyAlignment="1">
      <alignment horizontal="right" vertical="top"/>
    </xf>
    <xf numFmtId="164" fontId="23" fillId="10" borderId="21" xfId="0" applyNumberFormat="1" applyFont="1" applyFill="1" applyBorder="1" applyAlignment="1">
      <alignment horizontal="right" vertical="top"/>
    </xf>
    <xf numFmtId="164" fontId="23" fillId="2" borderId="52" xfId="0" applyNumberFormat="1" applyFont="1" applyFill="1" applyBorder="1" applyAlignment="1">
      <alignment horizontal="right" vertical="top" wrapText="1"/>
    </xf>
    <xf numFmtId="3" fontId="23" fillId="0" borderId="21" xfId="0" applyNumberFormat="1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 wrapText="1"/>
    </xf>
    <xf numFmtId="164" fontId="23" fillId="10" borderId="31" xfId="0" applyNumberFormat="1" applyFont="1" applyFill="1" applyBorder="1" applyAlignment="1">
      <alignment horizontal="right" vertical="top"/>
    </xf>
    <xf numFmtId="164" fontId="23" fillId="0" borderId="53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0" fontId="29" fillId="0" borderId="66" xfId="0" applyFont="1" applyFill="1" applyBorder="1" applyAlignment="1">
      <alignment horizontal="center" vertical="top"/>
    </xf>
    <xf numFmtId="164" fontId="29" fillId="10" borderId="60" xfId="0" applyNumberFormat="1" applyFont="1" applyFill="1" applyBorder="1" applyAlignment="1">
      <alignment horizontal="right" vertical="top"/>
    </xf>
    <xf numFmtId="164" fontId="29" fillId="10" borderId="59" xfId="0" applyNumberFormat="1" applyFont="1" applyFill="1" applyBorder="1" applyAlignment="1">
      <alignment horizontal="right" vertical="top"/>
    </xf>
    <xf numFmtId="164" fontId="29" fillId="0" borderId="64" xfId="0" applyNumberFormat="1" applyFont="1" applyFill="1" applyBorder="1" applyAlignment="1">
      <alignment horizontal="right" vertical="top"/>
    </xf>
    <xf numFmtId="3" fontId="27" fillId="0" borderId="26" xfId="0" applyNumberFormat="1" applyFont="1" applyFill="1" applyBorder="1" applyAlignment="1">
      <alignment horizontal="center" vertical="top"/>
    </xf>
    <xf numFmtId="3" fontId="27" fillId="0" borderId="3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5" fillId="10" borderId="59" xfId="0" applyNumberFormat="1" applyFont="1" applyFill="1" applyBorder="1" applyAlignment="1">
      <alignment horizontal="right" vertical="top" wrapText="1"/>
    </xf>
    <xf numFmtId="164" fontId="27" fillId="2" borderId="52" xfId="0" applyNumberFormat="1" applyFont="1" applyFill="1" applyBorder="1" applyAlignment="1">
      <alignment horizontal="right" vertical="top" wrapText="1"/>
    </xf>
    <xf numFmtId="164" fontId="27" fillId="10" borderId="1" xfId="0" applyNumberFormat="1" applyFont="1" applyFill="1" applyBorder="1" applyAlignment="1">
      <alignment horizontal="right" vertical="top"/>
    </xf>
    <xf numFmtId="164" fontId="23" fillId="10" borderId="19" xfId="0" applyNumberFormat="1" applyFont="1" applyFill="1" applyBorder="1" applyAlignment="1">
      <alignment horizontal="right" vertical="top"/>
    </xf>
    <xf numFmtId="164" fontId="29" fillId="10" borderId="64" xfId="0" applyNumberFormat="1" applyFont="1" applyFill="1" applyBorder="1" applyAlignment="1">
      <alignment horizontal="right" vertical="top"/>
    </xf>
    <xf numFmtId="164" fontId="27" fillId="12" borderId="4" xfId="0" applyNumberFormat="1" applyFont="1" applyFill="1" applyBorder="1" applyAlignment="1">
      <alignment horizontal="right" vertical="top"/>
    </xf>
    <xf numFmtId="164" fontId="29" fillId="3" borderId="22" xfId="0" applyNumberFormat="1" applyFont="1" applyFill="1" applyBorder="1" applyAlignment="1">
      <alignment horizontal="right" vertical="top" wrapText="1"/>
    </xf>
    <xf numFmtId="164" fontId="29" fillId="10" borderId="64" xfId="0" applyNumberFormat="1" applyFont="1" applyFill="1" applyBorder="1" applyAlignment="1">
      <alignment horizontal="center" vertical="top" wrapText="1"/>
    </xf>
    <xf numFmtId="164" fontId="29" fillId="10" borderId="60" xfId="0" applyNumberFormat="1" applyFont="1" applyFill="1" applyBorder="1" applyAlignment="1">
      <alignment horizontal="right" vertical="top" wrapText="1"/>
    </xf>
    <xf numFmtId="164" fontId="29" fillId="3" borderId="56" xfId="0" applyNumberFormat="1" applyFont="1" applyFill="1" applyBorder="1" applyAlignment="1">
      <alignment horizontal="right" vertical="top" wrapText="1"/>
    </xf>
    <xf numFmtId="49" fontId="23" fillId="0" borderId="21" xfId="0" applyNumberFormat="1" applyFont="1" applyBorder="1" applyAlignment="1">
      <alignment horizontal="center" vertical="top"/>
    </xf>
    <xf numFmtId="49" fontId="29" fillId="0" borderId="53" xfId="0" applyNumberFormat="1" applyFont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164" fontId="23" fillId="10" borderId="10" xfId="0" applyNumberFormat="1" applyFont="1" applyFill="1" applyBorder="1" applyAlignment="1">
      <alignment horizontal="right" vertical="top"/>
    </xf>
    <xf numFmtId="164" fontId="29" fillId="10" borderId="17" xfId="0" applyNumberFormat="1" applyFont="1" applyFill="1" applyBorder="1" applyAlignment="1">
      <alignment horizontal="right" vertical="top"/>
    </xf>
    <xf numFmtId="164" fontId="29" fillId="10" borderId="19" xfId="0" applyNumberFormat="1" applyFont="1" applyFill="1" applyBorder="1" applyAlignment="1">
      <alignment horizontal="right" vertical="top"/>
    </xf>
    <xf numFmtId="164" fontId="29" fillId="8" borderId="0" xfId="0" applyNumberFormat="1" applyFont="1" applyFill="1" applyBorder="1" applyAlignment="1">
      <alignment horizontal="right" vertical="top"/>
    </xf>
    <xf numFmtId="164" fontId="29" fillId="8" borderId="40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/>
    </xf>
    <xf numFmtId="0" fontId="29" fillId="8" borderId="40" xfId="0" applyFont="1" applyFill="1" applyBorder="1" applyAlignment="1">
      <alignment horizontal="center" vertical="top"/>
    </xf>
    <xf numFmtId="164" fontId="29" fillId="10" borderId="10" xfId="0" applyNumberFormat="1" applyFont="1" applyFill="1" applyBorder="1" applyAlignment="1">
      <alignment horizontal="right" vertical="top"/>
    </xf>
    <xf numFmtId="164" fontId="29" fillId="10" borderId="3" xfId="0" applyNumberFormat="1" applyFont="1" applyFill="1" applyBorder="1" applyAlignment="1">
      <alignment horizontal="right" vertical="top" wrapText="1"/>
    </xf>
    <xf numFmtId="0" fontId="23" fillId="0" borderId="17" xfId="1" applyNumberFormat="1" applyFont="1" applyFill="1" applyBorder="1" applyAlignment="1">
      <alignment horizontal="left" vertical="top"/>
    </xf>
    <xf numFmtId="0" fontId="23" fillId="0" borderId="17" xfId="1" applyNumberFormat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164" fontId="29" fillId="3" borderId="5" xfId="0" applyNumberFormat="1" applyFont="1" applyFill="1" applyBorder="1" applyAlignment="1">
      <alignment horizontal="right" vertical="top" wrapText="1"/>
    </xf>
    <xf numFmtId="164" fontId="29" fillId="4" borderId="72" xfId="0" applyNumberFormat="1" applyFont="1" applyFill="1" applyBorder="1" applyAlignment="1">
      <alignment horizontal="right" vertical="top" wrapText="1"/>
    </xf>
    <xf numFmtId="164" fontId="29" fillId="4" borderId="54" xfId="0" applyNumberFormat="1" applyFont="1" applyFill="1" applyBorder="1" applyAlignment="1">
      <alignment horizontal="right" vertical="top" wrapText="1"/>
    </xf>
    <xf numFmtId="164" fontId="29" fillId="4" borderId="25" xfId="0" applyNumberFormat="1" applyFont="1" applyFill="1" applyBorder="1" applyAlignment="1">
      <alignment horizontal="right" vertical="top" wrapText="1"/>
    </xf>
    <xf numFmtId="164" fontId="5" fillId="7" borderId="5" xfId="0" applyNumberFormat="1" applyFont="1" applyFill="1" applyBorder="1" applyAlignment="1">
      <alignment horizontal="right" vertical="top"/>
    </xf>
    <xf numFmtId="164" fontId="29" fillId="7" borderId="25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29" fillId="7" borderId="22" xfId="0" applyNumberFormat="1" applyFont="1" applyFill="1" applyBorder="1" applyAlignment="1">
      <alignment horizontal="right" vertical="top" wrapText="1"/>
    </xf>
    <xf numFmtId="164" fontId="29" fillId="7" borderId="69" xfId="0" applyNumberFormat="1" applyFont="1" applyFill="1" applyBorder="1" applyAlignment="1">
      <alignment horizontal="right" vertical="top" wrapText="1"/>
    </xf>
    <xf numFmtId="164" fontId="3" fillId="0" borderId="54" xfId="0" applyNumberFormat="1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62" xfId="0" applyNumberFormat="1" applyFont="1" applyFill="1" applyBorder="1" applyAlignment="1">
      <alignment horizontal="right" vertical="top"/>
    </xf>
    <xf numFmtId="164" fontId="5" fillId="0" borderId="66" xfId="0" applyNumberFormat="1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horizontal="right" vertical="top"/>
    </xf>
    <xf numFmtId="164" fontId="5" fillId="10" borderId="27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3" fillId="8" borderId="77" xfId="0" applyFont="1" applyFill="1" applyBorder="1" applyAlignment="1">
      <alignment horizontal="center" vertical="top"/>
    </xf>
    <xf numFmtId="164" fontId="5" fillId="10" borderId="28" xfId="0" applyNumberFormat="1" applyFont="1" applyFill="1" applyBorder="1" applyAlignment="1">
      <alignment horizontal="right" vertical="top"/>
    </xf>
    <xf numFmtId="164" fontId="5" fillId="10" borderId="29" xfId="0" applyNumberFormat="1" applyFont="1" applyFill="1" applyBorder="1" applyAlignment="1">
      <alignment horizontal="right" vertical="top"/>
    </xf>
    <xf numFmtId="3" fontId="3" fillId="0" borderId="29" xfId="0" applyNumberFormat="1" applyFont="1" applyFill="1" applyBorder="1" applyAlignment="1">
      <alignment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164" fontId="19" fillId="10" borderId="11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3" fontId="21" fillId="0" borderId="26" xfId="0" applyNumberFormat="1" applyFont="1" applyFill="1" applyBorder="1" applyAlignment="1">
      <alignment horizontal="center" vertical="center" wrapText="1"/>
    </xf>
    <xf numFmtId="164" fontId="3" fillId="8" borderId="41" xfId="0" applyNumberFormat="1" applyFont="1" applyFill="1" applyBorder="1" applyAlignment="1">
      <alignment horizontal="right" vertical="top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8" xfId="1" applyFont="1" applyFill="1" applyBorder="1" applyAlignment="1">
      <alignment vertical="top" wrapText="1"/>
    </xf>
    <xf numFmtId="3" fontId="3" fillId="0" borderId="28" xfId="1" applyNumberFormat="1" applyFont="1" applyFill="1" applyBorder="1" applyAlignment="1">
      <alignment horizontal="center" vertical="center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9" xfId="0" applyNumberFormat="1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164" fontId="5" fillId="10" borderId="61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64" fontId="3" fillId="8" borderId="50" xfId="0" applyNumberFormat="1" applyFont="1" applyFill="1" applyBorder="1" applyAlignment="1">
      <alignment horizontal="center" vertical="top"/>
    </xf>
    <xf numFmtId="164" fontId="5" fillId="5" borderId="7" xfId="0" applyNumberFormat="1" applyFont="1" applyFill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5" fillId="5" borderId="24" xfId="0" applyNumberFormat="1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0" fontId="16" fillId="2" borderId="5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164" fontId="3" fillId="10" borderId="10" xfId="0" applyNumberFormat="1" applyFont="1" applyFill="1" applyBorder="1" applyAlignment="1">
      <alignment horizontal="center" vertical="top"/>
    </xf>
    <xf numFmtId="164" fontId="3" fillId="10" borderId="17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164" fontId="5" fillId="10" borderId="17" xfId="0" applyNumberFormat="1" applyFont="1" applyFill="1" applyBorder="1" applyAlignment="1">
      <alignment horizontal="center" vertical="top"/>
    </xf>
    <xf numFmtId="164" fontId="5" fillId="10" borderId="19" xfId="0" applyNumberFormat="1" applyFont="1" applyFill="1" applyBorder="1" applyAlignment="1">
      <alignment horizontal="center" vertical="top"/>
    </xf>
    <xf numFmtId="164" fontId="5" fillId="8" borderId="17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3" fillId="10" borderId="45" xfId="0" applyNumberFormat="1" applyFont="1" applyFill="1" applyBorder="1" applyAlignment="1">
      <alignment horizontal="center" vertical="top"/>
    </xf>
    <xf numFmtId="164" fontId="3" fillId="10" borderId="21" xfId="0" applyNumberFormat="1" applyFont="1" applyFill="1" applyBorder="1" applyAlignment="1">
      <alignment horizontal="center" vertical="top"/>
    </xf>
    <xf numFmtId="164" fontId="3" fillId="10" borderId="1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21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10" borderId="31" xfId="0" applyNumberFormat="1" applyFont="1" applyFill="1" applyBorder="1" applyAlignment="1">
      <alignment horizontal="center" vertical="top"/>
    </xf>
    <xf numFmtId="164" fontId="3" fillId="10" borderId="34" xfId="0" applyNumberFormat="1" applyFont="1" applyFill="1" applyBorder="1" applyAlignment="1">
      <alignment horizontal="center" vertical="top"/>
    </xf>
    <xf numFmtId="164" fontId="3" fillId="10" borderId="33" xfId="0" applyNumberFormat="1" applyFont="1" applyFill="1" applyBorder="1" applyAlignment="1">
      <alignment horizontal="center" vertical="top"/>
    </xf>
    <xf numFmtId="164" fontId="3" fillId="8" borderId="31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3" fillId="8" borderId="70" xfId="0" applyNumberFormat="1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3" xfId="0" applyNumberFormat="1" applyFont="1" applyFill="1" applyBorder="1" applyAlignment="1">
      <alignment horizontal="center" vertical="top"/>
    </xf>
    <xf numFmtId="164" fontId="5" fillId="10" borderId="21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3" fillId="10" borderId="8" xfId="0" applyNumberFormat="1" applyFont="1" applyFill="1" applyBorder="1" applyAlignment="1">
      <alignment horizontal="center" vertical="top"/>
    </xf>
    <xf numFmtId="164" fontId="3" fillId="10" borderId="28" xfId="0" applyNumberFormat="1" applyFont="1" applyFill="1" applyBorder="1" applyAlignment="1">
      <alignment horizontal="center" vertical="top"/>
    </xf>
    <xf numFmtId="164" fontId="3" fillId="10" borderId="29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/>
    </xf>
    <xf numFmtId="164" fontId="5" fillId="10" borderId="10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164" fontId="5" fillId="10" borderId="73" xfId="0" applyNumberFormat="1" applyFont="1" applyFill="1" applyBorder="1" applyAlignment="1">
      <alignment horizontal="center" vertical="top"/>
    </xf>
    <xf numFmtId="164" fontId="3" fillId="10" borderId="72" xfId="0" applyNumberFormat="1" applyFont="1" applyFill="1" applyBorder="1" applyAlignment="1">
      <alignment horizontal="center" vertical="top"/>
    </xf>
    <xf numFmtId="164" fontId="3" fillId="10" borderId="47" xfId="0" applyNumberFormat="1" applyFont="1" applyFill="1" applyBorder="1" applyAlignment="1">
      <alignment horizontal="center" vertical="top"/>
    </xf>
    <xf numFmtId="164" fontId="3" fillId="10" borderId="38" xfId="0" applyNumberFormat="1" applyFont="1" applyFill="1" applyBorder="1" applyAlignment="1">
      <alignment horizontal="center" vertical="top"/>
    </xf>
    <xf numFmtId="164" fontId="3" fillId="10" borderId="2" xfId="0" applyNumberFormat="1" applyFont="1" applyFill="1" applyBorder="1" applyAlignment="1">
      <alignment horizontal="center" vertical="top"/>
    </xf>
    <xf numFmtId="164" fontId="3" fillId="10" borderId="37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  <xf numFmtId="164" fontId="3" fillId="8" borderId="1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3" fillId="10" borderId="51" xfId="0" applyNumberFormat="1" applyFont="1" applyFill="1" applyBorder="1" applyAlignment="1">
      <alignment horizontal="center" vertical="top"/>
    </xf>
    <xf numFmtId="164" fontId="3" fillId="10" borderId="48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3" fillId="10" borderId="39" xfId="0" applyNumberFormat="1" applyFont="1" applyFill="1" applyBorder="1" applyAlignment="1">
      <alignment horizontal="center" vertical="top"/>
    </xf>
    <xf numFmtId="164" fontId="3" fillId="10" borderId="50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/>
    </xf>
    <xf numFmtId="164" fontId="5" fillId="10" borderId="20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3" fillId="10" borderId="20" xfId="0" applyNumberFormat="1" applyFont="1" applyFill="1" applyBorder="1" applyAlignment="1">
      <alignment horizontal="center" vertical="top"/>
    </xf>
    <xf numFmtId="164" fontId="3" fillId="10" borderId="32" xfId="0" applyNumberFormat="1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center" vertical="top"/>
    </xf>
    <xf numFmtId="164" fontId="3" fillId="8" borderId="32" xfId="0" applyNumberFormat="1" applyFont="1" applyFill="1" applyBorder="1" applyAlignment="1">
      <alignment horizontal="center" vertical="top"/>
    </xf>
    <xf numFmtId="164" fontId="5" fillId="10" borderId="59" xfId="0" applyNumberFormat="1" applyFont="1" applyFill="1" applyBorder="1" applyAlignment="1">
      <alignment horizontal="center" vertical="top"/>
    </xf>
    <xf numFmtId="164" fontId="5" fillId="10" borderId="67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59" xfId="0" applyNumberFormat="1" applyFont="1" applyFill="1" applyBorder="1" applyAlignment="1">
      <alignment horizontal="center" vertical="top"/>
    </xf>
    <xf numFmtId="164" fontId="3" fillId="10" borderId="58" xfId="0" applyNumberFormat="1" applyFont="1" applyFill="1" applyBorder="1" applyAlignment="1">
      <alignment horizontal="center" vertical="top"/>
    </xf>
    <xf numFmtId="164" fontId="3" fillId="10" borderId="71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58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23" fillId="8" borderId="58" xfId="0" applyNumberFormat="1" applyFont="1" applyFill="1" applyBorder="1" applyAlignment="1">
      <alignment horizontal="center" vertical="top"/>
    </xf>
    <xf numFmtId="164" fontId="3" fillId="10" borderId="43" xfId="0" applyNumberFormat="1" applyFont="1" applyFill="1" applyBorder="1" applyAlignment="1">
      <alignment horizontal="center" vertical="top"/>
    </xf>
    <xf numFmtId="164" fontId="3" fillId="8" borderId="44" xfId="0" applyNumberFormat="1" applyFont="1" applyFill="1" applyBorder="1" applyAlignment="1">
      <alignment horizontal="center" vertical="top"/>
    </xf>
    <xf numFmtId="164" fontId="3" fillId="8" borderId="43" xfId="0" applyNumberFormat="1" applyFont="1" applyFill="1" applyBorder="1" applyAlignment="1">
      <alignment horizontal="center" vertical="top"/>
    </xf>
    <xf numFmtId="164" fontId="23" fillId="8" borderId="17" xfId="0" applyNumberFormat="1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center" vertical="top"/>
    </xf>
    <xf numFmtId="164" fontId="5" fillId="10" borderId="50" xfId="0" applyNumberFormat="1" applyFont="1" applyFill="1" applyBorder="1" applyAlignment="1">
      <alignment horizontal="center" vertical="top"/>
    </xf>
    <xf numFmtId="164" fontId="23" fillId="8" borderId="34" xfId="0" applyNumberFormat="1" applyFont="1" applyFill="1" applyBorder="1" applyAlignment="1">
      <alignment horizontal="center" vertical="top"/>
    </xf>
    <xf numFmtId="164" fontId="23" fillId="8" borderId="10" xfId="0" applyNumberFormat="1" applyFont="1" applyFill="1" applyBorder="1" applyAlignment="1">
      <alignment horizontal="center" vertical="top"/>
    </xf>
    <xf numFmtId="164" fontId="23" fillId="8" borderId="31" xfId="0" applyNumberFormat="1" applyFont="1" applyFill="1" applyBorder="1" applyAlignment="1">
      <alignment horizontal="center" vertical="top"/>
    </xf>
    <xf numFmtId="164" fontId="5" fillId="10" borderId="3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54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3" fillId="8" borderId="51" xfId="0" applyNumberFormat="1" applyFont="1" applyFill="1" applyBorder="1" applyAlignment="1">
      <alignment horizontal="center" vertical="top"/>
    </xf>
    <xf numFmtId="164" fontId="5" fillId="10" borderId="74" xfId="0" applyNumberFormat="1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center" vertical="top"/>
    </xf>
    <xf numFmtId="164" fontId="3" fillId="10" borderId="12" xfId="0" applyNumberFormat="1" applyFont="1" applyFill="1" applyBorder="1" applyAlignment="1">
      <alignment horizontal="center" vertical="top"/>
    </xf>
    <xf numFmtId="164" fontId="3" fillId="10" borderId="13" xfId="0" applyNumberFormat="1" applyFont="1" applyFill="1" applyBorder="1" applyAlignment="1">
      <alignment horizontal="center" vertical="top"/>
    </xf>
    <xf numFmtId="164" fontId="3" fillId="10" borderId="14" xfId="0" applyNumberFormat="1" applyFont="1" applyFill="1" applyBorder="1" applyAlignment="1">
      <alignment horizontal="center" vertical="top"/>
    </xf>
    <xf numFmtId="164" fontId="3" fillId="8" borderId="13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3" fillId="10" borderId="16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10" borderId="0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center" vertical="top"/>
    </xf>
    <xf numFmtId="164" fontId="5" fillId="10" borderId="48" xfId="0" applyNumberFormat="1" applyFont="1" applyFill="1" applyBorder="1" applyAlignment="1">
      <alignment horizontal="center" vertical="top"/>
    </xf>
    <xf numFmtId="164" fontId="5" fillId="3" borderId="56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80" xfId="0" applyNumberFormat="1" applyFont="1" applyFill="1" applyBorder="1" applyAlignment="1">
      <alignment horizontal="center" vertical="top"/>
    </xf>
    <xf numFmtId="164" fontId="5" fillId="3" borderId="22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center" vertical="top"/>
    </xf>
    <xf numFmtId="164" fontId="3" fillId="0" borderId="17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center" vertical="top"/>
    </xf>
    <xf numFmtId="164" fontId="19" fillId="10" borderId="28" xfId="0" applyNumberFormat="1" applyFont="1" applyFill="1" applyBorder="1" applyAlignment="1">
      <alignment horizontal="center" vertical="top"/>
    </xf>
    <xf numFmtId="164" fontId="19" fillId="10" borderId="12" xfId="0" applyNumberFormat="1" applyFont="1" applyFill="1" applyBorder="1" applyAlignment="1">
      <alignment horizontal="center" vertical="top"/>
    </xf>
    <xf numFmtId="164" fontId="19" fillId="10" borderId="13" xfId="0" applyNumberFormat="1" applyFont="1" applyFill="1" applyBorder="1" applyAlignment="1">
      <alignment horizontal="center" vertical="top"/>
    </xf>
    <xf numFmtId="164" fontId="5" fillId="3" borderId="68" xfId="0" applyNumberFormat="1" applyFont="1" applyFill="1" applyBorder="1" applyAlignment="1">
      <alignment horizontal="center" vertical="top"/>
    </xf>
    <xf numFmtId="164" fontId="5" fillId="3" borderId="69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/>
    </xf>
    <xf numFmtId="164" fontId="23" fillId="0" borderId="17" xfId="0" applyNumberFormat="1" applyFont="1" applyFill="1" applyBorder="1" applyAlignment="1">
      <alignment horizontal="center" vertical="top"/>
    </xf>
    <xf numFmtId="164" fontId="3" fillId="10" borderId="18" xfId="0" applyNumberFormat="1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horizontal="center" vertical="top"/>
    </xf>
    <xf numFmtId="164" fontId="23" fillId="8" borderId="40" xfId="0" applyNumberFormat="1" applyFont="1" applyFill="1" applyBorder="1" applyAlignment="1">
      <alignment horizontal="center" vertical="top"/>
    </xf>
    <xf numFmtId="164" fontId="5" fillId="10" borderId="75" xfId="0" applyNumberFormat="1" applyFont="1" applyFill="1" applyBorder="1" applyAlignment="1">
      <alignment horizontal="center" vertical="top"/>
    </xf>
    <xf numFmtId="164" fontId="5" fillId="10" borderId="36" xfId="0" applyNumberFormat="1" applyFont="1" applyFill="1" applyBorder="1" applyAlignment="1">
      <alignment horizontal="center" vertical="top"/>
    </xf>
    <xf numFmtId="164" fontId="5" fillId="10" borderId="64" xfId="0" applyNumberFormat="1" applyFont="1" applyFill="1" applyBorder="1" applyAlignment="1">
      <alignment horizontal="center" vertical="top"/>
    </xf>
    <xf numFmtId="164" fontId="11" fillId="10" borderId="38" xfId="0" applyNumberFormat="1" applyFont="1" applyFill="1" applyBorder="1" applyAlignment="1">
      <alignment horizontal="center" vertical="top" wrapText="1"/>
    </xf>
    <xf numFmtId="164" fontId="11" fillId="10" borderId="2" xfId="0" applyNumberFormat="1" applyFont="1" applyFill="1" applyBorder="1" applyAlignment="1">
      <alignment horizontal="center" vertical="top" wrapText="1"/>
    </xf>
    <xf numFmtId="164" fontId="11" fillId="10" borderId="18" xfId="0" applyNumberFormat="1" applyFont="1" applyFill="1" applyBorder="1" applyAlignment="1">
      <alignment horizontal="center" vertical="top" wrapText="1"/>
    </xf>
    <xf numFmtId="164" fontId="11" fillId="8" borderId="38" xfId="0" applyNumberFormat="1" applyFont="1" applyFill="1" applyBorder="1" applyAlignment="1">
      <alignment horizontal="center" vertical="top" wrapText="1"/>
    </xf>
    <xf numFmtId="164" fontId="11" fillId="8" borderId="2" xfId="0" applyNumberFormat="1" applyFont="1" applyFill="1" applyBorder="1" applyAlignment="1">
      <alignment horizontal="center" vertical="top" wrapText="1"/>
    </xf>
    <xf numFmtId="164" fontId="11" fillId="8" borderId="18" xfId="0" applyNumberFormat="1" applyFont="1" applyFill="1" applyBorder="1" applyAlignment="1">
      <alignment horizontal="center" vertical="top" wrapText="1"/>
    </xf>
    <xf numFmtId="164" fontId="5" fillId="10" borderId="51" xfId="0" applyNumberFormat="1" applyFont="1" applyFill="1" applyBorder="1" applyAlignment="1">
      <alignment horizontal="center" vertical="top" wrapText="1"/>
    </xf>
    <xf numFmtId="164" fontId="5" fillId="10" borderId="48" xfId="0" applyNumberFormat="1" applyFont="1" applyFill="1" applyBorder="1" applyAlignment="1">
      <alignment horizontal="center" vertical="top" wrapText="1"/>
    </xf>
    <xf numFmtId="164" fontId="5" fillId="10" borderId="1" xfId="0" applyNumberFormat="1" applyFont="1" applyFill="1" applyBorder="1" applyAlignment="1">
      <alignment horizontal="center" vertical="top" wrapText="1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72" xfId="0" applyNumberFormat="1" applyFont="1" applyFill="1" applyBorder="1" applyAlignment="1">
      <alignment horizontal="center" vertical="top"/>
    </xf>
    <xf numFmtId="164" fontId="5" fillId="4" borderId="54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center" vertical="top"/>
    </xf>
    <xf numFmtId="164" fontId="5" fillId="5" borderId="5" xfId="0" applyNumberFormat="1" applyFont="1" applyFill="1" applyBorder="1" applyAlignment="1">
      <alignment horizontal="center" vertical="top"/>
    </xf>
    <xf numFmtId="164" fontId="5" fillId="5" borderId="80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164" fontId="3" fillId="10" borderId="65" xfId="0" applyNumberFormat="1" applyFont="1" applyFill="1" applyBorder="1" applyAlignment="1">
      <alignment horizontal="center" vertical="top"/>
    </xf>
    <xf numFmtId="164" fontId="3" fillId="10" borderId="44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5" fillId="10" borderId="4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3" fillId="10" borderId="15" xfId="0" applyNumberFormat="1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center" vertical="top"/>
    </xf>
    <xf numFmtId="164" fontId="3" fillId="0" borderId="51" xfId="0" applyNumberFormat="1" applyFont="1" applyFill="1" applyBorder="1" applyAlignment="1">
      <alignment horizontal="center" vertical="top"/>
    </xf>
    <xf numFmtId="164" fontId="3" fillId="0" borderId="21" xfId="0" applyNumberFormat="1" applyFont="1" applyFill="1" applyBorder="1" applyAlignment="1">
      <alignment horizontal="center" vertical="top"/>
    </xf>
    <xf numFmtId="164" fontId="3" fillId="0" borderId="39" xfId="0" applyNumberFormat="1" applyFont="1" applyFill="1" applyBorder="1" applyAlignment="1">
      <alignment horizontal="center" vertical="top"/>
    </xf>
    <xf numFmtId="164" fontId="23" fillId="0" borderId="1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5" fillId="10" borderId="53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5" fillId="8" borderId="0" xfId="0" applyNumberFormat="1" applyFont="1" applyFill="1" applyBorder="1" applyAlignment="1">
      <alignment horizontal="center" vertical="top"/>
    </xf>
    <xf numFmtId="164" fontId="5" fillId="8" borderId="9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 wrapText="1"/>
    </xf>
    <xf numFmtId="164" fontId="3" fillId="8" borderId="9" xfId="0" applyNumberFormat="1" applyFont="1" applyFill="1" applyBorder="1" applyAlignment="1">
      <alignment horizontal="center" vertical="top" wrapText="1"/>
    </xf>
    <xf numFmtId="164" fontId="3" fillId="8" borderId="9" xfId="0" applyNumberFormat="1" applyFont="1" applyFill="1" applyBorder="1" applyAlignment="1">
      <alignment horizontal="center" vertical="top"/>
    </xf>
    <xf numFmtId="164" fontId="5" fillId="8" borderId="24" xfId="0" applyNumberFormat="1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64" fontId="3" fillId="0" borderId="65" xfId="0" applyNumberFormat="1" applyFont="1" applyFill="1" applyBorder="1" applyAlignment="1">
      <alignment horizontal="center" vertical="top" wrapText="1"/>
    </xf>
    <xf numFmtId="164" fontId="3" fillId="8" borderId="23" xfId="0" applyNumberFormat="1" applyFont="1" applyFill="1" applyBorder="1" applyAlignment="1">
      <alignment horizontal="center" vertical="top" wrapText="1"/>
    </xf>
    <xf numFmtId="164" fontId="3" fillId="8" borderId="44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3" fillId="2" borderId="53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center" vertical="top" wrapText="1"/>
    </xf>
    <xf numFmtId="164" fontId="3" fillId="8" borderId="53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>
      <alignment horizontal="center" vertical="top" wrapText="1"/>
    </xf>
    <xf numFmtId="164" fontId="3" fillId="0" borderId="55" xfId="0" applyNumberFormat="1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>
      <alignment horizontal="center" vertical="top"/>
    </xf>
    <xf numFmtId="164" fontId="3" fillId="0" borderId="55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5" fillId="0" borderId="24" xfId="0" applyNumberFormat="1" applyFont="1" applyFill="1" applyBorder="1" applyAlignment="1">
      <alignment horizontal="center" vertical="top"/>
    </xf>
    <xf numFmtId="164" fontId="5" fillId="0" borderId="55" xfId="0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/>
    </xf>
    <xf numFmtId="164" fontId="3" fillId="2" borderId="65" xfId="0" applyNumberFormat="1" applyFont="1" applyFill="1" applyBorder="1" applyAlignment="1">
      <alignment horizontal="center" vertical="top" wrapText="1"/>
    </xf>
    <xf numFmtId="164" fontId="3" fillId="2" borderId="24" xfId="0" applyNumberFormat="1" applyFont="1" applyFill="1" applyBorder="1" applyAlignment="1">
      <alignment horizontal="center" vertical="top" wrapText="1"/>
    </xf>
    <xf numFmtId="164" fontId="3" fillId="2" borderId="55" xfId="0" applyNumberFormat="1" applyFont="1" applyFill="1" applyBorder="1" applyAlignment="1">
      <alignment horizontal="center" vertical="top" wrapText="1"/>
    </xf>
    <xf numFmtId="164" fontId="3" fillId="0" borderId="23" xfId="0" applyNumberFormat="1" applyFont="1" applyFill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2" borderId="23" xfId="0" applyNumberFormat="1" applyFont="1" applyFill="1" applyBorder="1" applyAlignment="1">
      <alignment horizontal="center" vertical="top" wrapText="1"/>
    </xf>
    <xf numFmtId="164" fontId="3" fillId="2" borderId="46" xfId="0" applyNumberFormat="1" applyFont="1" applyFill="1" applyBorder="1" applyAlignment="1">
      <alignment horizontal="center" vertical="top"/>
    </xf>
    <xf numFmtId="164" fontId="3" fillId="2" borderId="6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center" vertical="top" wrapText="1"/>
    </xf>
    <xf numFmtId="164" fontId="3" fillId="0" borderId="65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/>
    </xf>
    <xf numFmtId="164" fontId="5" fillId="10" borderId="38" xfId="0" applyNumberFormat="1" applyFont="1" applyFill="1" applyBorder="1" applyAlignment="1">
      <alignment horizontal="center" vertical="top"/>
    </xf>
    <xf numFmtId="164" fontId="5" fillId="10" borderId="16" xfId="0" applyNumberFormat="1" applyFont="1" applyFill="1" applyBorder="1" applyAlignment="1">
      <alignment horizontal="center" vertical="top"/>
    </xf>
    <xf numFmtId="164" fontId="5" fillId="3" borderId="25" xfId="0" applyNumberFormat="1" applyFont="1" applyFill="1" applyBorder="1" applyAlignment="1">
      <alignment horizontal="center" vertical="top"/>
    </xf>
    <xf numFmtId="164" fontId="3" fillId="2" borderId="71" xfId="0" applyNumberFormat="1" applyFont="1" applyFill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center" vertical="top" wrapText="1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23" xfId="0" applyNumberFormat="1" applyFon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center" vertical="top"/>
    </xf>
    <xf numFmtId="164" fontId="3" fillId="2" borderId="43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/>
    </xf>
    <xf numFmtId="164" fontId="5" fillId="5" borderId="69" xfId="0" applyNumberFormat="1" applyFont="1" applyFill="1" applyBorder="1" applyAlignment="1">
      <alignment horizontal="center" vertical="top"/>
    </xf>
    <xf numFmtId="164" fontId="5" fillId="5" borderId="25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 wrapText="1"/>
    </xf>
    <xf numFmtId="165" fontId="3" fillId="0" borderId="29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 textRotation="90"/>
    </xf>
    <xf numFmtId="0" fontId="3" fillId="0" borderId="0" xfId="0" applyFont="1" applyBorder="1" applyAlignment="1">
      <alignment horizontal="center" vertical="top"/>
    </xf>
    <xf numFmtId="1" fontId="3" fillId="0" borderId="17" xfId="0" applyNumberFormat="1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 wrapText="1"/>
    </xf>
    <xf numFmtId="164" fontId="3" fillId="0" borderId="23" xfId="0" applyNumberFormat="1" applyFont="1" applyFill="1" applyBorder="1" applyAlignment="1">
      <alignment horizontal="center" vertical="top" wrapText="1"/>
    </xf>
    <xf numFmtId="164" fontId="3" fillId="0" borderId="44" xfId="0" applyNumberFormat="1" applyFont="1" applyFill="1" applyBorder="1" applyAlignment="1">
      <alignment horizontal="center" vertical="top" wrapText="1"/>
    </xf>
    <xf numFmtId="0" fontId="3" fillId="8" borderId="24" xfId="0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3" fillId="0" borderId="57" xfId="0" applyNumberFormat="1" applyFont="1" applyFill="1" applyBorder="1" applyAlignment="1">
      <alignment horizontal="center" vertical="top"/>
    </xf>
    <xf numFmtId="0" fontId="3" fillId="0" borderId="0" xfId="0" applyFont="1"/>
    <xf numFmtId="0" fontId="3" fillId="11" borderId="40" xfId="0" applyFont="1" applyFill="1" applyBorder="1" applyAlignment="1">
      <alignment horizontal="center" vertical="top"/>
    </xf>
    <xf numFmtId="0" fontId="3" fillId="12" borderId="17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11" borderId="10" xfId="0" applyFont="1" applyFill="1" applyBorder="1" applyAlignment="1">
      <alignment horizontal="center" vertical="top"/>
    </xf>
    <xf numFmtId="0" fontId="3" fillId="12" borderId="50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31" xfId="0" applyFont="1" applyBorder="1" applyAlignment="1"/>
    <xf numFmtId="0" fontId="2" fillId="0" borderId="11" xfId="0" applyFont="1" applyBorder="1" applyAlignment="1">
      <alignment horizontal="center" vertical="top" textRotation="90" wrapText="1"/>
    </xf>
    <xf numFmtId="49" fontId="5" fillId="3" borderId="28" xfId="0" applyNumberFormat="1" applyFont="1" applyFill="1" applyBorder="1" applyAlignment="1">
      <alignment vertical="top"/>
    </xf>
    <xf numFmtId="0" fontId="3" fillId="2" borderId="44" xfId="0" applyFont="1" applyFill="1" applyBorder="1" applyAlignment="1">
      <alignment horizontal="center" vertical="top" wrapText="1"/>
    </xf>
    <xf numFmtId="164" fontId="3" fillId="10" borderId="38" xfId="0" applyNumberFormat="1" applyFont="1" applyFill="1" applyBorder="1" applyAlignment="1">
      <alignment horizontal="center" vertical="top" wrapText="1"/>
    </xf>
    <xf numFmtId="164" fontId="3" fillId="10" borderId="2" xfId="0" applyNumberFormat="1" applyFont="1" applyFill="1" applyBorder="1" applyAlignment="1">
      <alignment horizontal="center" vertical="top" wrapText="1"/>
    </xf>
    <xf numFmtId="164" fontId="3" fillId="10" borderId="18" xfId="0" applyNumberFormat="1" applyFont="1" applyFill="1" applyBorder="1" applyAlignment="1">
      <alignment horizontal="center" vertical="top" wrapText="1"/>
    </xf>
    <xf numFmtId="0" fontId="3" fillId="2" borderId="28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52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vertical="top"/>
    </xf>
    <xf numFmtId="0" fontId="3" fillId="0" borderId="26" xfId="0" applyFont="1" applyBorder="1" applyAlignment="1">
      <alignment horizontal="center" vertical="top"/>
    </xf>
    <xf numFmtId="0" fontId="3" fillId="0" borderId="53" xfId="0" applyFont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57" xfId="0" applyNumberFormat="1" applyFont="1" applyFill="1" applyBorder="1" applyAlignment="1">
      <alignment horizontal="center" vertical="top"/>
    </xf>
    <xf numFmtId="0" fontId="3" fillId="0" borderId="45" xfId="0" applyFont="1" applyBorder="1" applyAlignment="1">
      <alignment vertical="top" wrapText="1"/>
    </xf>
    <xf numFmtId="0" fontId="3" fillId="0" borderId="21" xfId="1" applyNumberFormat="1" applyFont="1" applyFill="1" applyBorder="1" applyAlignment="1">
      <alignment horizontal="center" vertical="top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52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165" fontId="3" fillId="0" borderId="3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9" fontId="5" fillId="4" borderId="31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 wrapText="1"/>
    </xf>
    <xf numFmtId="164" fontId="3" fillId="8" borderId="6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/>
    </xf>
    <xf numFmtId="0" fontId="3" fillId="0" borderId="60" xfId="0" applyFont="1" applyFill="1" applyBorder="1" applyAlignment="1">
      <alignment horizontal="left" vertical="top" wrapText="1"/>
    </xf>
    <xf numFmtId="3" fontId="3" fillId="0" borderId="3" xfId="0" applyNumberFormat="1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165" fontId="3" fillId="0" borderId="28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2" borderId="45" xfId="0" applyFont="1" applyFill="1" applyBorder="1" applyAlignment="1">
      <alignment horizontal="left" vertical="top" wrapText="1"/>
    </xf>
    <xf numFmtId="49" fontId="3" fillId="0" borderId="21" xfId="0" applyNumberFormat="1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4" fontId="29" fillId="10" borderId="73" xfId="0" applyNumberFormat="1" applyFont="1" applyFill="1" applyBorder="1" applyAlignment="1">
      <alignment horizontal="center" vertical="top"/>
    </xf>
    <xf numFmtId="164" fontId="29" fillId="10" borderId="60" xfId="0" applyNumberFormat="1" applyFont="1" applyFill="1" applyBorder="1" applyAlignment="1">
      <alignment horizontal="center" vertical="top"/>
    </xf>
    <xf numFmtId="164" fontId="29" fillId="10" borderId="3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center" vertical="top"/>
    </xf>
    <xf numFmtId="164" fontId="5" fillId="8" borderId="50" xfId="0" applyNumberFormat="1" applyFont="1" applyFill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/>
    </xf>
    <xf numFmtId="164" fontId="5" fillId="10" borderId="33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5" fillId="8" borderId="70" xfId="0" applyNumberFormat="1" applyFont="1" applyFill="1" applyBorder="1" applyAlignment="1">
      <alignment horizontal="center" vertical="top"/>
    </xf>
    <xf numFmtId="3" fontId="3" fillId="0" borderId="21" xfId="0" applyNumberFormat="1" applyFont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/>
    </xf>
    <xf numFmtId="164" fontId="5" fillId="8" borderId="73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23" fillId="8" borderId="13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/>
    </xf>
    <xf numFmtId="164" fontId="29" fillId="10" borderId="59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/>
    </xf>
    <xf numFmtId="3" fontId="3" fillId="0" borderId="34" xfId="0" applyNumberFormat="1" applyFont="1" applyBorder="1" applyAlignment="1">
      <alignment horizontal="center" vertical="top"/>
    </xf>
    <xf numFmtId="164" fontId="5" fillId="0" borderId="17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center" vertical="top"/>
    </xf>
    <xf numFmtId="164" fontId="3" fillId="10" borderId="78" xfId="0" applyNumberFormat="1" applyFont="1" applyFill="1" applyBorder="1" applyAlignment="1">
      <alignment horizontal="center" vertical="top"/>
    </xf>
    <xf numFmtId="164" fontId="23" fillId="8" borderId="2" xfId="0" applyNumberFormat="1" applyFont="1" applyFill="1" applyBorder="1" applyAlignment="1">
      <alignment horizontal="center" vertical="top"/>
    </xf>
    <xf numFmtId="164" fontId="23" fillId="8" borderId="12" xfId="0" applyNumberFormat="1" applyFont="1" applyFill="1" applyBorder="1" applyAlignment="1">
      <alignment horizontal="center" vertical="top"/>
    </xf>
    <xf numFmtId="164" fontId="23" fillId="0" borderId="45" xfId="0" applyNumberFormat="1" applyFont="1" applyFill="1" applyBorder="1" applyAlignment="1">
      <alignment horizontal="center" vertical="top"/>
    </xf>
    <xf numFmtId="164" fontId="23" fillId="0" borderId="21" xfId="0" applyNumberFormat="1" applyFont="1" applyFill="1" applyBorder="1" applyAlignment="1">
      <alignment horizontal="center" vertical="top"/>
    </xf>
    <xf numFmtId="164" fontId="29" fillId="10" borderId="11" xfId="0" applyNumberFormat="1" applyFont="1" applyFill="1" applyBorder="1" applyAlignment="1">
      <alignment horizontal="center" vertical="top"/>
    </xf>
    <xf numFmtId="164" fontId="29" fillId="10" borderId="75" xfId="0" applyNumberFormat="1" applyFont="1" applyFill="1" applyBorder="1" applyAlignment="1">
      <alignment horizontal="center" vertical="top"/>
    </xf>
    <xf numFmtId="164" fontId="23" fillId="8" borderId="16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0" borderId="19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0" fontId="3" fillId="8" borderId="33" xfId="0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2" borderId="48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164" fontId="3" fillId="10" borderId="54" xfId="0" applyNumberFormat="1" applyFont="1" applyFill="1" applyBorder="1" applyAlignment="1">
      <alignment horizontal="center" vertical="top"/>
    </xf>
    <xf numFmtId="164" fontId="3" fillId="0" borderId="40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64" fontId="23" fillId="8" borderId="76" xfId="0" applyNumberFormat="1" applyFont="1" applyFill="1" applyBorder="1" applyAlignment="1">
      <alignment horizontal="center" vertical="top"/>
    </xf>
    <xf numFmtId="164" fontId="23" fillId="8" borderId="20" xfId="0" applyNumberFormat="1" applyFont="1" applyFill="1" applyBorder="1" applyAlignment="1">
      <alignment horizontal="center" vertical="top"/>
    </xf>
    <xf numFmtId="164" fontId="29" fillId="3" borderId="56" xfId="0" applyNumberFormat="1" applyFont="1" applyFill="1" applyBorder="1" applyAlignment="1">
      <alignment horizontal="center" vertical="top"/>
    </xf>
    <xf numFmtId="164" fontId="29" fillId="4" borderId="8" xfId="0" applyNumberFormat="1" applyFont="1" applyFill="1" applyBorder="1" applyAlignment="1">
      <alignment horizontal="center" vertical="top"/>
    </xf>
    <xf numFmtId="164" fontId="29" fillId="4" borderId="72" xfId="0" applyNumberFormat="1" applyFont="1" applyFill="1" applyBorder="1" applyAlignment="1">
      <alignment horizontal="center" vertical="top"/>
    </xf>
    <xf numFmtId="164" fontId="29" fillId="5" borderId="56" xfId="0" applyNumberFormat="1" applyFont="1" applyFill="1" applyBorder="1" applyAlignment="1">
      <alignment horizontal="center" vertical="top"/>
    </xf>
    <xf numFmtId="164" fontId="29" fillId="5" borderId="5" xfId="0" applyNumberFormat="1" applyFont="1" applyFill="1" applyBorder="1" applyAlignment="1">
      <alignment horizontal="center" vertical="top"/>
    </xf>
    <xf numFmtId="164" fontId="23" fillId="8" borderId="8" xfId="0" applyNumberFormat="1" applyFont="1" applyFill="1" applyBorder="1" applyAlignment="1">
      <alignment horizontal="center" vertical="top"/>
    </xf>
    <xf numFmtId="164" fontId="23" fillId="8" borderId="72" xfId="0" applyNumberFormat="1" applyFont="1" applyFill="1" applyBorder="1" applyAlignment="1">
      <alignment horizontal="center" vertical="top"/>
    </xf>
    <xf numFmtId="164" fontId="23" fillId="8" borderId="45" xfId="0" applyNumberFormat="1" applyFont="1" applyFill="1" applyBorder="1" applyAlignment="1">
      <alignment horizontal="center" vertical="top"/>
    </xf>
    <xf numFmtId="164" fontId="23" fillId="8" borderId="51" xfId="0" applyNumberFormat="1" applyFont="1" applyFill="1" applyBorder="1" applyAlignment="1">
      <alignment horizontal="center" vertical="top"/>
    </xf>
    <xf numFmtId="164" fontId="23" fillId="8" borderId="21" xfId="0" applyNumberFormat="1" applyFont="1" applyFill="1" applyBorder="1" applyAlignment="1">
      <alignment horizontal="center" vertical="top"/>
    </xf>
    <xf numFmtId="164" fontId="23" fillId="8" borderId="39" xfId="0" applyNumberFormat="1" applyFont="1" applyFill="1" applyBorder="1" applyAlignment="1">
      <alignment horizontal="center" vertical="top"/>
    </xf>
    <xf numFmtId="164" fontId="29" fillId="10" borderId="4" xfId="0" applyNumberFormat="1" applyFont="1" applyFill="1" applyBorder="1" applyAlignment="1">
      <alignment horizontal="center" vertical="top"/>
    </xf>
    <xf numFmtId="164" fontId="23" fillId="8" borderId="14" xfId="0" applyNumberFormat="1" applyFont="1" applyFill="1" applyBorder="1" applyAlignment="1">
      <alignment horizontal="center" vertical="top"/>
    </xf>
    <xf numFmtId="164" fontId="23" fillId="8" borderId="37" xfId="0" applyNumberFormat="1" applyFont="1" applyFill="1" applyBorder="1" applyAlignment="1">
      <alignment horizontal="center" vertical="top"/>
    </xf>
    <xf numFmtId="164" fontId="29" fillId="10" borderId="74" xfId="0" applyNumberFormat="1" applyFont="1" applyFill="1" applyBorder="1" applyAlignment="1">
      <alignment horizontal="center" vertical="top"/>
    </xf>
    <xf numFmtId="164" fontId="23" fillId="8" borderId="71" xfId="0" applyNumberFormat="1" applyFont="1" applyFill="1" applyBorder="1" applyAlignment="1">
      <alignment horizontal="center" vertical="top"/>
    </xf>
    <xf numFmtId="164" fontId="23" fillId="8" borderId="43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0" fontId="3" fillId="2" borderId="27" xfId="0" applyFont="1" applyFill="1" applyBorder="1" applyAlignment="1">
      <alignment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49" fontId="5" fillId="0" borderId="28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0" borderId="72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center" vertical="center" textRotation="90" wrapText="1"/>
    </xf>
    <xf numFmtId="0" fontId="24" fillId="0" borderId="38" xfId="0" applyFont="1" applyBorder="1" applyAlignment="1">
      <alignment vertical="center" textRotation="90" wrapText="1"/>
    </xf>
    <xf numFmtId="0" fontId="9" fillId="0" borderId="39" xfId="0" applyFont="1" applyBorder="1" applyAlignment="1">
      <alignment vertical="center" textRotation="90" wrapText="1"/>
    </xf>
    <xf numFmtId="0" fontId="3" fillId="0" borderId="38" xfId="0" applyFont="1" applyBorder="1" applyAlignment="1">
      <alignment textRotation="90"/>
    </xf>
    <xf numFmtId="0" fontId="7" fillId="0" borderId="20" xfId="0" applyFont="1" applyBorder="1" applyAlignment="1"/>
    <xf numFmtId="0" fontId="5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29" fillId="2" borderId="18" xfId="0" applyFont="1" applyFill="1" applyBorder="1" applyAlignment="1">
      <alignment vertical="top" wrapText="1"/>
    </xf>
    <xf numFmtId="164" fontId="29" fillId="10" borderId="67" xfId="0" applyNumberFormat="1" applyFont="1" applyFill="1" applyBorder="1" applyAlignment="1">
      <alignment horizontal="center" vertical="top"/>
    </xf>
    <xf numFmtId="164" fontId="3" fillId="0" borderId="3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top" wrapText="1"/>
    </xf>
    <xf numFmtId="0" fontId="3" fillId="0" borderId="16" xfId="1" applyFont="1" applyFill="1" applyBorder="1" applyAlignment="1">
      <alignment vertical="top" wrapText="1"/>
    </xf>
    <xf numFmtId="164" fontId="23" fillId="8" borderId="38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vertical="top"/>
    </xf>
    <xf numFmtId="164" fontId="3" fillId="13" borderId="17" xfId="0" applyNumberFormat="1" applyFont="1" applyFill="1" applyBorder="1" applyAlignment="1">
      <alignment horizontal="center" vertical="top"/>
    </xf>
    <xf numFmtId="164" fontId="3" fillId="8" borderId="77" xfId="0" applyNumberFormat="1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164" fontId="29" fillId="8" borderId="59" xfId="0" applyNumberFormat="1" applyFont="1" applyFill="1" applyBorder="1" applyAlignment="1">
      <alignment horizontal="center" vertical="top"/>
    </xf>
    <xf numFmtId="164" fontId="29" fillId="8" borderId="3" xfId="0" applyNumberFormat="1" applyFont="1" applyFill="1" applyBorder="1" applyAlignment="1">
      <alignment horizontal="center" vertical="top"/>
    </xf>
    <xf numFmtId="0" fontId="16" fillId="2" borderId="37" xfId="0" applyFont="1" applyFill="1" applyBorder="1" applyAlignment="1">
      <alignment horizontal="left" vertical="top" wrapText="1"/>
    </xf>
    <xf numFmtId="0" fontId="16" fillId="2" borderId="48" xfId="0" applyFont="1" applyFill="1" applyBorder="1" applyAlignment="1">
      <alignment horizontal="left" vertical="top" wrapText="1"/>
    </xf>
    <xf numFmtId="49" fontId="5" fillId="9" borderId="78" xfId="0" applyNumberFormat="1" applyFont="1" applyFill="1" applyBorder="1" applyAlignment="1">
      <alignment horizontal="left" vertical="top" wrapText="1"/>
    </xf>
    <xf numFmtId="49" fontId="5" fillId="9" borderId="71" xfId="0" applyNumberFormat="1" applyFont="1" applyFill="1" applyBorder="1" applyAlignment="1">
      <alignment horizontal="left" vertical="top" wrapText="1"/>
    </xf>
    <xf numFmtId="49" fontId="5" fillId="9" borderId="65" xfId="0" applyNumberFormat="1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left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34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" fontId="3" fillId="2" borderId="33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9" fillId="0" borderId="45" xfId="0" applyFont="1" applyFill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0" fontId="3" fillId="8" borderId="1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left" vertical="top" wrapText="1"/>
    </xf>
    <xf numFmtId="0" fontId="7" fillId="0" borderId="31" xfId="0" applyFont="1" applyBorder="1" applyAlignment="1">
      <alignment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13" fillId="0" borderId="1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3" fontId="3" fillId="2" borderId="28" xfId="0" applyNumberFormat="1" applyFont="1" applyFill="1" applyBorder="1" applyAlignment="1">
      <alignment horizontal="center" vertical="top" wrapText="1"/>
    </xf>
    <xf numFmtId="3" fontId="3" fillId="2" borderId="3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49" fontId="5" fillId="12" borderId="50" xfId="0" applyNumberFormat="1" applyFont="1" applyFill="1" applyBorder="1" applyAlignment="1">
      <alignment horizontal="center" vertical="top"/>
    </xf>
    <xf numFmtId="0" fontId="3" fillId="2" borderId="19" xfId="0" applyFont="1" applyFill="1" applyBorder="1" applyAlignment="1">
      <alignment vertical="top" wrapText="1"/>
    </xf>
    <xf numFmtId="0" fontId="3" fillId="2" borderId="33" xfId="0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164" fontId="9" fillId="2" borderId="45" xfId="0" applyNumberFormat="1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30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0" fontId="3" fillId="0" borderId="11" xfId="0" applyFont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3" borderId="79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36" xfId="0" applyFont="1" applyFill="1" applyBorder="1" applyAlignment="1">
      <alignment horizontal="right" vertical="top" wrapText="1"/>
    </xf>
    <xf numFmtId="0" fontId="5" fillId="6" borderId="35" xfId="0" applyNumberFormat="1" applyFont="1" applyFill="1" applyBorder="1" applyAlignment="1">
      <alignment horizontal="center" vertical="top" wrapText="1"/>
    </xf>
    <xf numFmtId="0" fontId="5" fillId="6" borderId="30" xfId="0" applyNumberFormat="1" applyFont="1" applyFill="1" applyBorder="1" applyAlignment="1">
      <alignment horizontal="center" vertical="top" wrapText="1"/>
    </xf>
    <xf numFmtId="0" fontId="5" fillId="6" borderId="36" xfId="0" applyNumberFormat="1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165" fontId="5" fillId="5" borderId="76" xfId="0" applyNumberFormat="1" applyFont="1" applyFill="1" applyBorder="1" applyAlignment="1">
      <alignment horizontal="center" vertical="top" wrapText="1"/>
    </xf>
    <xf numFmtId="165" fontId="5" fillId="5" borderId="43" xfId="0" applyNumberFormat="1" applyFont="1" applyFill="1" applyBorder="1" applyAlignment="1">
      <alignment horizontal="center" vertical="top" wrapText="1"/>
    </xf>
    <xf numFmtId="165" fontId="5" fillId="5" borderId="44" xfId="0" applyNumberFormat="1" applyFont="1" applyFill="1" applyBorder="1" applyAlignment="1">
      <alignment horizontal="center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12" borderId="63" xfId="0" applyFont="1" applyFill="1" applyBorder="1" applyAlignment="1">
      <alignment horizontal="center" vertical="top" wrapText="1"/>
    </xf>
    <xf numFmtId="0" fontId="3" fillId="12" borderId="68" xfId="0" applyFont="1" applyFill="1" applyBorder="1" applyAlignment="1">
      <alignment horizontal="center" vertical="top" wrapText="1"/>
    </xf>
    <xf numFmtId="0" fontId="3" fillId="12" borderId="69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5" borderId="78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5" xfId="0" applyFont="1" applyFill="1" applyBorder="1" applyAlignment="1">
      <alignment horizontal="right" vertical="top" wrapText="1"/>
    </xf>
    <xf numFmtId="165" fontId="5" fillId="5" borderId="78" xfId="0" applyNumberFormat="1" applyFont="1" applyFill="1" applyBorder="1" applyAlignment="1">
      <alignment horizontal="center" vertical="top" wrapText="1"/>
    </xf>
    <xf numFmtId="165" fontId="5" fillId="5" borderId="71" xfId="0" applyNumberFormat="1" applyFont="1" applyFill="1" applyBorder="1" applyAlignment="1">
      <alignment horizontal="center" vertical="top" wrapText="1"/>
    </xf>
    <xf numFmtId="165" fontId="5" fillId="5" borderId="65" xfId="0" applyNumberFormat="1" applyFont="1" applyFill="1" applyBorder="1" applyAlignment="1">
      <alignment horizontal="center" vertical="top" wrapText="1"/>
    </xf>
    <xf numFmtId="49" fontId="5" fillId="0" borderId="30" xfId="0" applyNumberFormat="1" applyFont="1" applyFill="1" applyBorder="1" applyAlignment="1">
      <alignment horizontal="center" vertical="top" wrapText="1"/>
    </xf>
    <xf numFmtId="0" fontId="3" fillId="2" borderId="57" xfId="0" applyNumberFormat="1" applyFont="1" applyFill="1" applyBorder="1" applyAlignment="1">
      <alignment horizontal="left" vertical="top" wrapText="1"/>
    </xf>
    <xf numFmtId="0" fontId="9" fillId="2" borderId="40" xfId="0" applyNumberFormat="1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0" fontId="3" fillId="5" borderId="63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49" fontId="5" fillId="5" borderId="7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3" fillId="2" borderId="4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9" fontId="5" fillId="7" borderId="79" xfId="0" applyNumberFormat="1" applyFont="1" applyFill="1" applyBorder="1" applyAlignment="1">
      <alignment horizontal="right" vertical="top"/>
    </xf>
    <xf numFmtId="49" fontId="5" fillId="7" borderId="68" xfId="0" applyNumberFormat="1" applyFont="1" applyFill="1" applyBorder="1" applyAlignment="1">
      <alignment horizontal="right" vertical="top"/>
    </xf>
    <xf numFmtId="0" fontId="3" fillId="7" borderId="63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9" xfId="0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22" fillId="2" borderId="40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center" vertical="top"/>
    </xf>
    <xf numFmtId="0" fontId="27" fillId="0" borderId="4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8" borderId="28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7" fillId="0" borderId="26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0" fontId="3" fillId="0" borderId="10" xfId="1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3" fontId="3" fillId="2" borderId="1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5" fillId="0" borderId="32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2" borderId="45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center" textRotation="90" wrapText="1"/>
    </xf>
    <xf numFmtId="0" fontId="31" fillId="0" borderId="31" xfId="0" applyFont="1" applyBorder="1" applyAlignment="1">
      <alignment horizontal="center" vertical="center" textRotation="90" wrapText="1"/>
    </xf>
    <xf numFmtId="0" fontId="3" fillId="0" borderId="57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29" fillId="6" borderId="73" xfId="0" applyNumberFormat="1" applyFont="1" applyFill="1" applyBorder="1" applyAlignment="1">
      <alignment horizontal="center" vertical="top" wrapText="1"/>
    </xf>
    <xf numFmtId="0" fontId="29" fillId="6" borderId="67" xfId="0" applyNumberFormat="1" applyFont="1" applyFill="1" applyBorder="1" applyAlignment="1">
      <alignment horizontal="center" vertical="top" wrapText="1"/>
    </xf>
    <xf numFmtId="0" fontId="29" fillId="6" borderId="64" xfId="0" applyNumberFormat="1" applyFont="1" applyFill="1" applyBorder="1" applyAlignment="1">
      <alignment horizontal="center" vertical="top" wrapText="1"/>
    </xf>
    <xf numFmtId="0" fontId="5" fillId="3" borderId="41" xfId="0" applyFont="1" applyFill="1" applyBorder="1" applyAlignment="1">
      <alignment horizontal="left" vertical="top" wrapText="1"/>
    </xf>
    <xf numFmtId="0" fontId="5" fillId="3" borderId="54" xfId="0" applyFont="1" applyFill="1" applyBorder="1" applyAlignment="1">
      <alignment horizontal="left" vertical="top" wrapText="1"/>
    </xf>
    <xf numFmtId="165" fontId="29" fillId="5" borderId="78" xfId="0" applyNumberFormat="1" applyFont="1" applyFill="1" applyBorder="1" applyAlignment="1">
      <alignment horizontal="center" vertical="top" wrapText="1"/>
    </xf>
    <xf numFmtId="165" fontId="29" fillId="5" borderId="71" xfId="0" applyNumberFormat="1" applyFont="1" applyFill="1" applyBorder="1" applyAlignment="1">
      <alignment horizontal="center" vertical="top" wrapText="1"/>
    </xf>
    <xf numFmtId="165" fontId="29" fillId="5" borderId="65" xfId="0" applyNumberFormat="1" applyFont="1" applyFill="1" applyBorder="1" applyAlignment="1">
      <alignment horizontal="center" vertical="top" wrapText="1"/>
    </xf>
    <xf numFmtId="0" fontId="5" fillId="6" borderId="73" xfId="0" applyNumberFormat="1" applyFont="1" applyFill="1" applyBorder="1" applyAlignment="1">
      <alignment horizontal="center" vertical="top" wrapText="1"/>
    </xf>
    <xf numFmtId="0" fontId="5" fillId="6" borderId="67" xfId="0" applyNumberFormat="1" applyFont="1" applyFill="1" applyBorder="1" applyAlignment="1">
      <alignment horizontal="center" vertical="top" wrapText="1"/>
    </xf>
    <xf numFmtId="0" fontId="5" fillId="6" borderId="64" xfId="0" applyNumberFormat="1" applyFont="1" applyFill="1" applyBorder="1" applyAlignment="1">
      <alignment horizontal="center" vertical="top" wrapText="1"/>
    </xf>
    <xf numFmtId="0" fontId="5" fillId="6" borderId="73" xfId="0" applyFont="1" applyFill="1" applyBorder="1" applyAlignment="1">
      <alignment horizontal="right" vertical="top" wrapText="1"/>
    </xf>
    <xf numFmtId="0" fontId="5" fillId="6" borderId="67" xfId="0" applyFont="1" applyFill="1" applyBorder="1" applyAlignment="1">
      <alignment horizontal="right" vertical="top" wrapText="1"/>
    </xf>
    <xf numFmtId="0" fontId="5" fillId="6" borderId="64" xfId="0" applyFont="1" applyFill="1" applyBorder="1" applyAlignment="1">
      <alignment horizontal="right" vertical="top" wrapText="1"/>
    </xf>
    <xf numFmtId="0" fontId="16" fillId="2" borderId="29" xfId="0" applyFont="1" applyFill="1" applyBorder="1" applyAlignment="1">
      <alignment horizontal="left" vertical="top" wrapText="1"/>
    </xf>
    <xf numFmtId="0" fontId="16" fillId="2" borderId="27" xfId="0" applyFont="1" applyFill="1" applyBorder="1" applyAlignment="1">
      <alignment horizontal="left" vertical="top" wrapText="1"/>
    </xf>
    <xf numFmtId="165" fontId="23" fillId="0" borderId="76" xfId="0" applyNumberFormat="1" applyFont="1" applyBorder="1" applyAlignment="1">
      <alignment horizontal="center" vertical="top" wrapText="1"/>
    </xf>
    <xf numFmtId="165" fontId="23" fillId="0" borderId="43" xfId="0" applyNumberFormat="1" applyFont="1" applyBorder="1" applyAlignment="1">
      <alignment horizontal="center" vertical="top" wrapText="1"/>
    </xf>
    <xf numFmtId="165" fontId="23" fillId="0" borderId="44" xfId="0" applyNumberFormat="1" applyFont="1" applyBorder="1" applyAlignment="1">
      <alignment horizontal="center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49" fontId="5" fillId="5" borderId="69" xfId="0" applyNumberFormat="1" applyFont="1" applyFill="1" applyBorder="1" applyAlignment="1">
      <alignment horizontal="right" vertical="top"/>
    </xf>
    <xf numFmtId="0" fontId="5" fillId="2" borderId="29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vertical="top" wrapText="1"/>
    </xf>
    <xf numFmtId="0" fontId="23" fillId="2" borderId="19" xfId="0" applyFont="1" applyFill="1" applyBorder="1" applyAlignment="1">
      <alignment vertical="top" wrapText="1"/>
    </xf>
    <xf numFmtId="0" fontId="23" fillId="2" borderId="27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49" fontId="5" fillId="3" borderId="41" xfId="0" applyNumberFormat="1" applyFont="1" applyFill="1" applyBorder="1" applyAlignment="1">
      <alignment horizontal="left" vertical="top"/>
    </xf>
    <xf numFmtId="49" fontId="5" fillId="3" borderId="54" xfId="0" applyNumberFormat="1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textRotation="90" wrapText="1"/>
    </xf>
    <xf numFmtId="0" fontId="3" fillId="0" borderId="11" xfId="0" applyFont="1" applyFill="1" applyBorder="1" applyAlignment="1">
      <alignment horizontal="center" vertical="top" textRotation="90" wrapText="1"/>
    </xf>
    <xf numFmtId="0" fontId="3" fillId="0" borderId="10" xfId="0" applyFont="1" applyFill="1" applyBorder="1" applyAlignment="1">
      <alignment horizontal="center" vertical="top" textRotation="90" wrapText="1"/>
    </xf>
    <xf numFmtId="49" fontId="5" fillId="3" borderId="0" xfId="0" applyNumberFormat="1" applyFont="1" applyFill="1" applyBorder="1" applyAlignment="1">
      <alignment horizontal="left" vertical="top"/>
    </xf>
    <xf numFmtId="0" fontId="5" fillId="0" borderId="51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0" borderId="75" xfId="0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horizontal="left" vertical="top" wrapText="1"/>
    </xf>
    <xf numFmtId="49" fontId="5" fillId="12" borderId="17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15" fillId="0" borderId="33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18" fillId="0" borderId="45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3" fillId="8" borderId="33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center" vertical="center" textRotation="90" wrapText="1"/>
    </xf>
    <xf numFmtId="0" fontId="5" fillId="3" borderId="74" xfId="0" applyFont="1" applyFill="1" applyBorder="1" applyAlignment="1">
      <alignment horizontal="left" vertical="top" wrapText="1"/>
    </xf>
    <xf numFmtId="0" fontId="5" fillId="3" borderId="67" xfId="0" applyFont="1" applyFill="1" applyBorder="1" applyAlignment="1">
      <alignment horizontal="left" vertical="top" wrapText="1"/>
    </xf>
    <xf numFmtId="0" fontId="5" fillId="3" borderId="64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3" fillId="0" borderId="2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27" xfId="0" applyNumberFormat="1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Stilius 1" xfId="2"/>
  </cellStyles>
  <dxfs count="0"/>
  <tableStyles count="0" defaultTableStyle="TableStyleMedium2" defaultPivotStyle="PivotStyleLight16"/>
  <colors>
    <mruColors>
      <color rgb="FFFFFF99"/>
      <color rgb="FFCCFFCC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1"/>
  <sheetViews>
    <sheetView tabSelected="1" zoomScaleNormal="100" zoomScaleSheetLayoutView="100" workbookViewId="0">
      <selection activeCell="AB24" sqref="AB24"/>
    </sheetView>
  </sheetViews>
  <sheetFormatPr defaultRowHeight="12.75" x14ac:dyDescent="0.2"/>
  <cols>
    <col min="1" max="3" width="2.7109375" style="8" customWidth="1"/>
    <col min="4" max="4" width="34.85546875" style="8" customWidth="1"/>
    <col min="5" max="5" width="2.7109375" style="45" customWidth="1"/>
    <col min="6" max="6" width="2.7109375" style="8" customWidth="1"/>
    <col min="7" max="7" width="2.7109375" style="62" customWidth="1"/>
    <col min="8" max="8" width="7.7109375" style="88" customWidth="1"/>
    <col min="9" max="9" width="8.5703125" style="88" customWidth="1"/>
    <col min="10" max="10" width="7.42578125" style="88" customWidth="1"/>
    <col min="11" max="11" width="6.140625" style="88" customWidth="1"/>
    <col min="12" max="12" width="6.7109375" style="88" customWidth="1"/>
    <col min="13" max="13" width="8.140625" style="88" customWidth="1"/>
    <col min="14" max="14" width="7.5703125" style="88" customWidth="1"/>
    <col min="15" max="15" width="29" style="8" customWidth="1"/>
    <col min="16" max="16" width="4" style="88" customWidth="1"/>
    <col min="17" max="17" width="3.7109375" style="88" customWidth="1"/>
    <col min="18" max="18" width="3.85546875" style="88" customWidth="1"/>
    <col min="19" max="16384" width="9.140625" style="3"/>
  </cols>
  <sheetData>
    <row r="1" spans="1:22" ht="15.75" x14ac:dyDescent="0.2">
      <c r="A1" s="1183" t="s">
        <v>200</v>
      </c>
      <c r="B1" s="1183"/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1183"/>
      <c r="O1" s="1183"/>
      <c r="P1" s="1183"/>
      <c r="Q1" s="1183"/>
      <c r="R1" s="1183"/>
    </row>
    <row r="2" spans="1:22" ht="15.75" x14ac:dyDescent="0.2">
      <c r="A2" s="1184" t="s">
        <v>36</v>
      </c>
      <c r="B2" s="1184"/>
      <c r="C2" s="1184"/>
      <c r="D2" s="1184"/>
      <c r="E2" s="1184"/>
      <c r="F2" s="1184"/>
      <c r="G2" s="1184"/>
      <c r="H2" s="1184"/>
      <c r="I2" s="1184"/>
      <c r="J2" s="1184"/>
      <c r="K2" s="1184"/>
      <c r="L2" s="1184"/>
      <c r="M2" s="1184"/>
      <c r="N2" s="1184"/>
      <c r="O2" s="1184"/>
      <c r="P2" s="1184"/>
      <c r="Q2" s="1184"/>
      <c r="R2" s="1184"/>
    </row>
    <row r="3" spans="1:22" ht="15.75" x14ac:dyDescent="0.2">
      <c r="A3" s="1185" t="s">
        <v>23</v>
      </c>
      <c r="B3" s="1185"/>
      <c r="C3" s="1185"/>
      <c r="D3" s="1185"/>
      <c r="E3" s="1185"/>
      <c r="F3" s="1185"/>
      <c r="G3" s="1185"/>
      <c r="H3" s="1185"/>
      <c r="I3" s="1185"/>
      <c r="J3" s="1185"/>
      <c r="K3" s="1185"/>
      <c r="L3" s="1185"/>
      <c r="M3" s="1185"/>
      <c r="N3" s="1185"/>
      <c r="O3" s="1185"/>
      <c r="P3" s="1185"/>
      <c r="Q3" s="1185"/>
      <c r="R3" s="1185"/>
      <c r="S3" s="1"/>
      <c r="T3" s="1"/>
      <c r="U3" s="1"/>
      <c r="V3" s="1"/>
    </row>
    <row r="4" spans="1:22" ht="13.5" thickBot="1" x14ac:dyDescent="0.25">
      <c r="P4" s="1186" t="s">
        <v>0</v>
      </c>
      <c r="Q4" s="1186"/>
      <c r="R4" s="1186"/>
    </row>
    <row r="5" spans="1:22" ht="21.75" customHeight="1" x14ac:dyDescent="0.2">
      <c r="A5" s="1187" t="s">
        <v>24</v>
      </c>
      <c r="B5" s="1190" t="s">
        <v>1</v>
      </c>
      <c r="C5" s="1190" t="s">
        <v>2</v>
      </c>
      <c r="D5" s="1193" t="s">
        <v>16</v>
      </c>
      <c r="E5" s="1196" t="s">
        <v>3</v>
      </c>
      <c r="F5" s="1199" t="s">
        <v>187</v>
      </c>
      <c r="G5" s="1152" t="s">
        <v>4</v>
      </c>
      <c r="H5" s="1155" t="s">
        <v>5</v>
      </c>
      <c r="I5" s="1158" t="s">
        <v>139</v>
      </c>
      <c r="J5" s="1159"/>
      <c r="K5" s="1159"/>
      <c r="L5" s="1160"/>
      <c r="M5" s="1161" t="s">
        <v>219</v>
      </c>
      <c r="N5" s="1161" t="s">
        <v>220</v>
      </c>
      <c r="O5" s="1205" t="s">
        <v>15</v>
      </c>
      <c r="P5" s="1206"/>
      <c r="Q5" s="1206"/>
      <c r="R5" s="1207"/>
    </row>
    <row r="6" spans="1:22" ht="11.25" customHeight="1" x14ac:dyDescent="0.2">
      <c r="A6" s="1188"/>
      <c r="B6" s="1191"/>
      <c r="C6" s="1191"/>
      <c r="D6" s="1194"/>
      <c r="E6" s="1197"/>
      <c r="F6" s="1200"/>
      <c r="G6" s="1153"/>
      <c r="H6" s="1156"/>
      <c r="I6" s="1208" t="s">
        <v>6</v>
      </c>
      <c r="J6" s="1202" t="s">
        <v>7</v>
      </c>
      <c r="K6" s="1209"/>
      <c r="L6" s="1166" t="s">
        <v>22</v>
      </c>
      <c r="M6" s="1162"/>
      <c r="N6" s="1162"/>
      <c r="O6" s="1168" t="s">
        <v>16</v>
      </c>
      <c r="P6" s="1202" t="s">
        <v>8</v>
      </c>
      <c r="Q6" s="1203"/>
      <c r="R6" s="1204"/>
    </row>
    <row r="7" spans="1:22" ht="99.75" customHeight="1" thickBot="1" x14ac:dyDescent="0.25">
      <c r="A7" s="1189"/>
      <c r="B7" s="1192"/>
      <c r="C7" s="1192"/>
      <c r="D7" s="1195"/>
      <c r="E7" s="1198"/>
      <c r="F7" s="1201"/>
      <c r="G7" s="1154"/>
      <c r="H7" s="1157"/>
      <c r="I7" s="1189"/>
      <c r="J7" s="5" t="s">
        <v>6</v>
      </c>
      <c r="K7" s="4" t="s">
        <v>17</v>
      </c>
      <c r="L7" s="1167"/>
      <c r="M7" s="1163"/>
      <c r="N7" s="1163"/>
      <c r="O7" s="1169"/>
      <c r="P7" s="6" t="s">
        <v>33</v>
      </c>
      <c r="Q7" s="6" t="s">
        <v>34</v>
      </c>
      <c r="R7" s="7" t="s">
        <v>141</v>
      </c>
    </row>
    <row r="8" spans="1:22" s="859" customFormat="1" x14ac:dyDescent="0.2">
      <c r="A8" s="1140" t="s">
        <v>133</v>
      </c>
      <c r="B8" s="1141"/>
      <c r="C8" s="1141"/>
      <c r="D8" s="1141"/>
      <c r="E8" s="1141"/>
      <c r="F8" s="1141"/>
      <c r="G8" s="1141"/>
      <c r="H8" s="1141"/>
      <c r="I8" s="1141"/>
      <c r="J8" s="1141"/>
      <c r="K8" s="1141"/>
      <c r="L8" s="1141"/>
      <c r="M8" s="1141"/>
      <c r="N8" s="1141"/>
      <c r="O8" s="1141"/>
      <c r="P8" s="1141"/>
      <c r="Q8" s="1141"/>
      <c r="R8" s="1142"/>
    </row>
    <row r="9" spans="1:22" s="859" customFormat="1" x14ac:dyDescent="0.2">
      <c r="A9" s="1143" t="s">
        <v>84</v>
      </c>
      <c r="B9" s="1144"/>
      <c r="C9" s="1144"/>
      <c r="D9" s="1144"/>
      <c r="E9" s="1144"/>
      <c r="F9" s="1144"/>
      <c r="G9" s="1144"/>
      <c r="H9" s="1144"/>
      <c r="I9" s="1144"/>
      <c r="J9" s="1144"/>
      <c r="K9" s="1144"/>
      <c r="L9" s="1144"/>
      <c r="M9" s="1144"/>
      <c r="N9" s="1144"/>
      <c r="O9" s="1144"/>
      <c r="P9" s="1144"/>
      <c r="Q9" s="1144"/>
      <c r="R9" s="1145"/>
    </row>
    <row r="10" spans="1:22" ht="15" customHeight="1" x14ac:dyDescent="0.2">
      <c r="A10" s="95" t="s">
        <v>9</v>
      </c>
      <c r="B10" s="1146" t="s">
        <v>134</v>
      </c>
      <c r="C10" s="1147"/>
      <c r="D10" s="1147"/>
      <c r="E10" s="1147"/>
      <c r="F10" s="1147"/>
      <c r="G10" s="1147"/>
      <c r="H10" s="1147"/>
      <c r="I10" s="1147"/>
      <c r="J10" s="1147"/>
      <c r="K10" s="1147"/>
      <c r="L10" s="1147"/>
      <c r="M10" s="1147"/>
      <c r="N10" s="1147"/>
      <c r="O10" s="1147"/>
      <c r="P10" s="1147"/>
      <c r="Q10" s="1147"/>
      <c r="R10" s="1148"/>
    </row>
    <row r="11" spans="1:22" x14ac:dyDescent="0.2">
      <c r="A11" s="892" t="s">
        <v>9</v>
      </c>
      <c r="B11" s="94" t="s">
        <v>9</v>
      </c>
      <c r="C11" s="1149" t="s">
        <v>69</v>
      </c>
      <c r="D11" s="1150"/>
      <c r="E11" s="1150"/>
      <c r="F11" s="1150"/>
      <c r="G11" s="1150"/>
      <c r="H11" s="1150"/>
      <c r="I11" s="1150"/>
      <c r="J11" s="1150"/>
      <c r="K11" s="1150"/>
      <c r="L11" s="1150"/>
      <c r="M11" s="1150"/>
      <c r="N11" s="1150"/>
      <c r="O11" s="1150"/>
      <c r="P11" s="1150"/>
      <c r="Q11" s="1150"/>
      <c r="R11" s="1151"/>
    </row>
    <row r="12" spans="1:22" ht="12.75" customHeight="1" x14ac:dyDescent="0.2">
      <c r="A12" s="1178" t="s">
        <v>9</v>
      </c>
      <c r="B12" s="1179" t="s">
        <v>9</v>
      </c>
      <c r="C12" s="1180" t="s">
        <v>9</v>
      </c>
      <c r="D12" s="1181" t="s">
        <v>111</v>
      </c>
      <c r="E12" s="1182"/>
      <c r="F12" s="1170" t="s">
        <v>43</v>
      </c>
      <c r="G12" s="1171" t="s">
        <v>39</v>
      </c>
      <c r="H12" s="133" t="s">
        <v>35</v>
      </c>
      <c r="I12" s="634">
        <f>J12+L12</f>
        <v>657.1</v>
      </c>
      <c r="J12" s="635">
        <f>949.7-99.9+27.4-370</f>
        <v>507.20000000000005</v>
      </c>
      <c r="K12" s="635"/>
      <c r="L12" s="383">
        <f>30+99.9+50-30</f>
        <v>149.9</v>
      </c>
      <c r="M12" s="787">
        <f>1841.4-1015</f>
        <v>826.40000000000009</v>
      </c>
      <c r="N12" s="620">
        <v>826.4</v>
      </c>
      <c r="O12" s="1172"/>
      <c r="P12" s="1174"/>
      <c r="Q12" s="1174"/>
      <c r="R12" s="1176"/>
    </row>
    <row r="13" spans="1:22" ht="15.75" customHeight="1" x14ac:dyDescent="0.2">
      <c r="A13" s="1178"/>
      <c r="B13" s="1179"/>
      <c r="C13" s="1180"/>
      <c r="D13" s="1181"/>
      <c r="E13" s="1182"/>
      <c r="F13" s="1170"/>
      <c r="G13" s="1171"/>
      <c r="H13" s="133"/>
      <c r="I13" s="634"/>
      <c r="J13" s="635"/>
      <c r="K13" s="635"/>
      <c r="L13" s="383"/>
      <c r="M13" s="788"/>
      <c r="N13" s="789"/>
      <c r="O13" s="1173"/>
      <c r="P13" s="1175"/>
      <c r="Q13" s="1175"/>
      <c r="R13" s="1177"/>
    </row>
    <row r="14" spans="1:22" ht="18" customHeight="1" x14ac:dyDescent="0.2">
      <c r="A14" s="916"/>
      <c r="B14" s="924"/>
      <c r="C14" s="943"/>
      <c r="D14" s="952" t="s">
        <v>45</v>
      </c>
      <c r="E14" s="919"/>
      <c r="F14" s="971"/>
      <c r="G14" s="922"/>
      <c r="H14" s="133"/>
      <c r="I14" s="634"/>
      <c r="J14" s="635"/>
      <c r="K14" s="635"/>
      <c r="L14" s="383"/>
      <c r="M14" s="787"/>
      <c r="N14" s="620"/>
      <c r="O14" s="957" t="s">
        <v>96</v>
      </c>
      <c r="P14" s="111">
        <v>3.5</v>
      </c>
      <c r="Q14" s="111">
        <v>3.4</v>
      </c>
      <c r="R14" s="112">
        <v>3.5</v>
      </c>
    </row>
    <row r="15" spans="1:22" ht="15" customHeight="1" x14ac:dyDescent="0.2">
      <c r="A15" s="916"/>
      <c r="B15" s="924"/>
      <c r="C15" s="943"/>
      <c r="D15" s="1164" t="s">
        <v>46</v>
      </c>
      <c r="E15" s="1019"/>
      <c r="F15" s="1016"/>
      <c r="G15" s="1015"/>
      <c r="H15" s="314"/>
      <c r="I15" s="634"/>
      <c r="J15" s="635"/>
      <c r="K15" s="635"/>
      <c r="L15" s="383"/>
      <c r="M15" s="792"/>
      <c r="N15" s="793"/>
      <c r="O15" s="1014" t="s">
        <v>48</v>
      </c>
      <c r="P15" s="998">
        <v>5</v>
      </c>
      <c r="Q15" s="998">
        <v>5</v>
      </c>
      <c r="R15" s="1000">
        <v>5</v>
      </c>
    </row>
    <row r="16" spans="1:22" ht="13.5" customHeight="1" x14ac:dyDescent="0.2">
      <c r="A16" s="995"/>
      <c r="B16" s="996"/>
      <c r="C16" s="997"/>
      <c r="D16" s="1165"/>
      <c r="E16" s="1019"/>
      <c r="F16" s="1016"/>
      <c r="G16" s="1015"/>
      <c r="H16" s="314"/>
      <c r="I16" s="634"/>
      <c r="J16" s="635"/>
      <c r="K16" s="635"/>
      <c r="L16" s="383"/>
      <c r="M16" s="792"/>
      <c r="N16" s="793"/>
      <c r="O16" s="1014" t="s">
        <v>236</v>
      </c>
      <c r="P16" s="998">
        <v>1</v>
      </c>
      <c r="Q16" s="998"/>
      <c r="R16" s="1000"/>
    </row>
    <row r="17" spans="1:28" x14ac:dyDescent="0.2">
      <c r="A17" s="1178"/>
      <c r="B17" s="1179"/>
      <c r="C17" s="1180"/>
      <c r="D17" s="1216" t="s">
        <v>47</v>
      </c>
      <c r="E17" s="1218"/>
      <c r="F17" s="1220"/>
      <c r="G17" s="1171"/>
      <c r="H17" s="361" t="s">
        <v>129</v>
      </c>
      <c r="I17" s="642">
        <f>J17+L17</f>
        <v>171.5</v>
      </c>
      <c r="J17" s="643">
        <v>133.69999999999999</v>
      </c>
      <c r="K17" s="643"/>
      <c r="L17" s="644">
        <v>37.799999999999997</v>
      </c>
      <c r="M17" s="893"/>
      <c r="N17" s="894"/>
      <c r="O17" s="1211" t="s">
        <v>112</v>
      </c>
      <c r="P17" s="515">
        <v>4</v>
      </c>
      <c r="Q17" s="515">
        <v>4</v>
      </c>
      <c r="R17" s="514">
        <v>4</v>
      </c>
    </row>
    <row r="18" spans="1:28" x14ac:dyDescent="0.2">
      <c r="A18" s="1178"/>
      <c r="B18" s="1179"/>
      <c r="C18" s="1180"/>
      <c r="D18" s="1217"/>
      <c r="E18" s="1218"/>
      <c r="F18" s="1220"/>
      <c r="G18" s="1171"/>
      <c r="H18" s="314"/>
      <c r="I18" s="634"/>
      <c r="J18" s="635"/>
      <c r="K18" s="635"/>
      <c r="L18" s="383"/>
      <c r="M18" s="895"/>
      <c r="N18" s="793"/>
      <c r="O18" s="1212"/>
      <c r="P18" s="948"/>
      <c r="Q18" s="948"/>
      <c r="R18" s="950"/>
    </row>
    <row r="19" spans="1:28" ht="25.5" x14ac:dyDescent="0.2">
      <c r="A19" s="1178"/>
      <c r="B19" s="1179"/>
      <c r="C19" s="1180"/>
      <c r="D19" s="1217"/>
      <c r="E19" s="1218"/>
      <c r="F19" s="1220"/>
      <c r="G19" s="1171"/>
      <c r="H19" s="314"/>
      <c r="I19" s="634"/>
      <c r="J19" s="635"/>
      <c r="K19" s="635"/>
      <c r="L19" s="383"/>
      <c r="M19" s="895"/>
      <c r="N19" s="793"/>
      <c r="O19" s="1014" t="s">
        <v>145</v>
      </c>
      <c r="P19" s="948">
        <v>20</v>
      </c>
      <c r="Q19" s="948"/>
      <c r="R19" s="950"/>
    </row>
    <row r="20" spans="1:28" x14ac:dyDescent="0.2">
      <c r="A20" s="1178"/>
      <c r="B20" s="1179"/>
      <c r="C20" s="1180"/>
      <c r="D20" s="1217"/>
      <c r="E20" s="1218"/>
      <c r="F20" s="1220"/>
      <c r="G20" s="1171"/>
      <c r="H20" s="314"/>
      <c r="I20" s="634"/>
      <c r="J20" s="635"/>
      <c r="K20" s="635"/>
      <c r="L20" s="383"/>
      <c r="M20" s="895"/>
      <c r="N20" s="793"/>
      <c r="O20" s="15" t="s">
        <v>138</v>
      </c>
      <c r="P20" s="948">
        <v>1</v>
      </c>
      <c r="Q20" s="948">
        <v>1</v>
      </c>
      <c r="R20" s="950">
        <v>1</v>
      </c>
    </row>
    <row r="21" spans="1:28" x14ac:dyDescent="0.2">
      <c r="A21" s="1178"/>
      <c r="B21" s="1179"/>
      <c r="C21" s="1180"/>
      <c r="D21" s="1217"/>
      <c r="E21" s="1218"/>
      <c r="F21" s="1220"/>
      <c r="G21" s="1171"/>
      <c r="H21" s="314"/>
      <c r="I21" s="634"/>
      <c r="J21" s="635"/>
      <c r="K21" s="635"/>
      <c r="L21" s="383"/>
      <c r="M21" s="896"/>
      <c r="N21" s="794"/>
      <c r="O21" s="15" t="s">
        <v>49</v>
      </c>
      <c r="P21" s="948">
        <v>44</v>
      </c>
      <c r="Q21" s="948">
        <v>30</v>
      </c>
      <c r="R21" s="950">
        <v>30</v>
      </c>
    </row>
    <row r="22" spans="1:28" x14ac:dyDescent="0.2">
      <c r="A22" s="1178"/>
      <c r="B22" s="1179"/>
      <c r="C22" s="1180"/>
      <c r="D22" s="1217"/>
      <c r="E22" s="1218"/>
      <c r="F22" s="1220"/>
      <c r="G22" s="1171"/>
      <c r="H22" s="314"/>
      <c r="I22" s="634"/>
      <c r="J22" s="635"/>
      <c r="K22" s="635"/>
      <c r="L22" s="383"/>
      <c r="M22" s="896"/>
      <c r="N22" s="794"/>
      <c r="O22" s="15" t="s">
        <v>50</v>
      </c>
      <c r="P22" s="948">
        <v>8</v>
      </c>
      <c r="Q22" s="948">
        <v>10</v>
      </c>
      <c r="R22" s="950">
        <v>10</v>
      </c>
    </row>
    <row r="23" spans="1:28" ht="13.5" customHeight="1" x14ac:dyDescent="0.2">
      <c r="A23" s="1178"/>
      <c r="B23" s="1179"/>
      <c r="C23" s="1180"/>
      <c r="D23" s="1217"/>
      <c r="E23" s="1219"/>
      <c r="F23" s="1221"/>
      <c r="G23" s="1210"/>
      <c r="H23" s="417"/>
      <c r="I23" s="986"/>
      <c r="J23" s="655"/>
      <c r="K23" s="655"/>
      <c r="L23" s="985"/>
      <c r="M23" s="987"/>
      <c r="N23" s="795"/>
      <c r="O23" s="59" t="s">
        <v>51</v>
      </c>
      <c r="P23" s="940">
        <v>28</v>
      </c>
      <c r="Q23" s="940">
        <v>30</v>
      </c>
      <c r="R23" s="942">
        <v>30</v>
      </c>
    </row>
    <row r="24" spans="1:28" ht="26.25" customHeight="1" x14ac:dyDescent="0.2">
      <c r="A24" s="92"/>
      <c r="B24" s="924"/>
      <c r="C24" s="943"/>
      <c r="D24" s="1222" t="s">
        <v>233</v>
      </c>
      <c r="E24" s="1224" t="s">
        <v>169</v>
      </c>
      <c r="F24" s="1020"/>
      <c r="G24" s="773"/>
      <c r="H24" s="1002" t="s">
        <v>35</v>
      </c>
      <c r="I24" s="642">
        <f>J24+L24</f>
        <v>391.5</v>
      </c>
      <c r="J24" s="643">
        <v>19</v>
      </c>
      <c r="K24" s="658"/>
      <c r="L24" s="644">
        <v>372.5</v>
      </c>
      <c r="M24" s="989">
        <v>1015</v>
      </c>
      <c r="N24" s="797"/>
      <c r="O24" s="1022" t="s">
        <v>237</v>
      </c>
      <c r="P24" s="988">
        <v>1</v>
      </c>
      <c r="Q24" s="515"/>
      <c r="R24" s="514"/>
      <c r="AA24" s="12"/>
      <c r="AB24" s="12"/>
    </row>
    <row r="25" spans="1:28" ht="13.5" customHeight="1" x14ac:dyDescent="0.2">
      <c r="A25" s="92"/>
      <c r="B25" s="974"/>
      <c r="C25" s="975"/>
      <c r="D25" s="1223"/>
      <c r="E25" s="1225"/>
      <c r="F25" s="1016"/>
      <c r="G25" s="82"/>
      <c r="H25" s="329"/>
      <c r="I25" s="634"/>
      <c r="J25" s="635"/>
      <c r="K25" s="638"/>
      <c r="L25" s="383"/>
      <c r="M25" s="896"/>
      <c r="N25" s="791"/>
      <c r="O25" s="15" t="s">
        <v>232</v>
      </c>
      <c r="P25" s="901"/>
      <c r="Q25" s="998">
        <v>50</v>
      </c>
      <c r="R25" s="1000">
        <v>50</v>
      </c>
      <c r="AA25" s="12"/>
      <c r="AB25" s="12"/>
    </row>
    <row r="26" spans="1:28" ht="19.5" customHeight="1" x14ac:dyDescent="0.2">
      <c r="A26" s="92"/>
      <c r="B26" s="996"/>
      <c r="C26" s="997"/>
      <c r="D26" s="1021"/>
      <c r="E26" s="1023"/>
      <c r="F26" s="1017"/>
      <c r="G26" s="984"/>
      <c r="H26" s="412"/>
      <c r="I26" s="648"/>
      <c r="J26" s="649"/>
      <c r="K26" s="655"/>
      <c r="L26" s="650"/>
      <c r="M26" s="654"/>
      <c r="N26" s="795"/>
      <c r="O26" s="1024" t="s">
        <v>234</v>
      </c>
      <c r="P26" s="1003">
        <v>1</v>
      </c>
      <c r="Q26" s="999"/>
      <c r="R26" s="1001"/>
      <c r="AA26" s="12"/>
      <c r="AB26" s="12"/>
    </row>
    <row r="27" spans="1:28" ht="14.25" customHeight="1" x14ac:dyDescent="0.2">
      <c r="A27" s="92"/>
      <c r="B27" s="974"/>
      <c r="C27" s="975"/>
      <c r="D27" s="1223" t="s">
        <v>235</v>
      </c>
      <c r="E27" s="1218" t="s">
        <v>169</v>
      </c>
      <c r="F27" s="1016"/>
      <c r="G27" s="82"/>
      <c r="H27" s="329" t="s">
        <v>35</v>
      </c>
      <c r="I27" s="634">
        <f>J27</f>
        <v>8.5</v>
      </c>
      <c r="J27" s="635">
        <v>8.5</v>
      </c>
      <c r="K27" s="638"/>
      <c r="L27" s="383"/>
      <c r="M27" s="896"/>
      <c r="N27" s="791"/>
      <c r="O27" s="1227" t="s">
        <v>237</v>
      </c>
      <c r="P27" s="900">
        <v>1</v>
      </c>
      <c r="Q27" s="976"/>
      <c r="R27" s="977"/>
      <c r="AA27" s="12"/>
      <c r="AB27" s="12"/>
    </row>
    <row r="28" spans="1:28" ht="14.25" customHeight="1" x14ac:dyDescent="0.2">
      <c r="A28" s="92"/>
      <c r="B28" s="924"/>
      <c r="C28" s="943"/>
      <c r="D28" s="1165"/>
      <c r="E28" s="1226"/>
      <c r="F28" s="1016"/>
      <c r="G28" s="82"/>
      <c r="H28" s="412"/>
      <c r="I28" s="634"/>
      <c r="J28" s="635"/>
      <c r="K28" s="638"/>
      <c r="L28" s="383"/>
      <c r="M28" s="654"/>
      <c r="N28" s="795"/>
      <c r="O28" s="1228"/>
      <c r="P28" s="901"/>
      <c r="Q28" s="948"/>
      <c r="R28" s="950"/>
      <c r="AA28" s="12"/>
      <c r="AB28" s="12"/>
    </row>
    <row r="29" spans="1:28" ht="19.5" customHeight="1" x14ac:dyDescent="0.2">
      <c r="A29" s="92"/>
      <c r="B29" s="924"/>
      <c r="C29" s="943"/>
      <c r="D29" s="1164" t="s">
        <v>188</v>
      </c>
      <c r="E29" s="1214" t="s">
        <v>169</v>
      </c>
      <c r="F29" s="1016"/>
      <c r="G29" s="82"/>
      <c r="H29" s="416" t="s">
        <v>93</v>
      </c>
      <c r="I29" s="642">
        <f>J29</f>
        <v>150</v>
      </c>
      <c r="J29" s="643">
        <v>150</v>
      </c>
      <c r="K29" s="658"/>
      <c r="L29" s="659"/>
      <c r="M29" s="796">
        <v>100</v>
      </c>
      <c r="N29" s="797"/>
      <c r="O29" s="199" t="s">
        <v>161</v>
      </c>
      <c r="P29" s="200">
        <v>1</v>
      </c>
      <c r="Q29" s="515"/>
      <c r="R29" s="514"/>
      <c r="S29" s="140"/>
      <c r="AA29" s="12"/>
      <c r="AB29" s="12"/>
    </row>
    <row r="30" spans="1:28" ht="19.5" customHeight="1" x14ac:dyDescent="0.2">
      <c r="A30" s="92"/>
      <c r="B30" s="924"/>
      <c r="C30" s="943"/>
      <c r="D30" s="1213"/>
      <c r="E30" s="1215"/>
      <c r="F30" s="1016"/>
      <c r="G30" s="82"/>
      <c r="H30" s="321"/>
      <c r="I30" s="669"/>
      <c r="J30" s="638"/>
      <c r="K30" s="638"/>
      <c r="L30" s="639"/>
      <c r="M30" s="790"/>
      <c r="N30" s="791"/>
      <c r="O30" s="1018" t="s">
        <v>160</v>
      </c>
      <c r="P30" s="101">
        <v>50</v>
      </c>
      <c r="Q30" s="948">
        <v>50</v>
      </c>
      <c r="R30" s="950"/>
      <c r="AA30" s="12"/>
      <c r="AB30" s="12"/>
    </row>
    <row r="31" spans="1:28" ht="21.75" customHeight="1" x14ac:dyDescent="0.2">
      <c r="A31" s="92"/>
      <c r="B31" s="924"/>
      <c r="C31" s="943"/>
      <c r="D31" s="1164" t="s">
        <v>208</v>
      </c>
      <c r="E31" s="1392" t="s">
        <v>210</v>
      </c>
      <c r="F31" s="918"/>
      <c r="G31" s="956" t="s">
        <v>89</v>
      </c>
      <c r="H31" s="416" t="s">
        <v>35</v>
      </c>
      <c r="I31" s="642">
        <f>L31</f>
        <v>200</v>
      </c>
      <c r="J31" s="643"/>
      <c r="K31" s="658"/>
      <c r="L31" s="644">
        <v>200</v>
      </c>
      <c r="M31" s="882"/>
      <c r="N31" s="883"/>
      <c r="O31" s="884" t="s">
        <v>209</v>
      </c>
      <c r="P31" s="885">
        <v>0.33</v>
      </c>
      <c r="Q31" s="515"/>
      <c r="R31" s="514"/>
      <c r="AA31" s="12"/>
      <c r="AB31" s="12"/>
    </row>
    <row r="32" spans="1:28" ht="16.5" customHeight="1" thickBot="1" x14ac:dyDescent="0.25">
      <c r="A32" s="907"/>
      <c r="B32" s="932"/>
      <c r="C32" s="934"/>
      <c r="D32" s="1260"/>
      <c r="E32" s="1393"/>
      <c r="F32" s="937"/>
      <c r="G32" s="906"/>
      <c r="H32" s="279" t="s">
        <v>10</v>
      </c>
      <c r="I32" s="671">
        <f>SUM(I12:I31)</f>
        <v>1578.6</v>
      </c>
      <c r="J32" s="671">
        <f t="shared" ref="J32:L32" si="0">SUM(J12:J31)</f>
        <v>818.40000000000009</v>
      </c>
      <c r="K32" s="671">
        <f t="shared" si="0"/>
        <v>0</v>
      </c>
      <c r="L32" s="671">
        <f t="shared" si="0"/>
        <v>760.2</v>
      </c>
      <c r="M32" s="621">
        <f>M29+M24+M12</f>
        <v>1941.4</v>
      </c>
      <c r="N32" s="726">
        <f>N12</f>
        <v>826.4</v>
      </c>
      <c r="O32" s="333"/>
      <c r="P32" s="334"/>
      <c r="Q32" s="513"/>
      <c r="R32" s="512"/>
      <c r="AA32" s="12"/>
      <c r="AB32" s="12"/>
    </row>
    <row r="33" spans="1:18" x14ac:dyDescent="0.2">
      <c r="A33" s="1234" t="s">
        <v>9</v>
      </c>
      <c r="B33" s="1235" t="s">
        <v>9</v>
      </c>
      <c r="C33" s="1236" t="s">
        <v>11</v>
      </c>
      <c r="D33" s="1239" t="s">
        <v>113</v>
      </c>
      <c r="E33" s="1237"/>
      <c r="F33" s="1238" t="s">
        <v>53</v>
      </c>
      <c r="G33" s="1233" t="s">
        <v>39</v>
      </c>
      <c r="H33" s="13" t="s">
        <v>35</v>
      </c>
      <c r="I33" s="662">
        <f>J33+L33</f>
        <v>6206.5000000000009</v>
      </c>
      <c r="J33" s="663">
        <f>6405.6-49.3-70.9-27.4-65.3+10</f>
        <v>6202.7000000000007</v>
      </c>
      <c r="K33" s="663"/>
      <c r="L33" s="664">
        <f>4.5-0.7</f>
        <v>3.8</v>
      </c>
      <c r="M33" s="619">
        <f>7481+130</f>
        <v>7611</v>
      </c>
      <c r="N33" s="798">
        <f>7481+130</f>
        <v>7611</v>
      </c>
      <c r="O33" s="888"/>
      <c r="P33" s="125"/>
      <c r="Q33" s="125"/>
      <c r="R33" s="35"/>
    </row>
    <row r="34" spans="1:18" ht="14.25" customHeight="1" x14ac:dyDescent="0.2">
      <c r="A34" s="1178"/>
      <c r="B34" s="1179"/>
      <c r="C34" s="1180"/>
      <c r="D34" s="1240"/>
      <c r="E34" s="1218"/>
      <c r="F34" s="1220"/>
      <c r="G34" s="1171"/>
      <c r="H34" s="618" t="s">
        <v>60</v>
      </c>
      <c r="I34" s="674">
        <f>J34+L34</f>
        <v>3.5</v>
      </c>
      <c r="J34" s="675">
        <v>3.5</v>
      </c>
      <c r="K34" s="675"/>
      <c r="L34" s="676"/>
      <c r="M34" s="799">
        <v>3.5</v>
      </c>
      <c r="N34" s="800">
        <v>3.5</v>
      </c>
      <c r="O34" s="59"/>
      <c r="P34" s="889"/>
      <c r="Q34" s="889"/>
      <c r="R34" s="890"/>
    </row>
    <row r="35" spans="1:18" ht="15" customHeight="1" x14ac:dyDescent="0.2">
      <c r="A35" s="1178"/>
      <c r="B35" s="1179"/>
      <c r="C35" s="1180"/>
      <c r="D35" s="1213" t="s">
        <v>189</v>
      </c>
      <c r="E35" s="1218"/>
      <c r="F35" s="1220"/>
      <c r="G35" s="1171"/>
      <c r="H35" s="10" t="s">
        <v>129</v>
      </c>
      <c r="I35" s="642">
        <f>J35+L35</f>
        <v>583.20000000000005</v>
      </c>
      <c r="J35" s="643">
        <v>583.20000000000005</v>
      </c>
      <c r="K35" s="643"/>
      <c r="L35" s="644"/>
      <c r="M35" s="620"/>
      <c r="N35" s="801"/>
      <c r="O35" s="15" t="s">
        <v>146</v>
      </c>
      <c r="P35" s="946">
        <v>3.7</v>
      </c>
      <c r="Q35" s="946">
        <v>3.7</v>
      </c>
      <c r="R35" s="947">
        <v>3.7</v>
      </c>
    </row>
    <row r="36" spans="1:18" ht="18.75" customHeight="1" x14ac:dyDescent="0.2">
      <c r="A36" s="1178"/>
      <c r="B36" s="1179"/>
      <c r="C36" s="1180"/>
      <c r="D36" s="1213"/>
      <c r="E36" s="1218"/>
      <c r="F36" s="1220"/>
      <c r="G36" s="1171"/>
      <c r="H36" s="335"/>
      <c r="I36" s="684"/>
      <c r="J36" s="635"/>
      <c r="K36" s="635"/>
      <c r="L36" s="685"/>
      <c r="M36" s="789"/>
      <c r="N36" s="802"/>
      <c r="O36" s="15" t="s">
        <v>191</v>
      </c>
      <c r="P36" s="946">
        <v>2.5</v>
      </c>
      <c r="Q36" s="946">
        <v>2.5</v>
      </c>
      <c r="R36" s="947">
        <v>2.5</v>
      </c>
    </row>
    <row r="37" spans="1:18" x14ac:dyDescent="0.2">
      <c r="A37" s="1178"/>
      <c r="B37" s="1179"/>
      <c r="C37" s="1180"/>
      <c r="D37" s="1213"/>
      <c r="E37" s="1218"/>
      <c r="F37" s="1220"/>
      <c r="G37" s="1171"/>
      <c r="H37" s="335"/>
      <c r="I37" s="684"/>
      <c r="J37" s="635"/>
      <c r="K37" s="635"/>
      <c r="L37" s="685"/>
      <c r="M37" s="803"/>
      <c r="N37" s="804"/>
      <c r="O37" s="903" t="s">
        <v>97</v>
      </c>
      <c r="P37" s="948">
        <v>20</v>
      </c>
      <c r="Q37" s="948">
        <v>20</v>
      </c>
      <c r="R37" s="950">
        <v>20</v>
      </c>
    </row>
    <row r="38" spans="1:18" ht="18" customHeight="1" x14ac:dyDescent="0.2">
      <c r="A38" s="1178"/>
      <c r="B38" s="1179"/>
      <c r="C38" s="1180"/>
      <c r="D38" s="1164" t="s">
        <v>55</v>
      </c>
      <c r="E38" s="1218"/>
      <c r="F38" s="1220"/>
      <c r="G38" s="1171"/>
      <c r="H38" s="335"/>
      <c r="I38" s="684"/>
      <c r="J38" s="635"/>
      <c r="K38" s="635"/>
      <c r="L38" s="685"/>
      <c r="M38" s="793"/>
      <c r="N38" s="805"/>
      <c r="O38" s="903" t="s">
        <v>57</v>
      </c>
      <c r="P38" s="948">
        <v>44</v>
      </c>
      <c r="Q38" s="948">
        <v>44</v>
      </c>
      <c r="R38" s="950">
        <v>44</v>
      </c>
    </row>
    <row r="39" spans="1:18" x14ac:dyDescent="0.2">
      <c r="A39" s="1178"/>
      <c r="B39" s="1179"/>
      <c r="C39" s="1180"/>
      <c r="D39" s="1213"/>
      <c r="E39" s="1218"/>
      <c r="F39" s="1220"/>
      <c r="G39" s="1171"/>
      <c r="H39" s="335"/>
      <c r="I39" s="684"/>
      <c r="J39" s="635"/>
      <c r="K39" s="635"/>
      <c r="L39" s="685"/>
      <c r="M39" s="794"/>
      <c r="N39" s="806"/>
      <c r="O39" s="1212" t="s">
        <v>192</v>
      </c>
      <c r="P39" s="1229">
        <v>387</v>
      </c>
      <c r="Q39" s="1229">
        <v>387</v>
      </c>
      <c r="R39" s="1231">
        <v>387</v>
      </c>
    </row>
    <row r="40" spans="1:18" x14ac:dyDescent="0.2">
      <c r="A40" s="1178"/>
      <c r="B40" s="1179"/>
      <c r="C40" s="1180"/>
      <c r="D40" s="1241"/>
      <c r="E40" s="1218"/>
      <c r="F40" s="1220"/>
      <c r="G40" s="1171"/>
      <c r="H40" s="411"/>
      <c r="I40" s="687"/>
      <c r="J40" s="655"/>
      <c r="K40" s="655"/>
      <c r="L40" s="688"/>
      <c r="M40" s="795"/>
      <c r="N40" s="807"/>
      <c r="O40" s="1212"/>
      <c r="P40" s="1230"/>
      <c r="Q40" s="1230"/>
      <c r="R40" s="1232"/>
    </row>
    <row r="41" spans="1:18" ht="27.75" customHeight="1" x14ac:dyDescent="0.2">
      <c r="A41" s="916"/>
      <c r="B41" s="924"/>
      <c r="C41" s="943"/>
      <c r="D41" s="1164" t="s">
        <v>98</v>
      </c>
      <c r="E41" s="1218"/>
      <c r="F41" s="1220"/>
      <c r="G41" s="1171"/>
      <c r="H41" s="14" t="s">
        <v>35</v>
      </c>
      <c r="I41" s="684">
        <f>J41+L41</f>
        <v>185.4</v>
      </c>
      <c r="J41" s="635">
        <f>114.5+70.9</f>
        <v>185.4</v>
      </c>
      <c r="K41" s="635"/>
      <c r="L41" s="685"/>
      <c r="M41" s="620"/>
      <c r="N41" s="801"/>
      <c r="O41" s="113" t="s">
        <v>147</v>
      </c>
      <c r="P41" s="114">
        <v>2.5</v>
      </c>
      <c r="Q41" s="65">
        <v>3</v>
      </c>
      <c r="R41" s="66">
        <v>3</v>
      </c>
    </row>
    <row r="42" spans="1:18" ht="15" customHeight="1" x14ac:dyDescent="0.2">
      <c r="A42" s="916"/>
      <c r="B42" s="924"/>
      <c r="C42" s="943"/>
      <c r="D42" s="1213"/>
      <c r="E42" s="1218"/>
      <c r="F42" s="1220"/>
      <c r="G42" s="1171"/>
      <c r="H42" s="23" t="s">
        <v>179</v>
      </c>
      <c r="I42" s="674">
        <f>J42+L42</f>
        <v>15</v>
      </c>
      <c r="J42" s="675">
        <v>15</v>
      </c>
      <c r="K42" s="675"/>
      <c r="L42" s="676"/>
      <c r="M42" s="853"/>
      <c r="N42" s="854"/>
      <c r="O42" s="1211" t="s">
        <v>100</v>
      </c>
      <c r="P42" s="336">
        <v>1</v>
      </c>
      <c r="Q42" s="515">
        <v>1</v>
      </c>
      <c r="R42" s="514">
        <v>1</v>
      </c>
    </row>
    <row r="43" spans="1:18" ht="15" customHeight="1" thickBot="1" x14ac:dyDescent="0.25">
      <c r="A43" s="92"/>
      <c r="B43" s="924"/>
      <c r="C43" s="943"/>
      <c r="D43" s="1213"/>
      <c r="E43" s="1218"/>
      <c r="F43" s="1220"/>
      <c r="G43" s="1171"/>
      <c r="H43" s="281" t="s">
        <v>10</v>
      </c>
      <c r="I43" s="778">
        <f>SUM(I33:I42)</f>
        <v>6993.6</v>
      </c>
      <c r="J43" s="778">
        <f>SUM(J33:J42)</f>
        <v>6989.8</v>
      </c>
      <c r="K43" s="778">
        <f>SUM(K33:K42)</f>
        <v>0</v>
      </c>
      <c r="L43" s="778">
        <f>SUM(L33:L42)</f>
        <v>3.8</v>
      </c>
      <c r="M43" s="810">
        <f>M41+M34+M33</f>
        <v>7614.5</v>
      </c>
      <c r="N43" s="778">
        <f>N41+N34+N33</f>
        <v>7614.5</v>
      </c>
      <c r="O43" s="1242"/>
      <c r="P43" s="961"/>
      <c r="Q43" s="948"/>
      <c r="R43" s="950"/>
    </row>
    <row r="44" spans="1:18" ht="12.75" customHeight="1" x14ac:dyDescent="0.2">
      <c r="A44" s="1234" t="s">
        <v>9</v>
      </c>
      <c r="B44" s="1235" t="s">
        <v>9</v>
      </c>
      <c r="C44" s="1236" t="s">
        <v>37</v>
      </c>
      <c r="D44" s="1239" t="s">
        <v>114</v>
      </c>
      <c r="E44" s="1237" t="s">
        <v>168</v>
      </c>
      <c r="F44" s="1238" t="s">
        <v>53</v>
      </c>
      <c r="G44" s="1233" t="s">
        <v>39</v>
      </c>
      <c r="H44" s="13" t="s">
        <v>35</v>
      </c>
      <c r="I44" s="720">
        <f>J44+L44</f>
        <v>1416.3</v>
      </c>
      <c r="J44" s="698">
        <f>1292.2+10+60+1.1</f>
        <v>1363.3</v>
      </c>
      <c r="K44" s="698">
        <f>710.7+70.6+0.8</f>
        <v>782.1</v>
      </c>
      <c r="L44" s="774">
        <f>63-10</f>
        <v>53</v>
      </c>
      <c r="M44" s="811">
        <v>1592.1</v>
      </c>
      <c r="N44" s="702">
        <v>1146.0999999999999</v>
      </c>
      <c r="O44" s="931"/>
      <c r="P44" s="125"/>
      <c r="Q44" s="125"/>
      <c r="R44" s="35"/>
    </row>
    <row r="45" spans="1:18" x14ac:dyDescent="0.2">
      <c r="A45" s="1178"/>
      <c r="B45" s="1179"/>
      <c r="C45" s="1180"/>
      <c r="D45" s="1243"/>
      <c r="E45" s="1218"/>
      <c r="F45" s="1220"/>
      <c r="G45" s="1171"/>
      <c r="H45" s="23" t="s">
        <v>60</v>
      </c>
      <c r="I45" s="674">
        <f>J45+L45</f>
        <v>116.2</v>
      </c>
      <c r="J45" s="674">
        <v>116.2</v>
      </c>
      <c r="K45" s="674">
        <v>31.7</v>
      </c>
      <c r="L45" s="704">
        <f>L51+L53+L56</f>
        <v>0</v>
      </c>
      <c r="M45" s="812">
        <v>115.8</v>
      </c>
      <c r="N45" s="705">
        <v>115.8</v>
      </c>
      <c r="O45" s="903"/>
      <c r="P45" s="946"/>
      <c r="Q45" s="946"/>
      <c r="R45" s="947"/>
    </row>
    <row r="46" spans="1:18" x14ac:dyDescent="0.2">
      <c r="A46" s="916"/>
      <c r="B46" s="924"/>
      <c r="C46" s="943"/>
      <c r="D46" s="949"/>
      <c r="E46" s="1218"/>
      <c r="F46" s="927"/>
      <c r="G46" s="922"/>
      <c r="H46" s="14" t="s">
        <v>225</v>
      </c>
      <c r="I46" s="684">
        <f>J46</f>
        <v>1.9</v>
      </c>
      <c r="J46" s="684">
        <v>1.9</v>
      </c>
      <c r="K46" s="684"/>
      <c r="L46" s="382"/>
      <c r="M46" s="794"/>
      <c r="N46" s="806"/>
      <c r="O46" s="903"/>
      <c r="P46" s="946"/>
      <c r="Q46" s="946"/>
      <c r="R46" s="947"/>
    </row>
    <row r="47" spans="1:18" ht="21" customHeight="1" x14ac:dyDescent="0.2">
      <c r="A47" s="1178"/>
      <c r="B47" s="1179"/>
      <c r="C47" s="1180"/>
      <c r="D47" s="1164" t="s">
        <v>162</v>
      </c>
      <c r="E47" s="1188"/>
      <c r="F47" s="1220"/>
      <c r="G47" s="1171"/>
      <c r="H47" s="14"/>
      <c r="I47" s="684"/>
      <c r="J47" s="635"/>
      <c r="K47" s="635"/>
      <c r="L47" s="685"/>
      <c r="M47" s="620"/>
      <c r="N47" s="801"/>
      <c r="O47" s="58" t="s">
        <v>85</v>
      </c>
      <c r="P47" s="960">
        <v>0.17649999999999999</v>
      </c>
      <c r="Q47" s="960">
        <v>0.17649999999999999</v>
      </c>
      <c r="R47" s="959">
        <v>0.17649999999999999</v>
      </c>
    </row>
    <row r="48" spans="1:18" ht="14.25" customHeight="1" x14ac:dyDescent="0.2">
      <c r="A48" s="1178"/>
      <c r="B48" s="1179"/>
      <c r="C48" s="1180"/>
      <c r="D48" s="1213"/>
      <c r="E48" s="1188"/>
      <c r="F48" s="1220"/>
      <c r="G48" s="1171"/>
      <c r="H48" s="14"/>
      <c r="I48" s="684"/>
      <c r="J48" s="635"/>
      <c r="K48" s="635"/>
      <c r="L48" s="685"/>
      <c r="M48" s="620"/>
      <c r="N48" s="801"/>
      <c r="O48" s="1212" t="s">
        <v>86</v>
      </c>
      <c r="P48" s="946">
        <v>5.0299999999999997E-2</v>
      </c>
      <c r="Q48" s="946">
        <v>5.0299999999999997E-2</v>
      </c>
      <c r="R48" s="947">
        <v>5.0299999999999997E-2</v>
      </c>
    </row>
    <row r="49" spans="1:21" ht="19.5" customHeight="1" x14ac:dyDescent="0.2">
      <c r="A49" s="1178"/>
      <c r="B49" s="1179"/>
      <c r="C49" s="1180"/>
      <c r="D49" s="1241"/>
      <c r="E49" s="1188"/>
      <c r="F49" s="1220"/>
      <c r="G49" s="1171"/>
      <c r="H49" s="350"/>
      <c r="I49" s="708"/>
      <c r="J49" s="638"/>
      <c r="K49" s="638"/>
      <c r="L49" s="709"/>
      <c r="M49" s="813"/>
      <c r="N49" s="814"/>
      <c r="O49" s="1244"/>
      <c r="P49" s="940"/>
      <c r="Q49" s="940"/>
      <c r="R49" s="942"/>
    </row>
    <row r="50" spans="1:21" ht="12.75" customHeight="1" x14ac:dyDescent="0.2">
      <c r="A50" s="1178"/>
      <c r="B50" s="1179"/>
      <c r="C50" s="1180"/>
      <c r="D50" s="1164" t="s">
        <v>58</v>
      </c>
      <c r="E50" s="1218"/>
      <c r="F50" s="1220"/>
      <c r="G50" s="1171"/>
      <c r="H50" s="14"/>
      <c r="I50" s="684"/>
      <c r="J50" s="635"/>
      <c r="K50" s="635"/>
      <c r="L50" s="685"/>
      <c r="M50" s="620"/>
      <c r="N50" s="801"/>
      <c r="O50" s="1212" t="s">
        <v>59</v>
      </c>
      <c r="P50" s="948">
        <v>3</v>
      </c>
      <c r="Q50" s="948">
        <v>3</v>
      </c>
      <c r="R50" s="950">
        <v>3</v>
      </c>
    </row>
    <row r="51" spans="1:21" x14ac:dyDescent="0.2">
      <c r="A51" s="1178"/>
      <c r="B51" s="1179"/>
      <c r="C51" s="1180"/>
      <c r="D51" s="1213"/>
      <c r="E51" s="1218"/>
      <c r="F51" s="1220"/>
      <c r="G51" s="1171"/>
      <c r="H51" s="14"/>
      <c r="I51" s="684"/>
      <c r="J51" s="635"/>
      <c r="K51" s="635"/>
      <c r="L51" s="685"/>
      <c r="M51" s="620"/>
      <c r="N51" s="801"/>
      <c r="O51" s="1212"/>
      <c r="P51" s="948"/>
      <c r="Q51" s="948"/>
      <c r="R51" s="950"/>
    </row>
    <row r="52" spans="1:21" x14ac:dyDescent="0.2">
      <c r="A52" s="1178"/>
      <c r="B52" s="1179"/>
      <c r="C52" s="1180"/>
      <c r="D52" s="1164" t="s">
        <v>142</v>
      </c>
      <c r="E52" s="1218"/>
      <c r="F52" s="1220"/>
      <c r="G52" s="1171"/>
      <c r="H52" s="14"/>
      <c r="I52" s="684"/>
      <c r="J52" s="635"/>
      <c r="K52" s="635"/>
      <c r="L52" s="685"/>
      <c r="M52" s="620"/>
      <c r="N52" s="801"/>
      <c r="O52" s="1211" t="s">
        <v>193</v>
      </c>
      <c r="P52" s="515">
        <v>2</v>
      </c>
      <c r="Q52" s="515">
        <v>2</v>
      </c>
      <c r="R52" s="514">
        <v>2</v>
      </c>
    </row>
    <row r="53" spans="1:21" x14ac:dyDescent="0.2">
      <c r="A53" s="1178"/>
      <c r="B53" s="1179"/>
      <c r="C53" s="1180"/>
      <c r="D53" s="1213"/>
      <c r="E53" s="1218"/>
      <c r="F53" s="1220"/>
      <c r="G53" s="1171"/>
      <c r="H53" s="14"/>
      <c r="I53" s="684"/>
      <c r="J53" s="635"/>
      <c r="K53" s="635"/>
      <c r="L53" s="685"/>
      <c r="M53" s="620"/>
      <c r="N53" s="801"/>
      <c r="O53" s="1212"/>
      <c r="P53" s="948"/>
      <c r="Q53" s="948"/>
      <c r="R53" s="950"/>
    </row>
    <row r="54" spans="1:21" x14ac:dyDescent="0.2">
      <c r="A54" s="916"/>
      <c r="B54" s="924"/>
      <c r="C54" s="943"/>
      <c r="D54" s="1164" t="s">
        <v>203</v>
      </c>
      <c r="E54" s="944"/>
      <c r="F54" s="958" t="s">
        <v>37</v>
      </c>
      <c r="G54" s="922"/>
      <c r="H54" s="14"/>
      <c r="I54" s="634"/>
      <c r="J54" s="635"/>
      <c r="K54" s="635"/>
      <c r="L54" s="383"/>
      <c r="M54" s="620"/>
      <c r="N54" s="801"/>
      <c r="O54" s="1211" t="s">
        <v>62</v>
      </c>
      <c r="P54" s="960">
        <v>15.5</v>
      </c>
      <c r="Q54" s="960">
        <v>15.5</v>
      </c>
      <c r="R54" s="959">
        <v>15.5</v>
      </c>
    </row>
    <row r="55" spans="1:21" x14ac:dyDescent="0.2">
      <c r="A55" s="916"/>
      <c r="B55" s="924"/>
      <c r="C55" s="943"/>
      <c r="D55" s="1213"/>
      <c r="E55" s="944"/>
      <c r="F55" s="927"/>
      <c r="G55" s="922"/>
      <c r="H55" s="14"/>
      <c r="I55" s="634"/>
      <c r="J55" s="635"/>
      <c r="K55" s="635"/>
      <c r="L55" s="383"/>
      <c r="M55" s="620"/>
      <c r="N55" s="801"/>
      <c r="O55" s="1244"/>
      <c r="P55" s="940"/>
      <c r="Q55" s="940"/>
      <c r="R55" s="942"/>
      <c r="U55" s="86"/>
    </row>
    <row r="56" spans="1:21" x14ac:dyDescent="0.2">
      <c r="A56" s="916"/>
      <c r="B56" s="924"/>
      <c r="C56" s="943"/>
      <c r="D56" s="1241"/>
      <c r="E56" s="954"/>
      <c r="F56" s="928"/>
      <c r="G56" s="929"/>
      <c r="H56" s="144"/>
      <c r="I56" s="648"/>
      <c r="J56" s="649"/>
      <c r="K56" s="649"/>
      <c r="L56" s="650"/>
      <c r="M56" s="815"/>
      <c r="N56" s="816"/>
      <c r="O56" s="64" t="s">
        <v>61</v>
      </c>
      <c r="P56" s="65">
        <v>102</v>
      </c>
      <c r="Q56" s="65">
        <v>102</v>
      </c>
      <c r="R56" s="66">
        <v>102</v>
      </c>
      <c r="U56" s="86"/>
    </row>
    <row r="57" spans="1:21" ht="25.5" x14ac:dyDescent="0.2">
      <c r="A57" s="916"/>
      <c r="B57" s="924"/>
      <c r="C57" s="943"/>
      <c r="D57" s="926" t="s">
        <v>158</v>
      </c>
      <c r="E57" s="944"/>
      <c r="F57" s="927"/>
      <c r="G57" s="922"/>
      <c r="H57" s="14"/>
      <c r="I57" s="634"/>
      <c r="J57" s="635"/>
      <c r="K57" s="635"/>
      <c r="L57" s="383"/>
      <c r="M57" s="803"/>
      <c r="N57" s="804"/>
      <c r="O57" s="938" t="s">
        <v>150</v>
      </c>
      <c r="P57" s="940">
        <v>1</v>
      </c>
      <c r="Q57" s="940"/>
      <c r="R57" s="942"/>
    </row>
    <row r="58" spans="1:21" x14ac:dyDescent="0.2">
      <c r="A58" s="916"/>
      <c r="B58" s="924"/>
      <c r="C58" s="943"/>
      <c r="D58" s="117" t="s">
        <v>151</v>
      </c>
      <c r="E58" s="944"/>
      <c r="F58" s="927"/>
      <c r="G58" s="922"/>
      <c r="H58" s="14"/>
      <c r="I58" s="634"/>
      <c r="J58" s="635"/>
      <c r="K58" s="635"/>
      <c r="L58" s="383"/>
      <c r="M58" s="803"/>
      <c r="N58" s="804"/>
      <c r="O58" s="64" t="s">
        <v>149</v>
      </c>
      <c r="P58" s="65">
        <v>1</v>
      </c>
      <c r="Q58" s="65"/>
      <c r="R58" s="66"/>
    </row>
    <row r="59" spans="1:21" ht="18" customHeight="1" thickBot="1" x14ac:dyDescent="0.25">
      <c r="A59" s="907"/>
      <c r="B59" s="932"/>
      <c r="C59" s="934"/>
      <c r="D59" s="891" t="s">
        <v>154</v>
      </c>
      <c r="E59" s="936"/>
      <c r="F59" s="937"/>
      <c r="G59" s="906"/>
      <c r="H59" s="282" t="s">
        <v>10</v>
      </c>
      <c r="I59" s="671">
        <f>I44+I45+I46</f>
        <v>1534.4</v>
      </c>
      <c r="J59" s="713">
        <f>J44+J45+J46</f>
        <v>1481.4</v>
      </c>
      <c r="K59" s="713">
        <f>K44+K45+K46</f>
        <v>813.80000000000007</v>
      </c>
      <c r="L59" s="753">
        <f>L44+L45+L46</f>
        <v>53</v>
      </c>
      <c r="M59" s="621">
        <f>M44+M45</f>
        <v>1707.8999999999999</v>
      </c>
      <c r="N59" s="695">
        <f>N44+N45</f>
        <v>1261.8999999999999</v>
      </c>
      <c r="O59" s="897" t="s">
        <v>202</v>
      </c>
      <c r="P59" s="898"/>
      <c r="Q59" s="898">
        <v>10</v>
      </c>
      <c r="R59" s="899">
        <v>90</v>
      </c>
    </row>
    <row r="60" spans="1:21" ht="15" customHeight="1" x14ac:dyDescent="0.2">
      <c r="A60" s="1234" t="s">
        <v>9</v>
      </c>
      <c r="B60" s="1235" t="s">
        <v>9</v>
      </c>
      <c r="C60" s="1236" t="s">
        <v>52</v>
      </c>
      <c r="D60" s="1239" t="s">
        <v>115</v>
      </c>
      <c r="E60" s="1237"/>
      <c r="F60" s="1238" t="s">
        <v>40</v>
      </c>
      <c r="G60" s="1233" t="s">
        <v>39</v>
      </c>
      <c r="H60" s="13" t="s">
        <v>35</v>
      </c>
      <c r="I60" s="720">
        <f>J60</f>
        <v>6185.5</v>
      </c>
      <c r="J60" s="698">
        <f>6017.6-391.3+424.3+134.9</f>
        <v>6185.5</v>
      </c>
      <c r="K60" s="698">
        <f>K62+K65</f>
        <v>0</v>
      </c>
      <c r="L60" s="699">
        <f>L62+L65</f>
        <v>0</v>
      </c>
      <c r="M60" s="811">
        <v>7827.6</v>
      </c>
      <c r="N60" s="702">
        <v>8062</v>
      </c>
      <c r="O60" s="1248"/>
      <c r="P60" s="1249"/>
      <c r="Q60" s="1249"/>
      <c r="R60" s="1250"/>
    </row>
    <row r="61" spans="1:21" x14ac:dyDescent="0.2">
      <c r="A61" s="1178"/>
      <c r="B61" s="1179"/>
      <c r="C61" s="1180"/>
      <c r="D61" s="1245"/>
      <c r="E61" s="1218"/>
      <c r="F61" s="1220"/>
      <c r="G61" s="1171"/>
      <c r="H61" s="144" t="s">
        <v>129</v>
      </c>
      <c r="I61" s="690">
        <f>J61</f>
        <v>400.9</v>
      </c>
      <c r="J61" s="649">
        <v>400.9</v>
      </c>
      <c r="K61" s="649"/>
      <c r="L61" s="691"/>
      <c r="M61" s="808"/>
      <c r="N61" s="809"/>
      <c r="O61" s="1244"/>
      <c r="P61" s="1230"/>
      <c r="Q61" s="1230"/>
      <c r="R61" s="1232"/>
    </row>
    <row r="62" spans="1:21" ht="12.75" customHeight="1" x14ac:dyDescent="0.2">
      <c r="A62" s="1178"/>
      <c r="B62" s="1179"/>
      <c r="C62" s="1180"/>
      <c r="D62" s="1213" t="s">
        <v>64</v>
      </c>
      <c r="E62" s="1218"/>
      <c r="F62" s="1220"/>
      <c r="G62" s="1171"/>
      <c r="H62" s="14"/>
      <c r="I62" s="684"/>
      <c r="J62" s="635"/>
      <c r="K62" s="635"/>
      <c r="L62" s="685"/>
      <c r="M62" s="620"/>
      <c r="N62" s="801"/>
      <c r="O62" s="1212" t="s">
        <v>99</v>
      </c>
      <c r="P62" s="1246">
        <v>7.7</v>
      </c>
      <c r="Q62" s="1246">
        <v>7.8</v>
      </c>
      <c r="R62" s="1247">
        <v>7.8</v>
      </c>
    </row>
    <row r="63" spans="1:21" x14ac:dyDescent="0.2">
      <c r="A63" s="1178"/>
      <c r="B63" s="1179"/>
      <c r="C63" s="1180"/>
      <c r="D63" s="1213"/>
      <c r="E63" s="1218"/>
      <c r="F63" s="1220"/>
      <c r="G63" s="1171"/>
      <c r="H63" s="14"/>
      <c r="I63" s="684"/>
      <c r="J63" s="635"/>
      <c r="K63" s="635"/>
      <c r="L63" s="685"/>
      <c r="M63" s="620"/>
      <c r="N63" s="801"/>
      <c r="O63" s="1212"/>
      <c r="P63" s="1246"/>
      <c r="Q63" s="1246"/>
      <c r="R63" s="1247"/>
    </row>
    <row r="64" spans="1:21" x14ac:dyDescent="0.2">
      <c r="A64" s="1178"/>
      <c r="B64" s="1179"/>
      <c r="C64" s="1180"/>
      <c r="D64" s="1213"/>
      <c r="E64" s="1218"/>
      <c r="F64" s="1220"/>
      <c r="G64" s="1171"/>
      <c r="H64" s="350"/>
      <c r="I64" s="708"/>
      <c r="J64" s="638"/>
      <c r="K64" s="638"/>
      <c r="L64" s="709"/>
      <c r="M64" s="813"/>
      <c r="N64" s="814"/>
      <c r="O64" s="59"/>
      <c r="P64" s="940"/>
      <c r="Q64" s="940"/>
      <c r="R64" s="942"/>
    </row>
    <row r="65" spans="1:18" ht="12.75" customHeight="1" x14ac:dyDescent="0.2">
      <c r="A65" s="1178"/>
      <c r="B65" s="1179"/>
      <c r="C65" s="1180"/>
      <c r="D65" s="1164" t="s">
        <v>63</v>
      </c>
      <c r="E65" s="1253" t="s">
        <v>182</v>
      </c>
      <c r="F65" s="1220"/>
      <c r="G65" s="1171"/>
      <c r="H65" s="14"/>
      <c r="I65" s="684"/>
      <c r="J65" s="635"/>
      <c r="K65" s="635"/>
      <c r="L65" s="685"/>
      <c r="M65" s="620"/>
      <c r="N65" s="801"/>
      <c r="O65" s="1212" t="s">
        <v>194</v>
      </c>
      <c r="P65" s="1251">
        <v>14.215999999999999</v>
      </c>
      <c r="Q65" s="1251">
        <v>14.4</v>
      </c>
      <c r="R65" s="1252">
        <v>14.6</v>
      </c>
    </row>
    <row r="66" spans="1:18" x14ac:dyDescent="0.2">
      <c r="A66" s="1178"/>
      <c r="B66" s="1179"/>
      <c r="C66" s="1180"/>
      <c r="D66" s="1213"/>
      <c r="E66" s="1253"/>
      <c r="F66" s="1220"/>
      <c r="G66" s="1171"/>
      <c r="H66" s="14"/>
      <c r="I66" s="684"/>
      <c r="J66" s="635"/>
      <c r="K66" s="635"/>
      <c r="L66" s="685"/>
      <c r="M66" s="620"/>
      <c r="N66" s="801"/>
      <c r="O66" s="1212"/>
      <c r="P66" s="1251"/>
      <c r="Q66" s="1251"/>
      <c r="R66" s="1252"/>
    </row>
    <row r="67" spans="1:18" ht="17.25" customHeight="1" x14ac:dyDescent="0.2">
      <c r="A67" s="1178"/>
      <c r="B67" s="1179"/>
      <c r="C67" s="1180"/>
      <c r="D67" s="1213"/>
      <c r="E67" s="1253"/>
      <c r="F67" s="1220"/>
      <c r="G67" s="1171"/>
      <c r="H67" s="14"/>
      <c r="I67" s="684"/>
      <c r="J67" s="635"/>
      <c r="K67" s="635"/>
      <c r="L67" s="685"/>
      <c r="M67" s="803"/>
      <c r="N67" s="804"/>
      <c r="O67" s="15" t="s">
        <v>143</v>
      </c>
      <c r="P67" s="106">
        <v>420</v>
      </c>
      <c r="Q67" s="106">
        <v>0</v>
      </c>
      <c r="R67" s="107">
        <v>0</v>
      </c>
    </row>
    <row r="68" spans="1:18" x14ac:dyDescent="0.2">
      <c r="A68" s="1178"/>
      <c r="B68" s="1179"/>
      <c r="C68" s="1180"/>
      <c r="D68" s="1241"/>
      <c r="E68" s="1253"/>
      <c r="F68" s="1220"/>
      <c r="G68" s="1171"/>
      <c r="H68" s="350"/>
      <c r="I68" s="708"/>
      <c r="J68" s="638"/>
      <c r="K68" s="638"/>
      <c r="L68" s="709"/>
      <c r="M68" s="813"/>
      <c r="N68" s="814"/>
      <c r="O68" s="59" t="s">
        <v>195</v>
      </c>
      <c r="P68" s="940">
        <v>89</v>
      </c>
      <c r="Q68" s="940">
        <v>100</v>
      </c>
      <c r="R68" s="942">
        <v>100</v>
      </c>
    </row>
    <row r="69" spans="1:18" x14ac:dyDescent="0.2">
      <c r="A69" s="1178"/>
      <c r="B69" s="1179"/>
      <c r="C69" s="1180"/>
      <c r="D69" s="1213" t="s">
        <v>65</v>
      </c>
      <c r="E69" s="1218"/>
      <c r="F69" s="1220"/>
      <c r="G69" s="1171"/>
      <c r="H69" s="14"/>
      <c r="I69" s="684"/>
      <c r="J69" s="635"/>
      <c r="K69" s="635"/>
      <c r="L69" s="685"/>
      <c r="M69" s="620"/>
      <c r="N69" s="801"/>
      <c r="O69" s="58" t="s">
        <v>101</v>
      </c>
      <c r="P69" s="515"/>
      <c r="Q69" s="515">
        <v>27</v>
      </c>
      <c r="R69" s="514"/>
    </row>
    <row r="70" spans="1:18" x14ac:dyDescent="0.2">
      <c r="A70" s="1178"/>
      <c r="B70" s="1179"/>
      <c r="C70" s="1180"/>
      <c r="D70" s="1241"/>
      <c r="E70" s="1218"/>
      <c r="F70" s="1220"/>
      <c r="G70" s="1171"/>
      <c r="H70" s="350"/>
      <c r="I70" s="708"/>
      <c r="J70" s="638"/>
      <c r="K70" s="638"/>
      <c r="L70" s="709"/>
      <c r="M70" s="813"/>
      <c r="N70" s="814"/>
      <c r="O70" s="59"/>
      <c r="P70" s="940"/>
      <c r="Q70" s="940"/>
      <c r="R70" s="942"/>
    </row>
    <row r="71" spans="1:18" x14ac:dyDescent="0.2">
      <c r="A71" s="1178"/>
      <c r="B71" s="1179"/>
      <c r="C71" s="1180"/>
      <c r="D71" s="1213" t="s">
        <v>66</v>
      </c>
      <c r="E71" s="1218"/>
      <c r="F71" s="1220"/>
      <c r="G71" s="1171"/>
      <c r="H71" s="10" t="s">
        <v>93</v>
      </c>
      <c r="I71" s="681">
        <f>J71</f>
        <v>2038</v>
      </c>
      <c r="J71" s="643">
        <v>2038</v>
      </c>
      <c r="K71" s="643"/>
      <c r="L71" s="682"/>
      <c r="M71" s="817"/>
      <c r="N71" s="818"/>
      <c r="O71" s="15" t="s">
        <v>67</v>
      </c>
      <c r="P71" s="948"/>
      <c r="Q71" s="948">
        <v>94</v>
      </c>
      <c r="R71" s="950"/>
    </row>
    <row r="72" spans="1:18" ht="18" customHeight="1" x14ac:dyDescent="0.2">
      <c r="A72" s="1178"/>
      <c r="B72" s="1179"/>
      <c r="C72" s="1180"/>
      <c r="D72" s="1241"/>
      <c r="E72" s="1218"/>
      <c r="F72" s="1220"/>
      <c r="G72" s="1171"/>
      <c r="H72" s="373"/>
      <c r="I72" s="687"/>
      <c r="J72" s="655"/>
      <c r="K72" s="655"/>
      <c r="L72" s="688"/>
      <c r="M72" s="819"/>
      <c r="N72" s="820"/>
      <c r="O72" s="59"/>
      <c r="P72" s="940"/>
      <c r="Q72" s="940"/>
      <c r="R72" s="942"/>
    </row>
    <row r="73" spans="1:18" ht="25.5" customHeight="1" x14ac:dyDescent="0.2">
      <c r="A73" s="916"/>
      <c r="B73" s="924"/>
      <c r="C73" s="943"/>
      <c r="D73" s="117" t="s">
        <v>130</v>
      </c>
      <c r="E73" s="944"/>
      <c r="F73" s="927"/>
      <c r="G73" s="922"/>
      <c r="H73" s="14"/>
      <c r="I73" s="684"/>
      <c r="J73" s="635"/>
      <c r="K73" s="635"/>
      <c r="L73" s="685"/>
      <c r="M73" s="620"/>
      <c r="N73" s="801"/>
      <c r="O73" s="113" t="s">
        <v>116</v>
      </c>
      <c r="P73" s="65"/>
      <c r="Q73" s="65">
        <v>33</v>
      </c>
      <c r="R73" s="66">
        <v>33</v>
      </c>
    </row>
    <row r="74" spans="1:18" ht="15" customHeight="1" x14ac:dyDescent="0.2">
      <c r="A74" s="1178"/>
      <c r="B74" s="1179"/>
      <c r="C74" s="1180"/>
      <c r="D74" s="1213" t="s">
        <v>131</v>
      </c>
      <c r="E74" s="1218"/>
      <c r="F74" s="1220"/>
      <c r="G74" s="1171"/>
      <c r="H74" s="144"/>
      <c r="I74" s="690"/>
      <c r="J74" s="649"/>
      <c r="K74" s="649"/>
      <c r="L74" s="691"/>
      <c r="M74" s="808"/>
      <c r="N74" s="809"/>
      <c r="O74" s="1212" t="s">
        <v>68</v>
      </c>
      <c r="P74" s="948"/>
      <c r="Q74" s="948">
        <v>9</v>
      </c>
      <c r="R74" s="950">
        <v>7</v>
      </c>
    </row>
    <row r="75" spans="1:18" ht="15" customHeight="1" thickBot="1" x14ac:dyDescent="0.25">
      <c r="A75" s="1256"/>
      <c r="B75" s="1257"/>
      <c r="C75" s="1258"/>
      <c r="D75" s="1260"/>
      <c r="E75" s="1261"/>
      <c r="F75" s="1262"/>
      <c r="G75" s="1254"/>
      <c r="H75" s="282" t="s">
        <v>10</v>
      </c>
      <c r="I75" s="694">
        <f>I60+I71+I61</f>
        <v>8624.4</v>
      </c>
      <c r="J75" s="694">
        <f>J60+J71+J61</f>
        <v>8624.4</v>
      </c>
      <c r="K75" s="713">
        <f>SUM(K74:K74)</f>
        <v>0</v>
      </c>
      <c r="L75" s="718">
        <f>SUM(L74:L74)</f>
        <v>0</v>
      </c>
      <c r="M75" s="621">
        <f>M60</f>
        <v>7827.6</v>
      </c>
      <c r="N75" s="753">
        <f>N60</f>
        <v>8062</v>
      </c>
      <c r="O75" s="1255"/>
      <c r="P75" s="513"/>
      <c r="Q75" s="513"/>
      <c r="R75" s="512"/>
    </row>
    <row r="76" spans="1:18" ht="23.25" customHeight="1" x14ac:dyDescent="0.2">
      <c r="A76" s="1234" t="s">
        <v>9</v>
      </c>
      <c r="B76" s="1235" t="s">
        <v>9</v>
      </c>
      <c r="C76" s="1236" t="s">
        <v>53</v>
      </c>
      <c r="D76" s="1259" t="s">
        <v>165</v>
      </c>
      <c r="E76" s="1237"/>
      <c r="F76" s="1238" t="s">
        <v>37</v>
      </c>
      <c r="G76" s="1263" t="s">
        <v>94</v>
      </c>
      <c r="H76" s="13" t="s">
        <v>35</v>
      </c>
      <c r="I76" s="720">
        <f>J76+L76</f>
        <v>610.4</v>
      </c>
      <c r="J76" s="721">
        <v>610.4</v>
      </c>
      <c r="K76" s="721"/>
      <c r="L76" s="779"/>
      <c r="M76" s="821">
        <f>50+577</f>
        <v>627</v>
      </c>
      <c r="N76" s="821">
        <f>50+577</f>
        <v>627</v>
      </c>
      <c r="O76" s="1248" t="s">
        <v>102</v>
      </c>
      <c r="P76" s="939">
        <f>57+15</f>
        <v>72</v>
      </c>
      <c r="Q76" s="939">
        <f>15+57</f>
        <v>72</v>
      </c>
      <c r="R76" s="941">
        <f>15+57</f>
        <v>72</v>
      </c>
    </row>
    <row r="77" spans="1:18" ht="23.25" customHeight="1" x14ac:dyDescent="0.2">
      <c r="A77" s="1178"/>
      <c r="B77" s="1179"/>
      <c r="C77" s="1180"/>
      <c r="D77" s="1213"/>
      <c r="E77" s="1218"/>
      <c r="F77" s="1220"/>
      <c r="G77" s="1264"/>
      <c r="H77" s="23"/>
      <c r="I77" s="725"/>
      <c r="J77" s="635"/>
      <c r="K77" s="635"/>
      <c r="L77" s="383"/>
      <c r="M77" s="789"/>
      <c r="N77" s="789"/>
      <c r="O77" s="1212"/>
      <c r="P77" s="948"/>
      <c r="Q77" s="948"/>
      <c r="R77" s="950"/>
    </row>
    <row r="78" spans="1:18" ht="22.5" customHeight="1" thickBot="1" x14ac:dyDescent="0.25">
      <c r="A78" s="1256"/>
      <c r="B78" s="1257"/>
      <c r="C78" s="1258"/>
      <c r="D78" s="1260"/>
      <c r="E78" s="1261"/>
      <c r="F78" s="1262"/>
      <c r="G78" s="1265"/>
      <c r="H78" s="282" t="s">
        <v>10</v>
      </c>
      <c r="I78" s="726">
        <f t="shared" ref="I78:N78" si="1">SUM(I76:I77)</f>
        <v>610.4</v>
      </c>
      <c r="J78" s="694">
        <f t="shared" si="1"/>
        <v>610.4</v>
      </c>
      <c r="K78" s="694">
        <f t="shared" si="1"/>
        <v>0</v>
      </c>
      <c r="L78" s="753">
        <f t="shared" si="1"/>
        <v>0</v>
      </c>
      <c r="M78" s="621">
        <f t="shared" si="1"/>
        <v>627</v>
      </c>
      <c r="N78" s="621">
        <f t="shared" si="1"/>
        <v>627</v>
      </c>
      <c r="O78" s="16"/>
      <c r="P78" s="513"/>
      <c r="Q78" s="513"/>
      <c r="R78" s="512"/>
    </row>
    <row r="79" spans="1:18" ht="15" customHeight="1" x14ac:dyDescent="0.2">
      <c r="A79" s="1234" t="s">
        <v>9</v>
      </c>
      <c r="B79" s="1235" t="s">
        <v>9</v>
      </c>
      <c r="C79" s="1236" t="s">
        <v>40</v>
      </c>
      <c r="D79" s="1268" t="s">
        <v>152</v>
      </c>
      <c r="E79" s="1271" t="s">
        <v>90</v>
      </c>
      <c r="F79" s="1238" t="s">
        <v>53</v>
      </c>
      <c r="G79" s="905" t="s">
        <v>89</v>
      </c>
      <c r="H79" s="13" t="s">
        <v>35</v>
      </c>
      <c r="I79" s="698">
        <f>J79+L79</f>
        <v>3.5</v>
      </c>
      <c r="J79" s="721">
        <f>1.9+1.6</f>
        <v>3.5</v>
      </c>
      <c r="K79" s="721"/>
      <c r="L79" s="722"/>
      <c r="M79" s="821"/>
      <c r="N79" s="823"/>
      <c r="O79" s="1248" t="s">
        <v>110</v>
      </c>
      <c r="P79" s="1266">
        <v>12</v>
      </c>
      <c r="Q79" s="1249"/>
      <c r="R79" s="1250"/>
    </row>
    <row r="80" spans="1:18" ht="15" customHeight="1" x14ac:dyDescent="0.2">
      <c r="A80" s="1178"/>
      <c r="B80" s="1179"/>
      <c r="C80" s="1180"/>
      <c r="D80" s="1269"/>
      <c r="E80" s="1272"/>
      <c r="F80" s="1220"/>
      <c r="G80" s="922"/>
      <c r="H80" s="23" t="s">
        <v>87</v>
      </c>
      <c r="I80" s="674">
        <f>J80+L80</f>
        <v>598.79999999999995</v>
      </c>
      <c r="J80" s="649"/>
      <c r="K80" s="649"/>
      <c r="L80" s="691">
        <v>598.79999999999995</v>
      </c>
      <c r="M80" s="824"/>
      <c r="N80" s="825"/>
      <c r="O80" s="1244"/>
      <c r="P80" s="1267"/>
      <c r="Q80" s="1230"/>
      <c r="R80" s="1232"/>
    </row>
    <row r="81" spans="1:21" ht="15" customHeight="1" x14ac:dyDescent="0.2">
      <c r="A81" s="1178"/>
      <c r="B81" s="1179"/>
      <c r="C81" s="1180"/>
      <c r="D81" s="1269"/>
      <c r="E81" s="47"/>
      <c r="F81" s="1220"/>
      <c r="G81" s="956" t="s">
        <v>201</v>
      </c>
      <c r="H81" s="144" t="s">
        <v>91</v>
      </c>
      <c r="I81" s="690">
        <f>J81+L81</f>
        <v>15.5</v>
      </c>
      <c r="J81" s="635">
        <v>15.5</v>
      </c>
      <c r="K81" s="635">
        <v>10</v>
      </c>
      <c r="L81" s="685"/>
      <c r="M81" s="803"/>
      <c r="N81" s="804"/>
      <c r="O81" s="1211" t="s">
        <v>229</v>
      </c>
      <c r="P81" s="851">
        <v>5</v>
      </c>
      <c r="Q81" s="851"/>
      <c r="R81" s="950"/>
    </row>
    <row r="82" spans="1:21" ht="15" customHeight="1" x14ac:dyDescent="0.2">
      <c r="A82" s="1178"/>
      <c r="B82" s="1179"/>
      <c r="C82" s="1180"/>
      <c r="D82" s="1269"/>
      <c r="E82" s="47"/>
      <c r="F82" s="1220"/>
      <c r="G82" s="922"/>
      <c r="H82" s="23" t="s">
        <v>35</v>
      </c>
      <c r="I82" s="674">
        <f>J82+L82</f>
        <v>9.1</v>
      </c>
      <c r="J82" s="675">
        <v>9.1</v>
      </c>
      <c r="K82" s="675">
        <v>6.9</v>
      </c>
      <c r="L82" s="676"/>
      <c r="M82" s="826"/>
      <c r="N82" s="827"/>
      <c r="O82" s="1227"/>
      <c r="P82" s="948"/>
      <c r="Q82" s="948"/>
      <c r="R82" s="950"/>
    </row>
    <row r="83" spans="1:21" ht="15" customHeight="1" x14ac:dyDescent="0.2">
      <c r="A83" s="1178"/>
      <c r="B83" s="1179"/>
      <c r="C83" s="1180"/>
      <c r="D83" s="1269"/>
      <c r="E83" s="47"/>
      <c r="F83" s="1220"/>
      <c r="G83" s="922"/>
      <c r="H83" s="14" t="s">
        <v>129</v>
      </c>
      <c r="I83" s="684">
        <f>J83</f>
        <v>1.3</v>
      </c>
      <c r="J83" s="635">
        <v>1.3</v>
      </c>
      <c r="K83" s="635"/>
      <c r="L83" s="685"/>
      <c r="M83" s="803"/>
      <c r="N83" s="804"/>
      <c r="O83" s="1227"/>
      <c r="P83" s="851"/>
      <c r="Q83" s="851"/>
      <c r="R83" s="950"/>
    </row>
    <row r="84" spans="1:21" ht="15" customHeight="1" thickBot="1" x14ac:dyDescent="0.25">
      <c r="A84" s="1256"/>
      <c r="B84" s="1257"/>
      <c r="C84" s="1258"/>
      <c r="D84" s="1270"/>
      <c r="E84" s="48"/>
      <c r="F84" s="1262"/>
      <c r="G84" s="906"/>
      <c r="H84" s="282" t="s">
        <v>10</v>
      </c>
      <c r="I84" s="694">
        <f>SUM(I79:I83)</f>
        <v>628.19999999999993</v>
      </c>
      <c r="J84" s="694">
        <f t="shared" ref="J84:L84" si="2">SUM(J79:J83)</f>
        <v>29.400000000000002</v>
      </c>
      <c r="K84" s="694">
        <f t="shared" si="2"/>
        <v>16.899999999999999</v>
      </c>
      <c r="L84" s="694">
        <f t="shared" si="2"/>
        <v>598.79999999999995</v>
      </c>
      <c r="M84" s="621">
        <f>M83</f>
        <v>0</v>
      </c>
      <c r="N84" s="694">
        <f>SUM(N79:N83)</f>
        <v>0</v>
      </c>
      <c r="O84" s="633"/>
      <c r="P84" s="513"/>
      <c r="Q84" s="513"/>
      <c r="R84" s="512"/>
    </row>
    <row r="85" spans="1:21" ht="15" customHeight="1" x14ac:dyDescent="0.2">
      <c r="A85" s="1234" t="s">
        <v>9</v>
      </c>
      <c r="B85" s="1235" t="s">
        <v>9</v>
      </c>
      <c r="C85" s="1236" t="s">
        <v>54</v>
      </c>
      <c r="D85" s="1259" t="s">
        <v>128</v>
      </c>
      <c r="E85" s="1237"/>
      <c r="F85" s="1238" t="s">
        <v>53</v>
      </c>
      <c r="G85" s="905" t="s">
        <v>39</v>
      </c>
      <c r="H85" s="13" t="s">
        <v>35</v>
      </c>
      <c r="I85" s="720">
        <f>J85+L85</f>
        <v>250</v>
      </c>
      <c r="J85" s="721">
        <v>250</v>
      </c>
      <c r="K85" s="721"/>
      <c r="L85" s="722"/>
      <c r="M85" s="821"/>
      <c r="N85" s="821"/>
      <c r="O85" s="931" t="s">
        <v>56</v>
      </c>
      <c r="P85" s="948">
        <v>4</v>
      </c>
      <c r="Q85" s="948"/>
      <c r="R85" s="950"/>
    </row>
    <row r="86" spans="1:21" ht="13.5" thickBot="1" x14ac:dyDescent="0.25">
      <c r="A86" s="1256"/>
      <c r="B86" s="1257"/>
      <c r="C86" s="1258"/>
      <c r="D86" s="1260"/>
      <c r="E86" s="1261"/>
      <c r="F86" s="1262"/>
      <c r="G86" s="906"/>
      <c r="H86" s="282" t="s">
        <v>10</v>
      </c>
      <c r="I86" s="694">
        <f t="shared" ref="I86:N86" si="3">SUM(I85:I85)</f>
        <v>250</v>
      </c>
      <c r="J86" s="713">
        <f t="shared" si="3"/>
        <v>250</v>
      </c>
      <c r="K86" s="713">
        <f t="shared" si="3"/>
        <v>0</v>
      </c>
      <c r="L86" s="713">
        <f t="shared" si="3"/>
        <v>0</v>
      </c>
      <c r="M86" s="621">
        <f t="shared" si="3"/>
        <v>0</v>
      </c>
      <c r="N86" s="621">
        <f t="shared" si="3"/>
        <v>0</v>
      </c>
      <c r="O86" s="16"/>
      <c r="P86" s="513"/>
      <c r="Q86" s="513"/>
      <c r="R86" s="512"/>
    </row>
    <row r="87" spans="1:21" ht="21" customHeight="1" x14ac:dyDescent="0.2">
      <c r="A87" s="1234" t="s">
        <v>9</v>
      </c>
      <c r="B87" s="1235" t="s">
        <v>9</v>
      </c>
      <c r="C87" s="1290" t="s">
        <v>43</v>
      </c>
      <c r="D87" s="1268" t="s">
        <v>231</v>
      </c>
      <c r="E87" s="785" t="s">
        <v>90</v>
      </c>
      <c r="F87" s="1273" t="s">
        <v>52</v>
      </c>
      <c r="G87" s="1233" t="s">
        <v>89</v>
      </c>
      <c r="H87" s="10" t="s">
        <v>91</v>
      </c>
      <c r="I87" s="690">
        <f>J87+L87</f>
        <v>445</v>
      </c>
      <c r="J87" s="643"/>
      <c r="K87" s="643"/>
      <c r="L87" s="682">
        <v>445</v>
      </c>
      <c r="M87" s="829">
        <v>49.5</v>
      </c>
      <c r="N87" s="823"/>
      <c r="O87" s="1278" t="s">
        <v>198</v>
      </c>
      <c r="P87" s="145">
        <v>50</v>
      </c>
      <c r="Q87" s="145">
        <v>50</v>
      </c>
      <c r="R87" s="146"/>
    </row>
    <row r="88" spans="1:21" ht="18" customHeight="1" x14ac:dyDescent="0.2">
      <c r="A88" s="1178"/>
      <c r="B88" s="1179"/>
      <c r="C88" s="1275"/>
      <c r="D88" s="1269"/>
      <c r="E88" s="1394" t="s">
        <v>167</v>
      </c>
      <c r="F88" s="1170"/>
      <c r="G88" s="1171"/>
      <c r="H88" s="10" t="s">
        <v>35</v>
      </c>
      <c r="I88" s="690">
        <f>L88</f>
        <v>0.1</v>
      </c>
      <c r="J88" s="643"/>
      <c r="K88" s="643"/>
      <c r="L88" s="682">
        <v>0.1</v>
      </c>
      <c r="M88" s="830"/>
      <c r="N88" s="831"/>
      <c r="O88" s="1172"/>
      <c r="P88" s="73"/>
      <c r="Q88" s="73"/>
      <c r="R88" s="74"/>
    </row>
    <row r="89" spans="1:21" ht="16.5" customHeight="1" x14ac:dyDescent="0.2">
      <c r="A89" s="1178"/>
      <c r="B89" s="1179"/>
      <c r="C89" s="1275"/>
      <c r="D89" s="1269"/>
      <c r="E89" s="1395"/>
      <c r="F89" s="1170"/>
      <c r="G89" s="1171"/>
      <c r="H89" s="10" t="s">
        <v>92</v>
      </c>
      <c r="I89" s="690">
        <f>J89+L89</f>
        <v>93.4</v>
      </c>
      <c r="J89" s="643"/>
      <c r="K89" s="643"/>
      <c r="L89" s="682">
        <v>93.4</v>
      </c>
      <c r="M89" s="830">
        <v>10.4</v>
      </c>
      <c r="N89" s="802"/>
      <c r="O89" s="1173"/>
      <c r="P89" s="76"/>
      <c r="Q89" s="76"/>
      <c r="R89" s="147"/>
    </row>
    <row r="90" spans="1:21" ht="16.5" thickBot="1" x14ac:dyDescent="0.25">
      <c r="A90" s="1256"/>
      <c r="B90" s="1257"/>
      <c r="C90" s="1291"/>
      <c r="D90" s="1270"/>
      <c r="E90" s="1396"/>
      <c r="F90" s="1274"/>
      <c r="G90" s="1254"/>
      <c r="H90" s="282" t="s">
        <v>10</v>
      </c>
      <c r="I90" s="694">
        <f t="shared" ref="I90:N90" si="4">SUM(I87:I89)</f>
        <v>538.5</v>
      </c>
      <c r="J90" s="694">
        <f t="shared" si="4"/>
        <v>0</v>
      </c>
      <c r="K90" s="694">
        <f t="shared" si="4"/>
        <v>0</v>
      </c>
      <c r="L90" s="695">
        <f t="shared" si="4"/>
        <v>538.5</v>
      </c>
      <c r="M90" s="621">
        <f>SUM(M87:M89)</f>
        <v>59.9</v>
      </c>
      <c r="N90" s="694">
        <f t="shared" si="4"/>
        <v>0</v>
      </c>
      <c r="O90" s="135" t="s">
        <v>197</v>
      </c>
      <c r="P90" s="913">
        <v>50</v>
      </c>
      <c r="Q90" s="913">
        <v>50</v>
      </c>
      <c r="R90" s="915"/>
      <c r="S90" s="12"/>
      <c r="U90" s="11"/>
    </row>
    <row r="91" spans="1:21" ht="18" customHeight="1" x14ac:dyDescent="0.2">
      <c r="A91" s="366" t="s">
        <v>9</v>
      </c>
      <c r="B91" s="908" t="s">
        <v>9</v>
      </c>
      <c r="C91" s="933" t="s">
        <v>159</v>
      </c>
      <c r="D91" s="1268" t="s">
        <v>177</v>
      </c>
      <c r="E91" s="935"/>
      <c r="F91" s="185"/>
      <c r="G91" s="189"/>
      <c r="H91" s="462" t="s">
        <v>35</v>
      </c>
      <c r="I91" s="720">
        <f>J91+L91</f>
        <v>69.2</v>
      </c>
      <c r="J91" s="721">
        <v>19.2</v>
      </c>
      <c r="K91" s="721"/>
      <c r="L91" s="779">
        <v>50</v>
      </c>
      <c r="M91" s="832">
        <v>150</v>
      </c>
      <c r="N91" s="832"/>
      <c r="O91" s="1280" t="s">
        <v>175</v>
      </c>
      <c r="P91" s="939">
        <f>P94+P95+P96+P97+P98+P102</f>
        <v>4</v>
      </c>
      <c r="Q91" s="939">
        <v>2</v>
      </c>
      <c r="R91" s="941"/>
    </row>
    <row r="92" spans="1:21" ht="22.5" customHeight="1" x14ac:dyDescent="0.2">
      <c r="A92" s="92"/>
      <c r="B92" s="917"/>
      <c r="C92" s="925"/>
      <c r="D92" s="1279"/>
      <c r="E92" s="954"/>
      <c r="F92" s="195"/>
      <c r="G92" s="196"/>
      <c r="H92" s="463" t="s">
        <v>87</v>
      </c>
      <c r="I92" s="725"/>
      <c r="J92" s="675"/>
      <c r="K92" s="675"/>
      <c r="L92" s="748"/>
      <c r="M92" s="827">
        <v>227.3</v>
      </c>
      <c r="N92" s="827">
        <v>243.3</v>
      </c>
      <c r="O92" s="1281"/>
      <c r="P92" s="940"/>
      <c r="Q92" s="940"/>
      <c r="R92" s="942"/>
    </row>
    <row r="93" spans="1:21" ht="25.5" x14ac:dyDescent="0.2">
      <c r="A93" s="916"/>
      <c r="B93" s="917"/>
      <c r="C93" s="925"/>
      <c r="D93" s="353" t="s">
        <v>176</v>
      </c>
      <c r="E93" s="954"/>
      <c r="F93" s="186" t="s">
        <v>40</v>
      </c>
      <c r="G93" s="857" t="s">
        <v>89</v>
      </c>
      <c r="H93" s="463" t="s">
        <v>91</v>
      </c>
      <c r="I93" s="725">
        <f>J93</f>
        <v>108.4</v>
      </c>
      <c r="J93" s="675">
        <v>108.4</v>
      </c>
      <c r="K93" s="675"/>
      <c r="L93" s="748"/>
      <c r="M93" s="827">
        <v>2802.7</v>
      </c>
      <c r="N93" s="827">
        <v>2999.4</v>
      </c>
      <c r="O93" s="129"/>
      <c r="P93" s="182"/>
      <c r="Q93" s="940"/>
      <c r="R93" s="942"/>
    </row>
    <row r="94" spans="1:21" ht="30" customHeight="1" x14ac:dyDescent="0.2">
      <c r="A94" s="860"/>
      <c r="B94" s="861"/>
      <c r="C94" s="862"/>
      <c r="D94" s="439" t="s">
        <v>170</v>
      </c>
      <c r="E94" s="441" t="s">
        <v>180</v>
      </c>
      <c r="F94" s="863"/>
      <c r="G94" s="864"/>
      <c r="H94" s="464"/>
      <c r="I94" s="648"/>
      <c r="J94" s="649"/>
      <c r="K94" s="649"/>
      <c r="L94" s="650"/>
      <c r="M94" s="816"/>
      <c r="N94" s="816"/>
      <c r="O94" s="129" t="s">
        <v>174</v>
      </c>
      <c r="P94" s="130">
        <v>1</v>
      </c>
      <c r="Q94" s="130"/>
      <c r="R94" s="126"/>
    </row>
    <row r="95" spans="1:21" ht="41.25" customHeight="1" x14ac:dyDescent="0.2">
      <c r="A95" s="865"/>
      <c r="B95" s="866"/>
      <c r="C95" s="862"/>
      <c r="D95" s="439" t="s">
        <v>171</v>
      </c>
      <c r="E95" s="440" t="s">
        <v>180</v>
      </c>
      <c r="F95" s="867"/>
      <c r="G95" s="868"/>
      <c r="H95" s="465"/>
      <c r="I95" s="634"/>
      <c r="J95" s="635"/>
      <c r="K95" s="635"/>
      <c r="L95" s="383"/>
      <c r="M95" s="804"/>
      <c r="N95" s="804"/>
      <c r="O95" s="178" t="s">
        <v>174</v>
      </c>
      <c r="P95" s="177">
        <v>1</v>
      </c>
      <c r="Q95" s="177"/>
      <c r="R95" s="131"/>
    </row>
    <row r="96" spans="1:21" ht="38.25" x14ac:dyDescent="0.2">
      <c r="A96" s="865"/>
      <c r="B96" s="866"/>
      <c r="C96" s="862"/>
      <c r="D96" s="194" t="s">
        <v>172</v>
      </c>
      <c r="E96" s="201" t="s">
        <v>181</v>
      </c>
      <c r="F96" s="867"/>
      <c r="G96" s="868"/>
      <c r="H96" s="465"/>
      <c r="I96" s="634"/>
      <c r="J96" s="635"/>
      <c r="K96" s="635"/>
      <c r="L96" s="383"/>
      <c r="M96" s="804"/>
      <c r="N96" s="804"/>
      <c r="O96" s="179" t="s">
        <v>174</v>
      </c>
      <c r="P96" s="180">
        <v>1</v>
      </c>
      <c r="Q96" s="180"/>
      <c r="R96" s="181"/>
    </row>
    <row r="97" spans="1:21" ht="38.25" x14ac:dyDescent="0.2">
      <c r="A97" s="865"/>
      <c r="B97" s="866"/>
      <c r="C97" s="862"/>
      <c r="D97" s="194" t="s">
        <v>173</v>
      </c>
      <c r="E97" s="869"/>
      <c r="F97" s="863"/>
      <c r="G97" s="864"/>
      <c r="H97" s="466"/>
      <c r="I97" s="669"/>
      <c r="J97" s="638"/>
      <c r="K97" s="638"/>
      <c r="L97" s="639"/>
      <c r="M97" s="814"/>
      <c r="N97" s="833"/>
      <c r="O97" s="129" t="s">
        <v>174</v>
      </c>
      <c r="P97" s="177">
        <v>1</v>
      </c>
      <c r="Q97" s="177"/>
      <c r="R97" s="131"/>
    </row>
    <row r="98" spans="1:21" ht="12.75" customHeight="1" x14ac:dyDescent="0.2">
      <c r="A98" s="1178"/>
      <c r="B98" s="1282"/>
      <c r="C98" s="1275"/>
      <c r="D98" s="1283" t="s">
        <v>163</v>
      </c>
      <c r="E98" s="1272" t="s">
        <v>90</v>
      </c>
      <c r="F98" s="1170" t="s">
        <v>52</v>
      </c>
      <c r="G98" s="1171" t="s">
        <v>89</v>
      </c>
      <c r="H98" s="467"/>
      <c r="I98" s="642"/>
      <c r="J98" s="643"/>
      <c r="K98" s="643"/>
      <c r="L98" s="644"/>
      <c r="M98" s="818"/>
      <c r="N98" s="818"/>
      <c r="O98" s="1286" t="s">
        <v>157</v>
      </c>
      <c r="P98" s="52"/>
      <c r="Q98" s="51">
        <v>1</v>
      </c>
      <c r="R98" s="172"/>
      <c r="U98" s="11"/>
    </row>
    <row r="99" spans="1:21" x14ac:dyDescent="0.2">
      <c r="A99" s="1178"/>
      <c r="B99" s="1282"/>
      <c r="C99" s="1275"/>
      <c r="D99" s="1283"/>
      <c r="E99" s="1272"/>
      <c r="F99" s="1170"/>
      <c r="G99" s="1171"/>
      <c r="H99" s="468"/>
      <c r="I99" s="634"/>
      <c r="J99" s="635"/>
      <c r="K99" s="635"/>
      <c r="L99" s="383"/>
      <c r="M99" s="801"/>
      <c r="N99" s="801"/>
      <c r="O99" s="1287"/>
      <c r="P99" s="127"/>
      <c r="Q99" s="128"/>
      <c r="R99" s="131"/>
      <c r="U99" s="11"/>
    </row>
    <row r="100" spans="1:21" x14ac:dyDescent="0.2">
      <c r="A100" s="1178"/>
      <c r="B100" s="1282"/>
      <c r="C100" s="1275"/>
      <c r="D100" s="1283"/>
      <c r="E100" s="1272"/>
      <c r="F100" s="1170"/>
      <c r="G100" s="1171"/>
      <c r="H100" s="468"/>
      <c r="I100" s="634"/>
      <c r="J100" s="635"/>
      <c r="K100" s="635"/>
      <c r="L100" s="383"/>
      <c r="M100" s="801"/>
      <c r="N100" s="801"/>
      <c r="O100" s="1288"/>
      <c r="P100" s="127"/>
      <c r="Q100" s="128"/>
      <c r="R100" s="131"/>
      <c r="U100" s="11"/>
    </row>
    <row r="101" spans="1:21" ht="17.25" customHeight="1" x14ac:dyDescent="0.2">
      <c r="A101" s="1178"/>
      <c r="B101" s="1282"/>
      <c r="C101" s="1275"/>
      <c r="D101" s="1284"/>
      <c r="E101" s="1276"/>
      <c r="F101" s="1285"/>
      <c r="G101" s="1210"/>
      <c r="H101" s="469"/>
      <c r="I101" s="669"/>
      <c r="J101" s="708"/>
      <c r="K101" s="708"/>
      <c r="L101" s="786"/>
      <c r="M101" s="814"/>
      <c r="N101" s="814"/>
      <c r="O101" s="1289"/>
      <c r="P101" s="57"/>
      <c r="Q101" s="57"/>
      <c r="R101" s="142"/>
      <c r="U101" s="11"/>
    </row>
    <row r="102" spans="1:21" ht="43.5" customHeight="1" x14ac:dyDescent="0.2">
      <c r="A102" s="1178"/>
      <c r="B102" s="1179"/>
      <c r="C102" s="1275"/>
      <c r="D102" s="132" t="s">
        <v>190</v>
      </c>
      <c r="E102" s="1272" t="s">
        <v>90</v>
      </c>
      <c r="F102" s="1220" t="s">
        <v>43</v>
      </c>
      <c r="G102" s="1171" t="s">
        <v>89</v>
      </c>
      <c r="H102" s="1105"/>
      <c r="I102" s="725"/>
      <c r="J102" s="675"/>
      <c r="K102" s="675"/>
      <c r="L102" s="748"/>
      <c r="M102" s="854"/>
      <c r="N102" s="854"/>
      <c r="O102" s="1106" t="s">
        <v>153</v>
      </c>
      <c r="P102" s="65"/>
      <c r="Q102" s="65">
        <v>1</v>
      </c>
      <c r="R102" s="66"/>
    </row>
    <row r="103" spans="1:21" ht="26.25" customHeight="1" x14ac:dyDescent="0.2">
      <c r="A103" s="1178"/>
      <c r="B103" s="1179"/>
      <c r="C103" s="1275"/>
      <c r="D103" s="1223" t="s">
        <v>243</v>
      </c>
      <c r="E103" s="1272"/>
      <c r="F103" s="1220"/>
      <c r="G103" s="1171"/>
      <c r="H103" s="134"/>
      <c r="I103" s="634"/>
      <c r="J103" s="635"/>
      <c r="K103" s="635"/>
      <c r="L103" s="383"/>
      <c r="M103" s="801"/>
      <c r="N103" s="801"/>
      <c r="O103" s="1088" t="s">
        <v>241</v>
      </c>
      <c r="P103" s="948">
        <v>1</v>
      </c>
      <c r="Q103" s="948"/>
      <c r="R103" s="950"/>
    </row>
    <row r="104" spans="1:21" ht="31.5" customHeight="1" thickBot="1" x14ac:dyDescent="0.25">
      <c r="A104" s="1178"/>
      <c r="B104" s="1179"/>
      <c r="C104" s="1275"/>
      <c r="D104" s="1277"/>
      <c r="E104" s="1276"/>
      <c r="F104" s="1221"/>
      <c r="G104" s="1210"/>
      <c r="H104" s="273" t="s">
        <v>10</v>
      </c>
      <c r="I104" s="731">
        <f>I93+I91</f>
        <v>177.60000000000002</v>
      </c>
      <c r="J104" s="658">
        <f>J93+J91</f>
        <v>127.60000000000001</v>
      </c>
      <c r="K104" s="658">
        <f>K93+K91</f>
        <v>0</v>
      </c>
      <c r="L104" s="659">
        <f>L93+L91</f>
        <v>50</v>
      </c>
      <c r="M104" s="834">
        <f>M91+M92+M93</f>
        <v>3180</v>
      </c>
      <c r="N104" s="835">
        <f>N91+N92+N93</f>
        <v>3242.7000000000003</v>
      </c>
      <c r="O104" s="938" t="s">
        <v>242</v>
      </c>
      <c r="P104" s="940">
        <v>2</v>
      </c>
      <c r="Q104" s="940"/>
      <c r="R104" s="942"/>
    </row>
    <row r="105" spans="1:21" ht="13.5" customHeight="1" thickBot="1" x14ac:dyDescent="0.25">
      <c r="A105" s="91" t="s">
        <v>9</v>
      </c>
      <c r="B105" s="9" t="s">
        <v>9</v>
      </c>
      <c r="C105" s="1292" t="s">
        <v>12</v>
      </c>
      <c r="D105" s="1292"/>
      <c r="E105" s="1292"/>
      <c r="F105" s="1292"/>
      <c r="G105" s="1292"/>
      <c r="H105" s="1292"/>
      <c r="I105" s="733">
        <f t="shared" ref="I105:N105" si="5">I104+I90+I86+I84+I78+I75+I59+I43+I32</f>
        <v>20935.699999999997</v>
      </c>
      <c r="J105" s="734">
        <f t="shared" si="5"/>
        <v>18931.400000000001</v>
      </c>
      <c r="K105" s="734">
        <f t="shared" si="5"/>
        <v>830.7</v>
      </c>
      <c r="L105" s="735">
        <f t="shared" si="5"/>
        <v>2004.3</v>
      </c>
      <c r="M105" s="736">
        <f t="shared" si="5"/>
        <v>22958.300000000003</v>
      </c>
      <c r="N105" s="733">
        <f t="shared" si="5"/>
        <v>21634.5</v>
      </c>
      <c r="O105" s="36"/>
      <c r="P105" s="37"/>
      <c r="Q105" s="37"/>
      <c r="R105" s="38"/>
    </row>
    <row r="106" spans="1:21" ht="16.5" customHeight="1" thickBot="1" x14ac:dyDescent="0.25">
      <c r="A106" s="91" t="s">
        <v>9</v>
      </c>
      <c r="B106" s="9" t="s">
        <v>11</v>
      </c>
      <c r="C106" s="1293" t="s">
        <v>70</v>
      </c>
      <c r="D106" s="1294"/>
      <c r="E106" s="1294"/>
      <c r="F106" s="1294"/>
      <c r="G106" s="1294"/>
      <c r="H106" s="1294"/>
      <c r="I106" s="1295"/>
      <c r="J106" s="1295"/>
      <c r="K106" s="1295"/>
      <c r="L106" s="1295"/>
      <c r="M106" s="1294"/>
      <c r="N106" s="1294"/>
      <c r="O106" s="1294"/>
      <c r="P106" s="1294"/>
      <c r="Q106" s="1294"/>
      <c r="R106" s="1296"/>
    </row>
    <row r="107" spans="1:21" ht="16.5" customHeight="1" x14ac:dyDescent="0.2">
      <c r="A107" s="1234" t="s">
        <v>9</v>
      </c>
      <c r="B107" s="1297" t="s">
        <v>11</v>
      </c>
      <c r="C107" s="1300" t="s">
        <v>9</v>
      </c>
      <c r="D107" s="1303" t="s">
        <v>107</v>
      </c>
      <c r="E107" s="1305"/>
      <c r="F107" s="1273" t="s">
        <v>53</v>
      </c>
      <c r="G107" s="1233" t="s">
        <v>39</v>
      </c>
      <c r="H107" s="17" t="s">
        <v>35</v>
      </c>
      <c r="I107" s="720">
        <f>J107+L107</f>
        <v>553.5</v>
      </c>
      <c r="J107" s="721">
        <v>553.5</v>
      </c>
      <c r="K107" s="721"/>
      <c r="L107" s="722"/>
      <c r="M107" s="619">
        <v>582</v>
      </c>
      <c r="N107" s="619">
        <v>582</v>
      </c>
      <c r="O107" s="1248" t="s">
        <v>73</v>
      </c>
      <c r="P107" s="912">
        <v>18</v>
      </c>
      <c r="Q107" s="912">
        <v>18</v>
      </c>
      <c r="R107" s="914">
        <v>18</v>
      </c>
      <c r="U107" s="11"/>
    </row>
    <row r="108" spans="1:21" ht="15.75" customHeight="1" x14ac:dyDescent="0.2">
      <c r="A108" s="1178"/>
      <c r="B108" s="1298"/>
      <c r="C108" s="1301"/>
      <c r="D108" s="1283"/>
      <c r="E108" s="1306"/>
      <c r="F108" s="1170"/>
      <c r="G108" s="1171"/>
      <c r="H108" s="24" t="s">
        <v>129</v>
      </c>
      <c r="I108" s="725">
        <f>J108+L108</f>
        <v>40.700000000000003</v>
      </c>
      <c r="J108" s="635">
        <v>40.700000000000003</v>
      </c>
      <c r="K108" s="635"/>
      <c r="L108" s="685"/>
      <c r="M108" s="789"/>
      <c r="N108" s="789"/>
      <c r="O108" s="1212"/>
      <c r="P108" s="29"/>
      <c r="Q108" s="29"/>
      <c r="R108" s="143"/>
      <c r="U108" s="11"/>
    </row>
    <row r="109" spans="1:21" ht="14.25" customHeight="1" x14ac:dyDescent="0.2">
      <c r="A109" s="1178"/>
      <c r="B109" s="1298"/>
      <c r="C109" s="1301"/>
      <c r="D109" s="1283"/>
      <c r="E109" s="1306"/>
      <c r="F109" s="1170"/>
      <c r="G109" s="1171"/>
      <c r="H109" s="18"/>
      <c r="I109" s="690">
        <f>J109+L109</f>
        <v>0</v>
      </c>
      <c r="J109" s="643"/>
      <c r="K109" s="643"/>
      <c r="L109" s="682"/>
      <c r="M109" s="822"/>
      <c r="N109" s="822"/>
      <c r="O109" s="1212"/>
      <c r="P109" s="29"/>
      <c r="Q109" s="29"/>
      <c r="R109" s="143"/>
      <c r="U109" s="11"/>
    </row>
    <row r="110" spans="1:21" ht="21.75" customHeight="1" thickBot="1" x14ac:dyDescent="0.25">
      <c r="A110" s="1256"/>
      <c r="B110" s="1299"/>
      <c r="C110" s="1302"/>
      <c r="D110" s="1304"/>
      <c r="E110" s="1307"/>
      <c r="F110" s="1274"/>
      <c r="G110" s="1254"/>
      <c r="H110" s="282" t="s">
        <v>10</v>
      </c>
      <c r="I110" s="694">
        <f t="shared" ref="I110:N110" si="6">SUM(I107:I109)</f>
        <v>594.20000000000005</v>
      </c>
      <c r="J110" s="713">
        <f t="shared" si="6"/>
        <v>594.20000000000005</v>
      </c>
      <c r="K110" s="713">
        <f t="shared" si="6"/>
        <v>0</v>
      </c>
      <c r="L110" s="713">
        <f t="shared" si="6"/>
        <v>0</v>
      </c>
      <c r="M110" s="621">
        <f t="shared" si="6"/>
        <v>582</v>
      </c>
      <c r="N110" s="621">
        <f t="shared" si="6"/>
        <v>582</v>
      </c>
      <c r="O110" s="16"/>
      <c r="P110" s="913"/>
      <c r="Q110" s="913"/>
      <c r="R110" s="915"/>
      <c r="U110" s="11"/>
    </row>
    <row r="111" spans="1:21" ht="12.75" customHeight="1" x14ac:dyDescent="0.2">
      <c r="A111" s="1234" t="s">
        <v>9</v>
      </c>
      <c r="B111" s="1297" t="s">
        <v>11</v>
      </c>
      <c r="C111" s="1300" t="s">
        <v>11</v>
      </c>
      <c r="D111" s="1303" t="s">
        <v>74</v>
      </c>
      <c r="E111" s="1305"/>
      <c r="F111" s="1273" t="s">
        <v>53</v>
      </c>
      <c r="G111" s="1233" t="s">
        <v>39</v>
      </c>
      <c r="H111" s="17" t="s">
        <v>35</v>
      </c>
      <c r="I111" s="720">
        <f>J111+L111</f>
        <v>0</v>
      </c>
      <c r="J111" s="721">
        <v>0</v>
      </c>
      <c r="K111" s="721"/>
      <c r="L111" s="722"/>
      <c r="M111" s="619">
        <v>5</v>
      </c>
      <c r="N111" s="619">
        <v>5</v>
      </c>
      <c r="O111" s="1248" t="s">
        <v>104</v>
      </c>
      <c r="P111" s="912">
        <v>3</v>
      </c>
      <c r="Q111" s="912">
        <v>3</v>
      </c>
      <c r="R111" s="914">
        <v>3</v>
      </c>
      <c r="U111" s="11"/>
    </row>
    <row r="112" spans="1:21" ht="12.75" customHeight="1" x14ac:dyDescent="0.2">
      <c r="A112" s="1178"/>
      <c r="B112" s="1298"/>
      <c r="C112" s="1301"/>
      <c r="D112" s="1283"/>
      <c r="E112" s="1306"/>
      <c r="F112" s="1170"/>
      <c r="G112" s="1171"/>
      <c r="H112" s="24" t="s">
        <v>129</v>
      </c>
      <c r="I112" s="725">
        <f>J112+L112</f>
        <v>2.5</v>
      </c>
      <c r="J112" s="635">
        <v>2.5</v>
      </c>
      <c r="K112" s="635"/>
      <c r="L112" s="685"/>
      <c r="M112" s="620"/>
      <c r="N112" s="620"/>
      <c r="O112" s="1212"/>
      <c r="P112" s="29"/>
      <c r="Q112" s="29"/>
      <c r="R112" s="143"/>
      <c r="U112" s="11"/>
    </row>
    <row r="113" spans="1:32" ht="13.5" thickBot="1" x14ac:dyDescent="0.25">
      <c r="A113" s="1256"/>
      <c r="B113" s="1299"/>
      <c r="C113" s="1302"/>
      <c r="D113" s="1304"/>
      <c r="E113" s="1307"/>
      <c r="F113" s="1274"/>
      <c r="G113" s="1254"/>
      <c r="H113" s="282" t="s">
        <v>10</v>
      </c>
      <c r="I113" s="694">
        <f>SUM(I111:I112)</f>
        <v>2.5</v>
      </c>
      <c r="J113" s="694">
        <f>SUM(J111:J112)</f>
        <v>2.5</v>
      </c>
      <c r="K113" s="713">
        <f>SUM(K111:K111)</f>
        <v>0</v>
      </c>
      <c r="L113" s="713">
        <f>SUM(L111:L111)</f>
        <v>0</v>
      </c>
      <c r="M113" s="621">
        <f>SUM(M111:M111)</f>
        <v>5</v>
      </c>
      <c r="N113" s="621">
        <f>SUM(N111:N111)</f>
        <v>5</v>
      </c>
      <c r="O113" s="1308"/>
      <c r="P113" s="913"/>
      <c r="Q113" s="913"/>
      <c r="R113" s="915"/>
      <c r="U113" s="11"/>
    </row>
    <row r="114" spans="1:32" ht="12.75" customHeight="1" x14ac:dyDescent="0.2">
      <c r="A114" s="1234" t="s">
        <v>9</v>
      </c>
      <c r="B114" s="1297" t="s">
        <v>11</v>
      </c>
      <c r="C114" s="1300" t="s">
        <v>37</v>
      </c>
      <c r="D114" s="1303" t="s">
        <v>103</v>
      </c>
      <c r="E114" s="1305"/>
      <c r="F114" s="1273" t="s">
        <v>53</v>
      </c>
      <c r="G114" s="1233" t="s">
        <v>39</v>
      </c>
      <c r="H114" s="423" t="s">
        <v>35</v>
      </c>
      <c r="I114" s="740">
        <f>J114+L114</f>
        <v>214.7</v>
      </c>
      <c r="J114" s="741">
        <v>214.7</v>
      </c>
      <c r="K114" s="663"/>
      <c r="L114" s="673"/>
      <c r="M114" s="622">
        <v>101.4</v>
      </c>
      <c r="N114" s="622">
        <v>101.4</v>
      </c>
      <c r="O114" s="1248" t="s">
        <v>75</v>
      </c>
      <c r="P114" s="912">
        <v>350</v>
      </c>
      <c r="Q114" s="912">
        <v>350</v>
      </c>
      <c r="R114" s="914">
        <v>350</v>
      </c>
      <c r="U114" s="11"/>
    </row>
    <row r="115" spans="1:32" ht="15.75" customHeight="1" x14ac:dyDescent="0.2">
      <c r="A115" s="1178"/>
      <c r="B115" s="1298"/>
      <c r="C115" s="1301"/>
      <c r="D115" s="1283"/>
      <c r="E115" s="1306"/>
      <c r="F115" s="1170"/>
      <c r="G115" s="1171"/>
      <c r="H115" s="24" t="s">
        <v>129</v>
      </c>
      <c r="I115" s="725">
        <f>J115+L115</f>
        <v>2.9</v>
      </c>
      <c r="J115" s="675">
        <v>2.9</v>
      </c>
      <c r="K115" s="675"/>
      <c r="L115" s="748"/>
      <c r="M115" s="789"/>
      <c r="N115" s="789"/>
      <c r="O115" s="1212"/>
      <c r="P115" s="29"/>
      <c r="Q115" s="29"/>
      <c r="R115" s="143"/>
      <c r="U115" s="11"/>
    </row>
    <row r="116" spans="1:32" x14ac:dyDescent="0.2">
      <c r="A116" s="1178"/>
      <c r="B116" s="1298"/>
      <c r="C116" s="1301"/>
      <c r="D116" s="1283"/>
      <c r="E116" s="1306"/>
      <c r="F116" s="1170"/>
      <c r="G116" s="1171"/>
      <c r="H116" s="18"/>
      <c r="I116" s="634"/>
      <c r="J116" s="635"/>
      <c r="K116" s="635"/>
      <c r="L116" s="685"/>
      <c r="M116" s="789"/>
      <c r="N116" s="789"/>
      <c r="O116" s="1212" t="s">
        <v>76</v>
      </c>
      <c r="P116" s="29">
        <v>30</v>
      </c>
      <c r="Q116" s="29">
        <v>30</v>
      </c>
      <c r="R116" s="143">
        <v>30</v>
      </c>
      <c r="U116" s="11"/>
    </row>
    <row r="117" spans="1:32" ht="24" customHeight="1" x14ac:dyDescent="0.2">
      <c r="A117" s="1178"/>
      <c r="B117" s="1298"/>
      <c r="C117" s="1301"/>
      <c r="D117" s="1283"/>
      <c r="E117" s="1306"/>
      <c r="F117" s="1170"/>
      <c r="G117" s="1171"/>
      <c r="H117" s="18"/>
      <c r="I117" s="690"/>
      <c r="J117" s="635"/>
      <c r="K117" s="635"/>
      <c r="L117" s="685"/>
      <c r="M117" s="803"/>
      <c r="N117" s="803"/>
      <c r="O117" s="1212"/>
      <c r="P117" s="29"/>
      <c r="Q117" s="29"/>
      <c r="R117" s="143"/>
      <c r="U117" s="11"/>
    </row>
    <row r="118" spans="1:32" ht="17.25" customHeight="1" thickBot="1" x14ac:dyDescent="0.25">
      <c r="A118" s="1256"/>
      <c r="B118" s="1299"/>
      <c r="C118" s="1302"/>
      <c r="D118" s="1304"/>
      <c r="E118" s="1307"/>
      <c r="F118" s="1274"/>
      <c r="G118" s="1254"/>
      <c r="H118" s="282" t="s">
        <v>10</v>
      </c>
      <c r="I118" s="694">
        <f t="shared" ref="I118:N118" si="7">SUM(I114:I117)</f>
        <v>217.6</v>
      </c>
      <c r="J118" s="713">
        <f t="shared" si="7"/>
        <v>217.6</v>
      </c>
      <c r="K118" s="713">
        <f t="shared" si="7"/>
        <v>0</v>
      </c>
      <c r="L118" s="713">
        <f t="shared" si="7"/>
        <v>0</v>
      </c>
      <c r="M118" s="621">
        <f t="shared" si="7"/>
        <v>101.4</v>
      </c>
      <c r="N118" s="621">
        <f t="shared" si="7"/>
        <v>101.4</v>
      </c>
      <c r="O118" s="16" t="s">
        <v>137</v>
      </c>
      <c r="P118" s="913">
        <v>30</v>
      </c>
      <c r="Q118" s="913">
        <v>30</v>
      </c>
      <c r="R118" s="915">
        <v>30</v>
      </c>
      <c r="U118" s="11"/>
    </row>
    <row r="119" spans="1:32" ht="15.75" customHeight="1" x14ac:dyDescent="0.2">
      <c r="A119" s="1234" t="s">
        <v>9</v>
      </c>
      <c r="B119" s="1297" t="s">
        <v>11</v>
      </c>
      <c r="C119" s="1300" t="s">
        <v>52</v>
      </c>
      <c r="D119" s="1303" t="s">
        <v>79</v>
      </c>
      <c r="E119" s="1305"/>
      <c r="F119" s="1273" t="s">
        <v>53</v>
      </c>
      <c r="G119" s="1233" t="s">
        <v>39</v>
      </c>
      <c r="H119" s="17" t="s">
        <v>35</v>
      </c>
      <c r="I119" s="720">
        <f>J119+L119</f>
        <v>0</v>
      </c>
      <c r="J119" s="721">
        <v>0</v>
      </c>
      <c r="K119" s="721"/>
      <c r="L119" s="722"/>
      <c r="M119" s="619">
        <v>6</v>
      </c>
      <c r="N119" s="619">
        <v>6</v>
      </c>
      <c r="O119" s="902" t="s">
        <v>80</v>
      </c>
      <c r="P119" s="912">
        <v>20</v>
      </c>
      <c r="Q119" s="912">
        <v>20</v>
      </c>
      <c r="R119" s="914">
        <v>20</v>
      </c>
      <c r="U119" s="11"/>
    </row>
    <row r="120" spans="1:32" ht="13.5" thickBot="1" x14ac:dyDescent="0.25">
      <c r="A120" s="1256"/>
      <c r="B120" s="1299"/>
      <c r="C120" s="1302"/>
      <c r="D120" s="1304"/>
      <c r="E120" s="1307"/>
      <c r="F120" s="1274"/>
      <c r="G120" s="1254"/>
      <c r="H120" s="282" t="s">
        <v>10</v>
      </c>
      <c r="I120" s="694">
        <f t="shared" ref="I120:N120" si="8">SUM(I119:I119)</f>
        <v>0</v>
      </c>
      <c r="J120" s="713">
        <f t="shared" si="8"/>
        <v>0</v>
      </c>
      <c r="K120" s="713">
        <f t="shared" si="8"/>
        <v>0</v>
      </c>
      <c r="L120" s="713">
        <f t="shared" si="8"/>
        <v>0</v>
      </c>
      <c r="M120" s="621">
        <f t="shared" si="8"/>
        <v>6</v>
      </c>
      <c r="N120" s="621">
        <f t="shared" si="8"/>
        <v>6</v>
      </c>
      <c r="O120" s="16"/>
      <c r="P120" s="913"/>
      <c r="Q120" s="913"/>
      <c r="R120" s="915"/>
      <c r="U120" s="11"/>
    </row>
    <row r="121" spans="1:32" ht="41.25" customHeight="1" x14ac:dyDescent="0.2">
      <c r="A121" s="1234" t="s">
        <v>9</v>
      </c>
      <c r="B121" s="1297" t="s">
        <v>11</v>
      </c>
      <c r="C121" s="1300" t="s">
        <v>53</v>
      </c>
      <c r="D121" s="1311" t="s">
        <v>88</v>
      </c>
      <c r="E121" s="1271" t="s">
        <v>90</v>
      </c>
      <c r="F121" s="1273" t="s">
        <v>40</v>
      </c>
      <c r="G121" s="1233" t="s">
        <v>89</v>
      </c>
      <c r="H121" s="283" t="s">
        <v>35</v>
      </c>
      <c r="I121" s="720">
        <f>J121+L121</f>
        <v>75.2</v>
      </c>
      <c r="J121" s="721"/>
      <c r="K121" s="721"/>
      <c r="L121" s="722">
        <v>75.2</v>
      </c>
      <c r="M121" s="821"/>
      <c r="N121" s="821"/>
      <c r="O121" s="1248" t="s">
        <v>136</v>
      </c>
      <c r="P121" s="1399"/>
      <c r="Q121" s="912"/>
      <c r="R121" s="914"/>
      <c r="U121" s="11"/>
      <c r="V121" s="12"/>
      <c r="W121" s="12"/>
      <c r="X121" s="12"/>
    </row>
    <row r="122" spans="1:32" ht="27.75" customHeight="1" x14ac:dyDescent="0.2">
      <c r="A122" s="1178"/>
      <c r="B122" s="1298"/>
      <c r="C122" s="1301"/>
      <c r="D122" s="1312"/>
      <c r="E122" s="1272"/>
      <c r="F122" s="1170"/>
      <c r="G122" s="1171"/>
      <c r="H122" s="284" t="s">
        <v>129</v>
      </c>
      <c r="I122" s="725">
        <f>J122+L122</f>
        <v>400</v>
      </c>
      <c r="J122" s="635"/>
      <c r="K122" s="635"/>
      <c r="L122" s="685">
        <v>400</v>
      </c>
      <c r="M122" s="789"/>
      <c r="N122" s="789"/>
      <c r="O122" s="1212"/>
      <c r="P122" s="1400"/>
      <c r="Q122" s="29"/>
      <c r="R122" s="143"/>
      <c r="U122" s="11"/>
      <c r="V122" s="12"/>
      <c r="W122" s="12"/>
      <c r="X122" s="12"/>
    </row>
    <row r="123" spans="1:32" ht="15" customHeight="1" thickBot="1" x14ac:dyDescent="0.25">
      <c r="A123" s="1256"/>
      <c r="B123" s="1299"/>
      <c r="C123" s="1302"/>
      <c r="D123" s="1313"/>
      <c r="E123" s="1314"/>
      <c r="F123" s="1274"/>
      <c r="G123" s="1254"/>
      <c r="H123" s="282" t="s">
        <v>10</v>
      </c>
      <c r="I123" s="694">
        <f t="shared" ref="I123:N123" si="9">SUM(I121:I122)</f>
        <v>475.2</v>
      </c>
      <c r="J123" s="713">
        <f t="shared" si="9"/>
        <v>0</v>
      </c>
      <c r="K123" s="713">
        <f t="shared" si="9"/>
        <v>0</v>
      </c>
      <c r="L123" s="713">
        <f t="shared" si="9"/>
        <v>475.2</v>
      </c>
      <c r="M123" s="621">
        <f t="shared" si="9"/>
        <v>0</v>
      </c>
      <c r="N123" s="621">
        <f t="shared" si="9"/>
        <v>0</v>
      </c>
      <c r="O123" s="1255"/>
      <c r="P123" s="426">
        <v>100</v>
      </c>
      <c r="Q123" s="913"/>
      <c r="R123" s="915"/>
      <c r="U123" s="11"/>
      <c r="V123" s="12"/>
      <c r="W123" s="12"/>
      <c r="X123" s="12"/>
    </row>
    <row r="124" spans="1:32" ht="15.75" customHeight="1" x14ac:dyDescent="0.2">
      <c r="A124" s="1234" t="s">
        <v>9</v>
      </c>
      <c r="B124" s="1297" t="s">
        <v>11</v>
      </c>
      <c r="C124" s="1300" t="s">
        <v>40</v>
      </c>
      <c r="D124" s="1309" t="s">
        <v>95</v>
      </c>
      <c r="E124" s="1305"/>
      <c r="F124" s="1273" t="s">
        <v>53</v>
      </c>
      <c r="G124" s="1233" t="s">
        <v>39</v>
      </c>
      <c r="H124" s="283" t="s">
        <v>35</v>
      </c>
      <c r="I124" s="720">
        <f>J124+L124</f>
        <v>105.3</v>
      </c>
      <c r="J124" s="721"/>
      <c r="K124" s="721"/>
      <c r="L124" s="779">
        <f>100.3+5</f>
        <v>105.3</v>
      </c>
      <c r="M124" s="619">
        <v>100</v>
      </c>
      <c r="N124" s="619"/>
      <c r="O124" s="931" t="s">
        <v>77</v>
      </c>
      <c r="P124" s="912"/>
      <c r="Q124" s="912">
        <v>1</v>
      </c>
      <c r="R124" s="914"/>
      <c r="U124" s="11"/>
      <c r="V124" s="12"/>
      <c r="W124" s="12"/>
      <c r="X124" s="12"/>
    </row>
    <row r="125" spans="1:32" ht="13.5" thickBot="1" x14ac:dyDescent="0.25">
      <c r="A125" s="1256"/>
      <c r="B125" s="1299"/>
      <c r="C125" s="1302"/>
      <c r="D125" s="1310"/>
      <c r="E125" s="1307"/>
      <c r="F125" s="1274"/>
      <c r="G125" s="1254"/>
      <c r="H125" s="282" t="s">
        <v>10</v>
      </c>
      <c r="I125" s="694">
        <f t="shared" ref="I125:N125" si="10">SUM(I124:I124)</f>
        <v>105.3</v>
      </c>
      <c r="J125" s="713">
        <f t="shared" si="10"/>
        <v>0</v>
      </c>
      <c r="K125" s="713">
        <f t="shared" si="10"/>
        <v>0</v>
      </c>
      <c r="L125" s="713">
        <f t="shared" si="10"/>
        <v>105.3</v>
      </c>
      <c r="M125" s="621">
        <f t="shared" si="10"/>
        <v>100</v>
      </c>
      <c r="N125" s="621">
        <f t="shared" si="10"/>
        <v>0</v>
      </c>
      <c r="O125" s="16"/>
      <c r="P125" s="913"/>
      <c r="Q125" s="913"/>
      <c r="R125" s="915"/>
      <c r="U125" s="11"/>
      <c r="V125" s="12"/>
      <c r="W125" s="12"/>
      <c r="X125" s="12"/>
    </row>
    <row r="126" spans="1:32" x14ac:dyDescent="0.2">
      <c r="A126" s="1234" t="s">
        <v>9</v>
      </c>
      <c r="B126" s="1297" t="s">
        <v>11</v>
      </c>
      <c r="C126" s="1300" t="s">
        <v>54</v>
      </c>
      <c r="D126" s="1309" t="s">
        <v>106</v>
      </c>
      <c r="E126" s="1305"/>
      <c r="F126" s="1273" t="s">
        <v>53</v>
      </c>
      <c r="G126" s="1233" t="s">
        <v>39</v>
      </c>
      <c r="H126" s="17" t="s">
        <v>35</v>
      </c>
      <c r="I126" s="720">
        <f>J126+L126</f>
        <v>6.3000000000000007</v>
      </c>
      <c r="J126" s="721">
        <f>20-13.7</f>
        <v>6.3000000000000007</v>
      </c>
      <c r="K126" s="721"/>
      <c r="L126" s="722"/>
      <c r="M126" s="619"/>
      <c r="N126" s="619"/>
      <c r="O126" s="931" t="s">
        <v>78</v>
      </c>
      <c r="P126" s="912">
        <v>150</v>
      </c>
      <c r="Q126" s="912"/>
      <c r="R126" s="914"/>
      <c r="U126" s="11"/>
    </row>
    <row r="127" spans="1:32" ht="13.5" thickBot="1" x14ac:dyDescent="0.25">
      <c r="A127" s="1256"/>
      <c r="B127" s="1299"/>
      <c r="C127" s="1302"/>
      <c r="D127" s="1310"/>
      <c r="E127" s="1307"/>
      <c r="F127" s="1274"/>
      <c r="G127" s="1254"/>
      <c r="H127" s="282" t="s">
        <v>10</v>
      </c>
      <c r="I127" s="694">
        <f t="shared" ref="I127:N127" si="11">SUM(I126:I126)</f>
        <v>6.3000000000000007</v>
      </c>
      <c r="J127" s="713">
        <f t="shared" si="11"/>
        <v>6.3000000000000007</v>
      </c>
      <c r="K127" s="713">
        <f t="shared" si="11"/>
        <v>0</v>
      </c>
      <c r="L127" s="713">
        <f t="shared" si="11"/>
        <v>0</v>
      </c>
      <c r="M127" s="621">
        <f t="shared" si="11"/>
        <v>0</v>
      </c>
      <c r="N127" s="621">
        <f t="shared" si="11"/>
        <v>0</v>
      </c>
      <c r="O127" s="16"/>
      <c r="P127" s="913"/>
      <c r="Q127" s="913"/>
      <c r="R127" s="915"/>
      <c r="U127" s="11"/>
    </row>
    <row r="128" spans="1:32" ht="13.5" thickBot="1" x14ac:dyDescent="0.25">
      <c r="A128" s="97" t="s">
        <v>9</v>
      </c>
      <c r="B128" s="9" t="s">
        <v>11</v>
      </c>
      <c r="C128" s="1292" t="s">
        <v>12</v>
      </c>
      <c r="D128" s="1292"/>
      <c r="E128" s="1292"/>
      <c r="F128" s="1292"/>
      <c r="G128" s="1292"/>
      <c r="H128" s="1318"/>
      <c r="I128" s="736">
        <f t="shared" ref="I128:N128" si="12">SUM(I123,I120,I127,I125,I118,I113,I110)</f>
        <v>1401.1</v>
      </c>
      <c r="J128" s="736">
        <f t="shared" si="12"/>
        <v>820.6</v>
      </c>
      <c r="K128" s="736">
        <f t="shared" si="12"/>
        <v>0</v>
      </c>
      <c r="L128" s="736">
        <f t="shared" si="12"/>
        <v>580.5</v>
      </c>
      <c r="M128" s="736">
        <f t="shared" si="12"/>
        <v>794.4</v>
      </c>
      <c r="N128" s="736">
        <f t="shared" si="12"/>
        <v>694.4</v>
      </c>
      <c r="O128" s="1373"/>
      <c r="P128" s="1374"/>
      <c r="Q128" s="1374"/>
      <c r="R128" s="1375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spans="1:32" ht="15" customHeight="1" thickBot="1" x14ac:dyDescent="0.25">
      <c r="A129" s="91" t="s">
        <v>9</v>
      </c>
      <c r="B129" s="9" t="s">
        <v>37</v>
      </c>
      <c r="C129" s="1293" t="s">
        <v>71</v>
      </c>
      <c r="D129" s="1294"/>
      <c r="E129" s="1294"/>
      <c r="F129" s="1294"/>
      <c r="G129" s="1294"/>
      <c r="H129" s="1294"/>
      <c r="I129" s="1294"/>
      <c r="J129" s="1294"/>
      <c r="K129" s="1294"/>
      <c r="L129" s="1294"/>
      <c r="M129" s="1294"/>
      <c r="N129" s="1294"/>
      <c r="O129" s="1294"/>
      <c r="P129" s="1294"/>
      <c r="Q129" s="1294"/>
      <c r="R129" s="1296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</row>
    <row r="130" spans="1:32" ht="12.75" customHeight="1" x14ac:dyDescent="0.2">
      <c r="A130" s="1234" t="s">
        <v>9</v>
      </c>
      <c r="B130" s="1297" t="s">
        <v>37</v>
      </c>
      <c r="C130" s="1300" t="s">
        <v>9</v>
      </c>
      <c r="D130" s="1303" t="s">
        <v>81</v>
      </c>
      <c r="E130" s="1397"/>
      <c r="F130" s="1273" t="s">
        <v>53</v>
      </c>
      <c r="G130" s="1263" t="s">
        <v>39</v>
      </c>
      <c r="H130" s="283" t="s">
        <v>35</v>
      </c>
      <c r="I130" s="742">
        <f>J130+L130</f>
        <v>2388.5</v>
      </c>
      <c r="J130" s="743">
        <f>1233.5+1155</f>
        <v>2388.5</v>
      </c>
      <c r="K130" s="721"/>
      <c r="L130" s="722"/>
      <c r="M130" s="821">
        <v>2006.3</v>
      </c>
      <c r="N130" s="821">
        <v>2006.3</v>
      </c>
      <c r="O130" s="1248" t="s">
        <v>196</v>
      </c>
      <c r="P130" s="921">
        <v>3.7</v>
      </c>
      <c r="Q130" s="921">
        <v>3.7</v>
      </c>
      <c r="R130" s="848">
        <v>3.7</v>
      </c>
      <c r="U130" s="11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</row>
    <row r="131" spans="1:32" x14ac:dyDescent="0.2">
      <c r="A131" s="1178"/>
      <c r="B131" s="1298"/>
      <c r="C131" s="1301"/>
      <c r="D131" s="1283"/>
      <c r="E131" s="1182"/>
      <c r="F131" s="1170"/>
      <c r="G131" s="1264"/>
      <c r="H131" s="284" t="s">
        <v>129</v>
      </c>
      <c r="I131" s="725">
        <f>J131+L131</f>
        <v>100</v>
      </c>
      <c r="J131" s="635">
        <v>100</v>
      </c>
      <c r="K131" s="635"/>
      <c r="L131" s="685"/>
      <c r="M131" s="789"/>
      <c r="N131" s="789"/>
      <c r="O131" s="1212"/>
      <c r="P131" s="849"/>
      <c r="Q131" s="29"/>
      <c r="R131" s="143"/>
      <c r="U131" s="11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spans="1:32" ht="15" customHeight="1" x14ac:dyDescent="0.2">
      <c r="A132" s="1178"/>
      <c r="B132" s="1298"/>
      <c r="C132" s="1301"/>
      <c r="D132" s="1283"/>
      <c r="E132" s="1182"/>
      <c r="F132" s="1170"/>
      <c r="G132" s="1264"/>
      <c r="H132" s="368"/>
      <c r="I132" s="690"/>
      <c r="J132" s="643"/>
      <c r="K132" s="643"/>
      <c r="L132" s="682"/>
      <c r="M132" s="822"/>
      <c r="N132" s="822"/>
      <c r="O132" s="1212"/>
      <c r="P132" s="29"/>
      <c r="Q132" s="29"/>
      <c r="R132" s="143"/>
      <c r="U132" s="11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spans="1:32" ht="16.5" customHeight="1" thickBot="1" x14ac:dyDescent="0.25">
      <c r="A133" s="1256"/>
      <c r="B133" s="1299"/>
      <c r="C133" s="1302"/>
      <c r="D133" s="1304"/>
      <c r="E133" s="1398"/>
      <c r="F133" s="1274"/>
      <c r="G133" s="1265"/>
      <c r="H133" s="282" t="s">
        <v>10</v>
      </c>
      <c r="I133" s="694">
        <f t="shared" ref="I133:N133" si="13">SUM(I130:I132)</f>
        <v>2488.5</v>
      </c>
      <c r="J133" s="713">
        <f t="shared" si="13"/>
        <v>2488.5</v>
      </c>
      <c r="K133" s="713">
        <f t="shared" si="13"/>
        <v>0</v>
      </c>
      <c r="L133" s="713">
        <f t="shared" si="13"/>
        <v>0</v>
      </c>
      <c r="M133" s="621">
        <f t="shared" si="13"/>
        <v>2006.3</v>
      </c>
      <c r="N133" s="621">
        <f t="shared" si="13"/>
        <v>2006.3</v>
      </c>
      <c r="O133" s="1255"/>
      <c r="P133" s="913"/>
      <c r="Q133" s="913"/>
      <c r="R133" s="915"/>
      <c r="U133" s="11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</row>
    <row r="134" spans="1:32" ht="17.25" customHeight="1" x14ac:dyDescent="0.2">
      <c r="A134" s="1234" t="s">
        <v>9</v>
      </c>
      <c r="B134" s="1297" t="s">
        <v>37</v>
      </c>
      <c r="C134" s="1300" t="s">
        <v>11</v>
      </c>
      <c r="D134" s="1303" t="s">
        <v>244</v>
      </c>
      <c r="E134" s="1397"/>
      <c r="F134" s="1273" t="s">
        <v>40</v>
      </c>
      <c r="G134" s="1263" t="s">
        <v>39</v>
      </c>
      <c r="H134" s="283" t="s">
        <v>35</v>
      </c>
      <c r="I134" s="720">
        <f>J134+L134</f>
        <v>0</v>
      </c>
      <c r="J134" s="721"/>
      <c r="K134" s="721"/>
      <c r="L134" s="722"/>
      <c r="M134" s="821"/>
      <c r="N134" s="821"/>
      <c r="O134" s="1248" t="s">
        <v>245</v>
      </c>
      <c r="P134" s="912">
        <v>6</v>
      </c>
      <c r="Q134" s="912"/>
      <c r="R134" s="914"/>
      <c r="U134" s="11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</row>
    <row r="135" spans="1:32" ht="19.5" customHeight="1" x14ac:dyDescent="0.2">
      <c r="A135" s="1178"/>
      <c r="B135" s="1298"/>
      <c r="C135" s="1301"/>
      <c r="D135" s="1283"/>
      <c r="E135" s="1182"/>
      <c r="F135" s="1170"/>
      <c r="G135" s="1264"/>
      <c r="H135" s="284" t="s">
        <v>93</v>
      </c>
      <c r="I135" s="725">
        <f>J135+L135</f>
        <v>7.2</v>
      </c>
      <c r="J135" s="635">
        <v>7.2</v>
      </c>
      <c r="K135" s="635"/>
      <c r="L135" s="685"/>
      <c r="M135" s="789"/>
      <c r="N135" s="789"/>
      <c r="O135" s="1212"/>
      <c r="P135" s="29"/>
      <c r="Q135" s="29"/>
      <c r="R135" s="143"/>
      <c r="U135" s="11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</row>
    <row r="136" spans="1:32" ht="21" customHeight="1" thickBot="1" x14ac:dyDescent="0.25">
      <c r="A136" s="1256"/>
      <c r="B136" s="1299"/>
      <c r="C136" s="1302"/>
      <c r="D136" s="1304"/>
      <c r="E136" s="1398"/>
      <c r="F136" s="1274"/>
      <c r="G136" s="1265"/>
      <c r="H136" s="282" t="s">
        <v>10</v>
      </c>
      <c r="I136" s="694">
        <f t="shared" ref="I136:N136" si="14">SUM(I134:I135)</f>
        <v>7.2</v>
      </c>
      <c r="J136" s="713">
        <f t="shared" si="14"/>
        <v>7.2</v>
      </c>
      <c r="K136" s="713">
        <f t="shared" si="14"/>
        <v>0</v>
      </c>
      <c r="L136" s="713">
        <f t="shared" si="14"/>
        <v>0</v>
      </c>
      <c r="M136" s="621">
        <f t="shared" si="14"/>
        <v>0</v>
      </c>
      <c r="N136" s="621">
        <f t="shared" si="14"/>
        <v>0</v>
      </c>
      <c r="O136" s="16"/>
      <c r="P136" s="913"/>
      <c r="Q136" s="913"/>
      <c r="R136" s="915"/>
      <c r="U136" s="11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3.5" thickBot="1" x14ac:dyDescent="0.25">
      <c r="A137" s="97" t="s">
        <v>9</v>
      </c>
      <c r="B137" s="9" t="s">
        <v>37</v>
      </c>
      <c r="C137" s="1292" t="s">
        <v>12</v>
      </c>
      <c r="D137" s="1292"/>
      <c r="E137" s="1292"/>
      <c r="F137" s="1292"/>
      <c r="G137" s="1292"/>
      <c r="H137" s="1318"/>
      <c r="I137" s="736">
        <f>I136+I133</f>
        <v>2495.6999999999998</v>
      </c>
      <c r="J137" s="736">
        <f t="shared" ref="J137:N137" si="15">J136+J133</f>
        <v>2495.6999999999998</v>
      </c>
      <c r="K137" s="736">
        <f t="shared" si="15"/>
        <v>0</v>
      </c>
      <c r="L137" s="736">
        <f t="shared" si="15"/>
        <v>0</v>
      </c>
      <c r="M137" s="736">
        <f t="shared" si="15"/>
        <v>2006.3</v>
      </c>
      <c r="N137" s="736">
        <f t="shared" si="15"/>
        <v>2006.3</v>
      </c>
      <c r="O137" s="1373"/>
      <c r="P137" s="1374"/>
      <c r="Q137" s="1374"/>
      <c r="R137" s="1375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1:32" ht="13.5" thickBot="1" x14ac:dyDescent="0.25">
      <c r="A138" s="91" t="s">
        <v>9</v>
      </c>
      <c r="B138" s="9" t="s">
        <v>52</v>
      </c>
      <c r="C138" s="1319" t="s">
        <v>72</v>
      </c>
      <c r="D138" s="1320"/>
      <c r="E138" s="1320"/>
      <c r="F138" s="1320"/>
      <c r="G138" s="1320"/>
      <c r="H138" s="1320"/>
      <c r="I138" s="1320"/>
      <c r="J138" s="1320"/>
      <c r="K138" s="1320"/>
      <c r="L138" s="1320"/>
      <c r="M138" s="1320"/>
      <c r="N138" s="1320"/>
      <c r="O138" s="1320"/>
      <c r="P138" s="1320"/>
      <c r="Q138" s="1320"/>
      <c r="R138" s="132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2" ht="25.5" x14ac:dyDescent="0.2">
      <c r="A139" s="916" t="s">
        <v>9</v>
      </c>
      <c r="B139" s="917" t="s">
        <v>52</v>
      </c>
      <c r="C139" s="943" t="s">
        <v>9</v>
      </c>
      <c r="D139" s="951" t="s">
        <v>164</v>
      </c>
      <c r="E139" s="945"/>
      <c r="F139" s="971"/>
      <c r="G139" s="922"/>
      <c r="H139" s="626" t="s">
        <v>129</v>
      </c>
      <c r="I139" s="720">
        <f>J139+L139</f>
        <v>8.5</v>
      </c>
      <c r="J139" s="721">
        <v>8.5</v>
      </c>
      <c r="K139" s="721"/>
      <c r="L139" s="779"/>
      <c r="M139" s="789"/>
      <c r="N139" s="802"/>
      <c r="O139" s="962"/>
      <c r="P139" s="852"/>
      <c r="Q139" s="852"/>
      <c r="R139" s="143"/>
      <c r="S139" s="69"/>
      <c r="U139" s="11"/>
    </row>
    <row r="140" spans="1:32" ht="12.75" customHeight="1" x14ac:dyDescent="0.2">
      <c r="A140" s="967"/>
      <c r="B140" s="969"/>
      <c r="C140" s="963"/>
      <c r="D140" s="1164" t="s">
        <v>82</v>
      </c>
      <c r="E140" s="919"/>
      <c r="F140" s="920" t="s">
        <v>53</v>
      </c>
      <c r="G140" s="965" t="s">
        <v>39</v>
      </c>
      <c r="H140" s="625" t="s">
        <v>35</v>
      </c>
      <c r="I140" s="634">
        <f>J140+L140</f>
        <v>275.7</v>
      </c>
      <c r="J140" s="635">
        <v>275.7</v>
      </c>
      <c r="K140" s="635"/>
      <c r="L140" s="685"/>
      <c r="M140" s="886">
        <v>266</v>
      </c>
      <c r="N140" s="887">
        <v>266</v>
      </c>
      <c r="O140" s="1212" t="s">
        <v>83</v>
      </c>
      <c r="P140" s="29">
        <v>285</v>
      </c>
      <c r="Q140" s="29">
        <v>285</v>
      </c>
      <c r="R140" s="143">
        <v>285</v>
      </c>
    </row>
    <row r="141" spans="1:32" ht="18" customHeight="1" thickBot="1" x14ac:dyDescent="0.25">
      <c r="A141" s="907"/>
      <c r="B141" s="909"/>
      <c r="C141" s="964"/>
      <c r="D141" s="1260"/>
      <c r="E141" s="870"/>
      <c r="F141" s="904"/>
      <c r="G141" s="906"/>
      <c r="H141" s="285" t="s">
        <v>10</v>
      </c>
      <c r="I141" s="694">
        <f>I140+I139</f>
        <v>284.2</v>
      </c>
      <c r="J141" s="694">
        <f>J140+J139</f>
        <v>284.2</v>
      </c>
      <c r="K141" s="694">
        <f>K140</f>
        <v>0</v>
      </c>
      <c r="L141" s="695">
        <f>L140</f>
        <v>0</v>
      </c>
      <c r="M141" s="621">
        <f>M140</f>
        <v>266</v>
      </c>
      <c r="N141" s="694">
        <f>N140</f>
        <v>266</v>
      </c>
      <c r="O141" s="1255"/>
      <c r="P141" s="913"/>
      <c r="Q141" s="31"/>
      <c r="R141" s="915"/>
      <c r="U141" s="11"/>
    </row>
    <row r="142" spans="1:32" ht="16.5" customHeight="1" x14ac:dyDescent="0.2">
      <c r="A142" s="1234" t="s">
        <v>9</v>
      </c>
      <c r="B142" s="1297" t="s">
        <v>52</v>
      </c>
      <c r="C142" s="1371" t="s">
        <v>11</v>
      </c>
      <c r="D142" s="1259" t="s">
        <v>124</v>
      </c>
      <c r="E142" s="1271"/>
      <c r="F142" s="1315" t="s">
        <v>40</v>
      </c>
      <c r="G142" s="1233" t="s">
        <v>39</v>
      </c>
      <c r="H142" s="13" t="s">
        <v>35</v>
      </c>
      <c r="I142" s="1006">
        <f>J142+L142</f>
        <v>20.900000000000002</v>
      </c>
      <c r="J142" s="721">
        <f>48.6-27.7</f>
        <v>20.900000000000002</v>
      </c>
      <c r="K142" s="721"/>
      <c r="L142" s="722"/>
      <c r="M142" s="821">
        <v>44.7</v>
      </c>
      <c r="N142" s="823">
        <v>52.9</v>
      </c>
      <c r="O142" s="931" t="s">
        <v>126</v>
      </c>
      <c r="P142" s="912">
        <v>49</v>
      </c>
      <c r="Q142" s="912">
        <v>50</v>
      </c>
      <c r="R142" s="914">
        <v>49</v>
      </c>
      <c r="U142" s="11"/>
    </row>
    <row r="143" spans="1:32" ht="13.5" customHeight="1" thickBot="1" x14ac:dyDescent="0.25">
      <c r="A143" s="1256"/>
      <c r="B143" s="1299"/>
      <c r="C143" s="1372"/>
      <c r="D143" s="1260"/>
      <c r="E143" s="1314"/>
      <c r="F143" s="1316"/>
      <c r="G143" s="1254"/>
      <c r="H143" s="285" t="s">
        <v>10</v>
      </c>
      <c r="I143" s="726">
        <f t="shared" ref="I143:N143" si="16">I142</f>
        <v>20.900000000000002</v>
      </c>
      <c r="J143" s="694">
        <f t="shared" si="16"/>
        <v>20.900000000000002</v>
      </c>
      <c r="K143" s="694">
        <f t="shared" si="16"/>
        <v>0</v>
      </c>
      <c r="L143" s="695">
        <f t="shared" si="16"/>
        <v>0</v>
      </c>
      <c r="M143" s="621">
        <f t="shared" si="16"/>
        <v>44.7</v>
      </c>
      <c r="N143" s="753">
        <f t="shared" si="16"/>
        <v>52.9</v>
      </c>
      <c r="O143" s="930" t="s">
        <v>125</v>
      </c>
      <c r="P143" s="29">
        <v>12</v>
      </c>
      <c r="Q143" s="30">
        <v>10</v>
      </c>
      <c r="R143" s="143">
        <v>13</v>
      </c>
      <c r="U143" s="11"/>
    </row>
    <row r="144" spans="1:32" ht="13.5" thickBot="1" x14ac:dyDescent="0.25">
      <c r="A144" s="907" t="s">
        <v>9</v>
      </c>
      <c r="B144" s="909" t="s">
        <v>52</v>
      </c>
      <c r="C144" s="1317" t="s">
        <v>12</v>
      </c>
      <c r="D144" s="1292"/>
      <c r="E144" s="1292"/>
      <c r="F144" s="1292"/>
      <c r="G144" s="1292"/>
      <c r="H144" s="1318"/>
      <c r="I144" s="736">
        <f t="shared" ref="I144:N144" si="17">I143+I141</f>
        <v>305.09999999999997</v>
      </c>
      <c r="J144" s="736">
        <f t="shared" si="17"/>
        <v>305.09999999999997</v>
      </c>
      <c r="K144" s="736">
        <f t="shared" si="17"/>
        <v>0</v>
      </c>
      <c r="L144" s="744">
        <f t="shared" si="17"/>
        <v>0</v>
      </c>
      <c r="M144" s="836">
        <f t="shared" si="17"/>
        <v>310.7</v>
      </c>
      <c r="N144" s="736">
        <f t="shared" si="17"/>
        <v>318.89999999999998</v>
      </c>
      <c r="O144" s="1355"/>
      <c r="P144" s="1356"/>
      <c r="Q144" s="1356"/>
      <c r="R144" s="1357"/>
    </row>
    <row r="145" spans="1:21" ht="13.5" thickBot="1" x14ac:dyDescent="0.25">
      <c r="A145" s="91" t="s">
        <v>9</v>
      </c>
      <c r="B145" s="9" t="s">
        <v>108</v>
      </c>
      <c r="C145" s="1319" t="s">
        <v>109</v>
      </c>
      <c r="D145" s="1320"/>
      <c r="E145" s="1320"/>
      <c r="F145" s="1320"/>
      <c r="G145" s="1320"/>
      <c r="H145" s="1320"/>
      <c r="I145" s="1320"/>
      <c r="J145" s="1320"/>
      <c r="K145" s="1320"/>
      <c r="L145" s="1320"/>
      <c r="M145" s="1320"/>
      <c r="N145" s="1320"/>
      <c r="O145" s="1320"/>
      <c r="P145" s="1320"/>
      <c r="Q145" s="1320"/>
      <c r="R145" s="1321"/>
    </row>
    <row r="146" spans="1:21" ht="14.25" customHeight="1" x14ac:dyDescent="0.2">
      <c r="A146" s="966" t="s">
        <v>9</v>
      </c>
      <c r="B146" s="968" t="s">
        <v>53</v>
      </c>
      <c r="C146" s="910" t="s">
        <v>9</v>
      </c>
      <c r="D146" s="955" t="s">
        <v>117</v>
      </c>
      <c r="E146" s="1322"/>
      <c r="F146" s="1325" t="s">
        <v>43</v>
      </c>
      <c r="G146" s="1328">
        <v>6</v>
      </c>
      <c r="H146" s="626" t="s">
        <v>35</v>
      </c>
      <c r="I146" s="672">
        <f>J146+L146</f>
        <v>11201.400000000001</v>
      </c>
      <c r="J146" s="663">
        <f>12686.1-501.8-25-957.9</f>
        <v>11201.400000000001</v>
      </c>
      <c r="K146" s="721"/>
      <c r="L146" s="779"/>
      <c r="M146" s="837">
        <v>13019</v>
      </c>
      <c r="N146" s="821">
        <v>13019</v>
      </c>
      <c r="O146" s="902" t="s">
        <v>123</v>
      </c>
      <c r="P146" s="912">
        <v>116</v>
      </c>
      <c r="Q146" s="912">
        <v>116</v>
      </c>
      <c r="R146" s="914">
        <v>116</v>
      </c>
    </row>
    <row r="147" spans="1:21" ht="14.25" customHeight="1" x14ac:dyDescent="0.2">
      <c r="A147" s="967"/>
      <c r="B147" s="969"/>
      <c r="C147" s="970"/>
      <c r="D147" s="953"/>
      <c r="E147" s="1323"/>
      <c r="F147" s="1326"/>
      <c r="G147" s="1329"/>
      <c r="H147" s="625" t="s">
        <v>129</v>
      </c>
      <c r="I147" s="674">
        <f>J147+L147</f>
        <v>1405.5</v>
      </c>
      <c r="J147" s="675">
        <v>1405.5</v>
      </c>
      <c r="K147" s="649"/>
      <c r="L147" s="650"/>
      <c r="M147" s="838"/>
      <c r="N147" s="824"/>
      <c r="O147" s="903"/>
      <c r="P147" s="29"/>
      <c r="Q147" s="29"/>
      <c r="R147" s="143"/>
    </row>
    <row r="148" spans="1:21" ht="15" customHeight="1" x14ac:dyDescent="0.2">
      <c r="A148" s="967"/>
      <c r="B148" s="969"/>
      <c r="C148" s="970"/>
      <c r="D148" s="119" t="s">
        <v>119</v>
      </c>
      <c r="E148" s="1323"/>
      <c r="F148" s="1326"/>
      <c r="G148" s="1329"/>
      <c r="H148" s="625"/>
      <c r="I148" s="674"/>
      <c r="J148" s="675"/>
      <c r="K148" s="675"/>
      <c r="L148" s="748"/>
      <c r="M148" s="839"/>
      <c r="N148" s="840"/>
      <c r="O148" s="903"/>
      <c r="P148" s="29"/>
      <c r="Q148" s="29"/>
      <c r="R148" s="143"/>
    </row>
    <row r="149" spans="1:21" ht="16.5" customHeight="1" x14ac:dyDescent="0.2">
      <c r="A149" s="967"/>
      <c r="B149" s="969"/>
      <c r="C149" s="970"/>
      <c r="D149" s="952" t="s">
        <v>120</v>
      </c>
      <c r="E149" s="1323"/>
      <c r="F149" s="1326"/>
      <c r="G149" s="1329"/>
      <c r="H149" s="372"/>
      <c r="I149" s="684"/>
      <c r="J149" s="635"/>
      <c r="K149" s="635"/>
      <c r="L149" s="383"/>
      <c r="M149" s="841"/>
      <c r="N149" s="842"/>
      <c r="O149" s="903"/>
      <c r="P149" s="29"/>
      <c r="Q149" s="29"/>
      <c r="R149" s="143"/>
    </row>
    <row r="150" spans="1:21" ht="15.75" customHeight="1" x14ac:dyDescent="0.2">
      <c r="A150" s="967"/>
      <c r="B150" s="969"/>
      <c r="C150" s="970"/>
      <c r="D150" s="119" t="s">
        <v>121</v>
      </c>
      <c r="E150" s="1323"/>
      <c r="F150" s="1326"/>
      <c r="G150" s="1329"/>
      <c r="H150" s="372"/>
      <c r="I150" s="684"/>
      <c r="J150" s="635"/>
      <c r="K150" s="635"/>
      <c r="L150" s="383"/>
      <c r="M150" s="841"/>
      <c r="N150" s="842"/>
      <c r="O150" s="903"/>
      <c r="P150" s="29"/>
      <c r="Q150" s="29"/>
      <c r="R150" s="143"/>
    </row>
    <row r="151" spans="1:21" ht="15.75" customHeight="1" x14ac:dyDescent="0.2">
      <c r="A151" s="916"/>
      <c r="B151" s="917"/>
      <c r="C151" s="68"/>
      <c r="D151" s="119" t="s">
        <v>122</v>
      </c>
      <c r="E151" s="1323"/>
      <c r="F151" s="1326"/>
      <c r="G151" s="1329"/>
      <c r="H151" s="14"/>
      <c r="I151" s="382"/>
      <c r="J151" s="635"/>
      <c r="K151" s="382"/>
      <c r="L151" s="383"/>
      <c r="M151" s="841"/>
      <c r="N151" s="842"/>
      <c r="O151" s="903"/>
      <c r="P151" s="127"/>
      <c r="Q151" s="128"/>
      <c r="R151" s="131"/>
    </row>
    <row r="152" spans="1:21" ht="15" customHeight="1" thickBot="1" x14ac:dyDescent="0.25">
      <c r="A152" s="972"/>
      <c r="B152" s="973"/>
      <c r="C152" s="911"/>
      <c r="D152" s="891" t="s">
        <v>118</v>
      </c>
      <c r="E152" s="1324"/>
      <c r="F152" s="1327"/>
      <c r="G152" s="1330"/>
      <c r="H152" s="282" t="s">
        <v>10</v>
      </c>
      <c r="I152" s="694">
        <f t="shared" ref="I152:N152" si="18">SUM(I146:I151)</f>
        <v>12606.900000000001</v>
      </c>
      <c r="J152" s="694">
        <f t="shared" si="18"/>
        <v>12606.900000000001</v>
      </c>
      <c r="K152" s="694">
        <f t="shared" si="18"/>
        <v>0</v>
      </c>
      <c r="L152" s="753">
        <f t="shared" si="18"/>
        <v>0</v>
      </c>
      <c r="M152" s="695">
        <f t="shared" si="18"/>
        <v>13019</v>
      </c>
      <c r="N152" s="621">
        <f t="shared" si="18"/>
        <v>13019</v>
      </c>
      <c r="O152" s="923"/>
      <c r="P152" s="913"/>
      <c r="Q152" s="31"/>
      <c r="R152" s="915"/>
      <c r="U152" s="11"/>
    </row>
    <row r="153" spans="1:21" ht="14.25" customHeight="1" x14ac:dyDescent="0.2">
      <c r="A153" s="1234" t="s">
        <v>9</v>
      </c>
      <c r="B153" s="1297" t="s">
        <v>53</v>
      </c>
      <c r="C153" s="1371" t="s">
        <v>11</v>
      </c>
      <c r="D153" s="1259" t="s">
        <v>155</v>
      </c>
      <c r="E153" s="1271"/>
      <c r="F153" s="1315" t="s">
        <v>53</v>
      </c>
      <c r="G153" s="1233" t="s">
        <v>89</v>
      </c>
      <c r="H153" s="23" t="s">
        <v>35</v>
      </c>
      <c r="I153" s="725">
        <f>J153+L153</f>
        <v>39.299999999999997</v>
      </c>
      <c r="J153" s="675">
        <v>39.299999999999997</v>
      </c>
      <c r="K153" s="675"/>
      <c r="L153" s="748"/>
      <c r="M153" s="843">
        <v>56.9</v>
      </c>
      <c r="N153" s="828">
        <v>0</v>
      </c>
      <c r="O153" s="931" t="s">
        <v>156</v>
      </c>
      <c r="P153" s="912">
        <v>1</v>
      </c>
      <c r="Q153" s="912"/>
      <c r="R153" s="914"/>
      <c r="U153" s="11"/>
    </row>
    <row r="154" spans="1:21" ht="13.5" thickBot="1" x14ac:dyDescent="0.25">
      <c r="A154" s="1256"/>
      <c r="B154" s="1299"/>
      <c r="C154" s="1372"/>
      <c r="D154" s="1260"/>
      <c r="E154" s="1314"/>
      <c r="F154" s="1316"/>
      <c r="G154" s="1254"/>
      <c r="H154" s="285" t="s">
        <v>10</v>
      </c>
      <c r="I154" s="726">
        <f t="shared" ref="I154:N154" si="19">I153</f>
        <v>39.299999999999997</v>
      </c>
      <c r="J154" s="694">
        <f t="shared" si="19"/>
        <v>39.299999999999997</v>
      </c>
      <c r="K154" s="694">
        <f t="shared" si="19"/>
        <v>0</v>
      </c>
      <c r="L154" s="753">
        <f t="shared" si="19"/>
        <v>0</v>
      </c>
      <c r="M154" s="695">
        <f t="shared" si="19"/>
        <v>56.9</v>
      </c>
      <c r="N154" s="621">
        <f t="shared" si="19"/>
        <v>0</v>
      </c>
      <c r="O154" s="923"/>
      <c r="P154" s="913"/>
      <c r="Q154" s="31"/>
      <c r="R154" s="915"/>
      <c r="U154" s="11"/>
    </row>
    <row r="155" spans="1:21" ht="27.75" customHeight="1" x14ac:dyDescent="0.2">
      <c r="A155" s="1234" t="s">
        <v>9</v>
      </c>
      <c r="B155" s="1297" t="s">
        <v>53</v>
      </c>
      <c r="C155" s="1371" t="s">
        <v>37</v>
      </c>
      <c r="D155" s="1259" t="s">
        <v>239</v>
      </c>
      <c r="E155" s="1271"/>
      <c r="F155" s="1315" t="s">
        <v>53</v>
      </c>
      <c r="G155" s="1233" t="s">
        <v>39</v>
      </c>
      <c r="H155" s="23" t="s">
        <v>35</v>
      </c>
      <c r="I155" s="725">
        <f>J155+L155</f>
        <v>25</v>
      </c>
      <c r="J155" s="675">
        <v>25</v>
      </c>
      <c r="K155" s="675"/>
      <c r="L155" s="748"/>
      <c r="M155" s="843"/>
      <c r="N155" s="828">
        <v>0</v>
      </c>
      <c r="O155" s="1046" t="s">
        <v>240</v>
      </c>
      <c r="P155" s="1031">
        <v>2</v>
      </c>
      <c r="Q155" s="1031"/>
      <c r="R155" s="1033"/>
      <c r="U155" s="11"/>
    </row>
    <row r="156" spans="1:21" ht="24.75" customHeight="1" thickBot="1" x14ac:dyDescent="0.25">
      <c r="A156" s="1256"/>
      <c r="B156" s="1299"/>
      <c r="C156" s="1372"/>
      <c r="D156" s="1260"/>
      <c r="E156" s="1314"/>
      <c r="F156" s="1316"/>
      <c r="G156" s="1254"/>
      <c r="H156" s="285" t="s">
        <v>10</v>
      </c>
      <c r="I156" s="726">
        <f t="shared" ref="I156:N156" si="20">I155</f>
        <v>25</v>
      </c>
      <c r="J156" s="694">
        <f t="shared" si="20"/>
        <v>25</v>
      </c>
      <c r="K156" s="694">
        <f t="shared" si="20"/>
        <v>0</v>
      </c>
      <c r="L156" s="753">
        <f t="shared" si="20"/>
        <v>0</v>
      </c>
      <c r="M156" s="695">
        <f t="shared" si="20"/>
        <v>0</v>
      </c>
      <c r="N156" s="621">
        <f t="shared" si="20"/>
        <v>0</v>
      </c>
      <c r="O156" s="1040"/>
      <c r="P156" s="1032"/>
      <c r="Q156" s="31"/>
      <c r="R156" s="1034"/>
      <c r="U156" s="11"/>
    </row>
    <row r="157" spans="1:21" ht="15.75" customHeight="1" x14ac:dyDescent="0.2">
      <c r="A157" s="1234" t="s">
        <v>9</v>
      </c>
      <c r="B157" s="871" t="s">
        <v>53</v>
      </c>
      <c r="C157" s="163" t="s">
        <v>52</v>
      </c>
      <c r="D157" s="1259" t="s">
        <v>166</v>
      </c>
      <c r="E157" s="164"/>
      <c r="F157" s="165" t="s">
        <v>40</v>
      </c>
      <c r="G157" s="166">
        <v>6</v>
      </c>
      <c r="H157" s="872" t="s">
        <v>35</v>
      </c>
      <c r="I157" s="873">
        <f>J157</f>
        <v>3.5</v>
      </c>
      <c r="J157" s="874">
        <v>3.5</v>
      </c>
      <c r="K157" s="874"/>
      <c r="L157" s="875"/>
      <c r="M157" s="828"/>
      <c r="N157" s="831"/>
      <c r="O157" s="1369" t="s">
        <v>183</v>
      </c>
      <c r="P157" s="876">
        <v>100</v>
      </c>
      <c r="Q157" s="877"/>
      <c r="R157" s="878"/>
    </row>
    <row r="158" spans="1:21" ht="13.5" thickBot="1" x14ac:dyDescent="0.25">
      <c r="A158" s="1256"/>
      <c r="B158" s="879"/>
      <c r="C158" s="168"/>
      <c r="D158" s="1260"/>
      <c r="E158" s="169"/>
      <c r="F158" s="170"/>
      <c r="G158" s="171"/>
      <c r="H158" s="290" t="s">
        <v>10</v>
      </c>
      <c r="I158" s="760">
        <f>I157</f>
        <v>3.5</v>
      </c>
      <c r="J158" s="760">
        <f>J157</f>
        <v>3.5</v>
      </c>
      <c r="K158" s="761"/>
      <c r="L158" s="762">
        <f>SUM(L157:L157)</f>
        <v>0</v>
      </c>
      <c r="M158" s="291">
        <f>SUM(M157:M157)</f>
        <v>0</v>
      </c>
      <c r="N158" s="292">
        <f>SUM(N157:N157)</f>
        <v>0</v>
      </c>
      <c r="O158" s="1370"/>
      <c r="P158" s="880"/>
      <c r="Q158" s="867"/>
      <c r="R158" s="881"/>
    </row>
    <row r="159" spans="1:21" ht="13.5" thickBot="1" x14ac:dyDescent="0.25">
      <c r="A159" s="907" t="s">
        <v>9</v>
      </c>
      <c r="B159" s="909" t="s">
        <v>53</v>
      </c>
      <c r="C159" s="1382" t="s">
        <v>12</v>
      </c>
      <c r="D159" s="1383"/>
      <c r="E159" s="1383"/>
      <c r="F159" s="1383"/>
      <c r="G159" s="1383"/>
      <c r="H159" s="1318"/>
      <c r="I159" s="733">
        <f>I154+I152+I158+I156</f>
        <v>12674.7</v>
      </c>
      <c r="J159" s="733">
        <f t="shared" ref="J159:N159" si="21">J154+J152+J158+J156</f>
        <v>12674.7</v>
      </c>
      <c r="K159" s="733">
        <f t="shared" si="21"/>
        <v>0</v>
      </c>
      <c r="L159" s="733">
        <f t="shared" si="21"/>
        <v>0</v>
      </c>
      <c r="M159" s="733">
        <f t="shared" si="21"/>
        <v>13075.9</v>
      </c>
      <c r="N159" s="733">
        <f t="shared" si="21"/>
        <v>13019</v>
      </c>
      <c r="O159" s="1373"/>
      <c r="P159" s="1374"/>
      <c r="Q159" s="1374"/>
      <c r="R159" s="1375"/>
    </row>
    <row r="160" spans="1:21" ht="13.5" thickBot="1" x14ac:dyDescent="0.25">
      <c r="A160" s="97" t="s">
        <v>9</v>
      </c>
      <c r="B160" s="1387" t="s">
        <v>13</v>
      </c>
      <c r="C160" s="1388"/>
      <c r="D160" s="1388"/>
      <c r="E160" s="1388"/>
      <c r="F160" s="1388"/>
      <c r="G160" s="1388"/>
      <c r="H160" s="1389"/>
      <c r="I160" s="763">
        <f>SUM(I144,I159,I137,I128,I105)</f>
        <v>37812.299999999996</v>
      </c>
      <c r="J160" s="764">
        <f>SUM(J105,J128,J137,J144,J159)</f>
        <v>35227.5</v>
      </c>
      <c r="K160" s="764">
        <f>SUM(K105,K128,K137,K144,K159)</f>
        <v>830.7</v>
      </c>
      <c r="L160" s="765">
        <f>SUM(L105,L128,L137,L144,L159)</f>
        <v>2584.8000000000002</v>
      </c>
      <c r="M160" s="844">
        <f>SUM(M105,M128,M137,M144,M159)</f>
        <v>39145.600000000006</v>
      </c>
      <c r="N160" s="844">
        <f>SUM(N105,N128,N137,N144,N159)</f>
        <v>37673.100000000006</v>
      </c>
      <c r="O160" s="1376"/>
      <c r="P160" s="1377"/>
      <c r="Q160" s="1377"/>
      <c r="R160" s="1378"/>
    </row>
    <row r="161" spans="1:40" ht="14.25" customHeight="1" thickBot="1" x14ac:dyDescent="0.25">
      <c r="A161" s="100" t="s">
        <v>54</v>
      </c>
      <c r="B161" s="1390" t="s">
        <v>127</v>
      </c>
      <c r="C161" s="1391"/>
      <c r="D161" s="1391"/>
      <c r="E161" s="1391"/>
      <c r="F161" s="1391"/>
      <c r="G161" s="1391"/>
      <c r="H161" s="1391"/>
      <c r="I161" s="766">
        <f t="shared" ref="I161:N161" si="22">SUM(I160)</f>
        <v>37812.299999999996</v>
      </c>
      <c r="J161" s="767">
        <f t="shared" si="22"/>
        <v>35227.5</v>
      </c>
      <c r="K161" s="767">
        <f t="shared" si="22"/>
        <v>830.7</v>
      </c>
      <c r="L161" s="768">
        <f t="shared" si="22"/>
        <v>2584.8000000000002</v>
      </c>
      <c r="M161" s="845">
        <f t="shared" si="22"/>
        <v>39145.600000000006</v>
      </c>
      <c r="N161" s="846">
        <f t="shared" si="22"/>
        <v>37673.100000000006</v>
      </c>
      <c r="O161" s="1379"/>
      <c r="P161" s="1380"/>
      <c r="Q161" s="1380"/>
      <c r="R161" s="1381"/>
    </row>
    <row r="162" spans="1:40" s="20" customFormat="1" ht="14.25" customHeight="1" x14ac:dyDescent="0.2">
      <c r="A162" s="1358"/>
      <c r="B162" s="1358"/>
      <c r="C162" s="1358"/>
      <c r="D162" s="1358"/>
      <c r="E162" s="1358"/>
      <c r="F162" s="1358"/>
      <c r="G162" s="1358"/>
      <c r="H162" s="1358"/>
      <c r="I162" s="1358"/>
      <c r="J162" s="1358"/>
      <c r="K162" s="1358"/>
      <c r="L162" s="1358"/>
      <c r="M162" s="847"/>
      <c r="N162" s="847"/>
      <c r="O162" s="60"/>
      <c r="P162" s="847"/>
      <c r="Q162" s="847"/>
      <c r="R162" s="847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 s="20" customFormat="1" ht="14.25" customHeight="1" thickBot="1" x14ac:dyDescent="0.25">
      <c r="A163" s="1368" t="s">
        <v>18</v>
      </c>
      <c r="B163" s="1368"/>
      <c r="C163" s="1368"/>
      <c r="D163" s="1368"/>
      <c r="E163" s="1368"/>
      <c r="F163" s="1368"/>
      <c r="G163" s="1368"/>
      <c r="H163" s="1368"/>
      <c r="I163" s="1368"/>
      <c r="J163" s="1368"/>
      <c r="K163" s="1368"/>
      <c r="L163" s="1368"/>
      <c r="M163" s="1368"/>
      <c r="N163" s="1368"/>
      <c r="O163" s="2"/>
      <c r="P163" s="2"/>
      <c r="Q163" s="2"/>
      <c r="R163" s="2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 ht="38.25" customHeight="1" thickBot="1" x14ac:dyDescent="0.25">
      <c r="A164" s="1359" t="s">
        <v>14</v>
      </c>
      <c r="B164" s="1360"/>
      <c r="C164" s="1360"/>
      <c r="D164" s="1360"/>
      <c r="E164" s="1360"/>
      <c r="F164" s="1360"/>
      <c r="G164" s="1360"/>
      <c r="H164" s="1361"/>
      <c r="I164" s="1359" t="s">
        <v>139</v>
      </c>
      <c r="J164" s="1360"/>
      <c r="K164" s="1360"/>
      <c r="L164" s="1361"/>
      <c r="M164" s="27" t="s">
        <v>221</v>
      </c>
      <c r="N164" s="27" t="s">
        <v>222</v>
      </c>
      <c r="O164" s="54"/>
    </row>
    <row r="165" spans="1:40" ht="14.25" customHeight="1" x14ac:dyDescent="0.2">
      <c r="A165" s="1362" t="s">
        <v>19</v>
      </c>
      <c r="B165" s="1363"/>
      <c r="C165" s="1363"/>
      <c r="D165" s="1363"/>
      <c r="E165" s="1363"/>
      <c r="F165" s="1363"/>
      <c r="G165" s="1363"/>
      <c r="H165" s="1364"/>
      <c r="I165" s="1365">
        <f>SUM(I166:L171)</f>
        <v>34954.800000000003</v>
      </c>
      <c r="J165" s="1366"/>
      <c r="K165" s="1366"/>
      <c r="L165" s="1367"/>
      <c r="M165" s="628">
        <f>SUM(M166:M171)</f>
        <v>36183.000000000007</v>
      </c>
      <c r="N165" s="628">
        <f>SUM(N166:N171)</f>
        <v>34673.700000000012</v>
      </c>
      <c r="O165" s="447"/>
    </row>
    <row r="166" spans="1:40" ht="14.25" customHeight="1" x14ac:dyDescent="0.2">
      <c r="A166" s="1384" t="s">
        <v>25</v>
      </c>
      <c r="B166" s="1385"/>
      <c r="C166" s="1385"/>
      <c r="D166" s="1385"/>
      <c r="E166" s="1385"/>
      <c r="F166" s="1385"/>
      <c r="G166" s="1385"/>
      <c r="H166" s="1386"/>
      <c r="I166" s="1346">
        <f>SUMIF(H12:H161,"sb",I12:I161)</f>
        <v>31102.400000000001</v>
      </c>
      <c r="J166" s="1347"/>
      <c r="K166" s="1347"/>
      <c r="L166" s="1348"/>
      <c r="M166" s="629">
        <f>SUMIF(H12:H161,"SB",M12:M161)</f>
        <v>35836.400000000001</v>
      </c>
      <c r="N166" s="629">
        <f>SUMIF(H12:H161,"SB",N12:N161)</f>
        <v>34311.100000000006</v>
      </c>
      <c r="O166" s="78"/>
    </row>
    <row r="167" spans="1:40" ht="27" customHeight="1" x14ac:dyDescent="0.2">
      <c r="A167" s="1352" t="s">
        <v>26</v>
      </c>
      <c r="B167" s="1353"/>
      <c r="C167" s="1353"/>
      <c r="D167" s="1353"/>
      <c r="E167" s="1353"/>
      <c r="F167" s="1353"/>
      <c r="G167" s="1353"/>
      <c r="H167" s="1354"/>
      <c r="I167" s="1346">
        <f>SUMIF(H14:H161,"SB(SP)",I14:I161)</f>
        <v>119.7</v>
      </c>
      <c r="J167" s="1347"/>
      <c r="K167" s="1347"/>
      <c r="L167" s="1348"/>
      <c r="M167" s="629">
        <f>SUMIF(H14:H161,"SB(SP)",M14:M161)</f>
        <v>119.3</v>
      </c>
      <c r="N167" s="629">
        <f>SUMIF(H14:H161,"SB(SP)",N14:N161)</f>
        <v>119.3</v>
      </c>
      <c r="O167" s="55"/>
    </row>
    <row r="168" spans="1:40" ht="29.25" customHeight="1" x14ac:dyDescent="0.2">
      <c r="A168" s="1352" t="s">
        <v>228</v>
      </c>
      <c r="B168" s="1353"/>
      <c r="C168" s="1353"/>
      <c r="D168" s="1353"/>
      <c r="E168" s="1353"/>
      <c r="F168" s="1353"/>
      <c r="G168" s="1353"/>
      <c r="H168" s="1354"/>
      <c r="I168" s="1346">
        <f>SUMIF(H14:H161,"SB(SPL)",I14:I161)</f>
        <v>1.9</v>
      </c>
      <c r="J168" s="1347"/>
      <c r="K168" s="1347"/>
      <c r="L168" s="1348"/>
      <c r="M168" s="629">
        <f>SUMIF(H14:H161,"SB(F)",M14:M161)</f>
        <v>0</v>
      </c>
      <c r="N168" s="629">
        <f>SUMIF(H14:H161,"SB(F)",N14:N161)</f>
        <v>0</v>
      </c>
      <c r="O168" s="56"/>
      <c r="S168" s="1"/>
      <c r="T168" s="1"/>
      <c r="U168" s="1"/>
    </row>
    <row r="169" spans="1:40" ht="14.25" customHeight="1" x14ac:dyDescent="0.2">
      <c r="A169" s="1352" t="s">
        <v>226</v>
      </c>
      <c r="B169" s="1353"/>
      <c r="C169" s="1353"/>
      <c r="D169" s="1353"/>
      <c r="E169" s="1353"/>
      <c r="F169" s="1353"/>
      <c r="G169" s="1353"/>
      <c r="H169" s="1354"/>
      <c r="I169" s="1346">
        <f>SUMIF(H12:H151,"SB(L)",I12:I151)</f>
        <v>3117</v>
      </c>
      <c r="J169" s="1347"/>
      <c r="K169" s="1347"/>
      <c r="L169" s="1348"/>
      <c r="M169" s="629"/>
      <c r="N169" s="629"/>
      <c r="O169" s="56"/>
      <c r="S169" s="1"/>
      <c r="T169" s="1"/>
      <c r="U169" s="1"/>
    </row>
    <row r="170" spans="1:40" ht="14.25" customHeight="1" x14ac:dyDescent="0.2">
      <c r="A170" s="1352" t="s">
        <v>178</v>
      </c>
      <c r="B170" s="1353"/>
      <c r="C170" s="1353"/>
      <c r="D170" s="1353"/>
      <c r="E170" s="1353"/>
      <c r="F170" s="1353"/>
      <c r="G170" s="1353"/>
      <c r="H170" s="1354"/>
      <c r="I170" s="1346">
        <f>SUMIF(H13:H152,"SB(VR)",I13:I152)</f>
        <v>15</v>
      </c>
      <c r="J170" s="1347"/>
      <c r="K170" s="1347"/>
      <c r="L170" s="1348"/>
      <c r="M170" s="629"/>
      <c r="N170" s="629"/>
      <c r="O170" s="56"/>
      <c r="S170" s="1"/>
      <c r="T170" s="1"/>
      <c r="U170" s="1"/>
    </row>
    <row r="171" spans="1:40" ht="14.25" customHeight="1" x14ac:dyDescent="0.2">
      <c r="A171" s="1352" t="s">
        <v>27</v>
      </c>
      <c r="B171" s="1353"/>
      <c r="C171" s="1353"/>
      <c r="D171" s="1353"/>
      <c r="E171" s="1353"/>
      <c r="F171" s="1353"/>
      <c r="G171" s="1353"/>
      <c r="H171" s="1354"/>
      <c r="I171" s="1346">
        <f>SUMIF(H14:H161,"SB(P)",I14:I161)</f>
        <v>598.79999999999995</v>
      </c>
      <c r="J171" s="1347"/>
      <c r="K171" s="1347"/>
      <c r="L171" s="1348"/>
      <c r="M171" s="629">
        <f>SUMIF(H14:H161,"SB(P)",M14:M161)</f>
        <v>227.3</v>
      </c>
      <c r="N171" s="629">
        <f>SUMIF(H14:H161,"SB(P)",N14:N161)</f>
        <v>243.3</v>
      </c>
    </row>
    <row r="172" spans="1:40" ht="14.25" customHeight="1" x14ac:dyDescent="0.2">
      <c r="A172" s="1337" t="s">
        <v>20</v>
      </c>
      <c r="B172" s="1338"/>
      <c r="C172" s="1338"/>
      <c r="D172" s="1338"/>
      <c r="E172" s="1338"/>
      <c r="F172" s="1338"/>
      <c r="G172" s="1338"/>
      <c r="H172" s="1339"/>
      <c r="I172" s="1340">
        <f>SUM(I173:L176)</f>
        <v>2857.5</v>
      </c>
      <c r="J172" s="1341"/>
      <c r="K172" s="1341"/>
      <c r="L172" s="1342"/>
      <c r="M172" s="630">
        <f>SUM(M173:M176)</f>
        <v>2962.6</v>
      </c>
      <c r="N172" s="630">
        <f>SUM(N173:N176)</f>
        <v>2999.4</v>
      </c>
    </row>
    <row r="173" spans="1:40" ht="14.25" customHeight="1" x14ac:dyDescent="0.2">
      <c r="A173" s="1343" t="s">
        <v>28</v>
      </c>
      <c r="B173" s="1344"/>
      <c r="C173" s="1344"/>
      <c r="D173" s="1344"/>
      <c r="E173" s="1344"/>
      <c r="F173" s="1344"/>
      <c r="G173" s="1344"/>
      <c r="H173" s="1345"/>
      <c r="I173" s="1346">
        <f>SUMIF(H14:H161,"ES",I14:I161)</f>
        <v>568.9</v>
      </c>
      <c r="J173" s="1347"/>
      <c r="K173" s="1347"/>
      <c r="L173" s="1348"/>
      <c r="M173" s="629">
        <f>SUMIF(H14:H161,"ES",M14:M161)</f>
        <v>2852.2</v>
      </c>
      <c r="N173" s="629">
        <f>SUMIF(H14:H161,"ES",N14:N161)</f>
        <v>2999.4</v>
      </c>
    </row>
    <row r="174" spans="1:40" ht="14.25" customHeight="1" x14ac:dyDescent="0.2">
      <c r="A174" s="1349" t="s">
        <v>29</v>
      </c>
      <c r="B174" s="1350"/>
      <c r="C174" s="1350"/>
      <c r="D174" s="1350"/>
      <c r="E174" s="1350"/>
      <c r="F174" s="1350"/>
      <c r="G174" s="1350"/>
      <c r="H174" s="1351"/>
      <c r="I174" s="1346">
        <f>SUMIF(H14:H161,"KPP",I14:I161)</f>
        <v>0</v>
      </c>
      <c r="J174" s="1347"/>
      <c r="K174" s="1347"/>
      <c r="L174" s="1348"/>
      <c r="M174" s="629">
        <f>SUMIF(H14:H161,"KPP",M14:M161)</f>
        <v>0</v>
      </c>
      <c r="N174" s="629">
        <f>SUMIF(H14:H161,"KPP",N14:N161)</f>
        <v>0</v>
      </c>
    </row>
    <row r="175" spans="1:40" ht="14.25" customHeight="1" x14ac:dyDescent="0.2">
      <c r="A175" s="1352" t="s">
        <v>30</v>
      </c>
      <c r="B175" s="1353"/>
      <c r="C175" s="1353"/>
      <c r="D175" s="1353"/>
      <c r="E175" s="1353"/>
      <c r="F175" s="1353"/>
      <c r="G175" s="1353"/>
      <c r="H175" s="1354"/>
      <c r="I175" s="1346">
        <f>SUMIF(H14:H161,"LRVB",I14:I161)</f>
        <v>93.4</v>
      </c>
      <c r="J175" s="1347"/>
      <c r="K175" s="1347"/>
      <c r="L175" s="1348"/>
      <c r="M175" s="629">
        <f>SUMIF(H14:H161,"LRVB",M14:M161)</f>
        <v>10.4</v>
      </c>
      <c r="N175" s="629">
        <f>SUMIF(H14:H161,"LRVB",N14:N161)</f>
        <v>0</v>
      </c>
    </row>
    <row r="176" spans="1:40" x14ac:dyDescent="0.2">
      <c r="A176" s="1352" t="s">
        <v>31</v>
      </c>
      <c r="B176" s="1353"/>
      <c r="C176" s="1353"/>
      <c r="D176" s="1353"/>
      <c r="E176" s="1353"/>
      <c r="F176" s="1353"/>
      <c r="G176" s="1353"/>
      <c r="H176" s="1354"/>
      <c r="I176" s="1346">
        <f>SUMIF(H14:H161,"Kt",I14:I161)</f>
        <v>2195.1999999999998</v>
      </c>
      <c r="J176" s="1347"/>
      <c r="K176" s="1347"/>
      <c r="L176" s="1348"/>
      <c r="M176" s="629">
        <f>SUMIF(H14:H161,"Kt",M14:M161)</f>
        <v>100</v>
      </c>
      <c r="N176" s="629">
        <f>SUMIF(H14:H161,"Kt",N14:N161)</f>
        <v>0</v>
      </c>
      <c r="P176" s="850"/>
      <c r="Q176" s="850"/>
      <c r="R176" s="850"/>
    </row>
    <row r="177" spans="1:18" ht="13.5" thickBot="1" x14ac:dyDescent="0.25">
      <c r="A177" s="1331" t="s">
        <v>21</v>
      </c>
      <c r="B177" s="1332"/>
      <c r="C177" s="1332"/>
      <c r="D177" s="1332"/>
      <c r="E177" s="1332"/>
      <c r="F177" s="1332"/>
      <c r="G177" s="1332"/>
      <c r="H177" s="1333"/>
      <c r="I177" s="1334">
        <f>SUM(I165,I172)</f>
        <v>37812.300000000003</v>
      </c>
      <c r="J177" s="1335"/>
      <c r="K177" s="1335"/>
      <c r="L177" s="1336"/>
      <c r="M177" s="631">
        <f>SUM(M165,M172)</f>
        <v>39145.600000000006</v>
      </c>
      <c r="N177" s="631">
        <f>SUM(N165,N172)</f>
        <v>37673.100000000013</v>
      </c>
      <c r="P177" s="850"/>
      <c r="Q177" s="850"/>
      <c r="R177" s="850"/>
    </row>
    <row r="178" spans="1:18" x14ac:dyDescent="0.2">
      <c r="A178" s="3"/>
      <c r="B178" s="3"/>
      <c r="C178" s="3"/>
      <c r="D178" s="3"/>
      <c r="E178" s="3"/>
      <c r="F178" s="3"/>
      <c r="G178" s="3"/>
      <c r="H178" s="3"/>
      <c r="J178" s="772"/>
      <c r="M178" s="772"/>
      <c r="O178" s="55"/>
      <c r="P178" s="850"/>
      <c r="Q178" s="850"/>
      <c r="R178" s="850"/>
    </row>
    <row r="179" spans="1:18" x14ac:dyDescent="0.2">
      <c r="A179" s="3"/>
      <c r="B179" s="3"/>
      <c r="C179" s="3"/>
      <c r="D179" s="3"/>
      <c r="E179" s="3"/>
      <c r="F179" s="3"/>
      <c r="G179" s="3"/>
      <c r="H179" s="3"/>
      <c r="I179" s="769"/>
      <c r="J179" s="772"/>
      <c r="K179" s="772"/>
      <c r="L179" s="772"/>
      <c r="M179" s="772"/>
      <c r="N179" s="769"/>
      <c r="O179" s="78"/>
      <c r="P179" s="850"/>
      <c r="Q179" s="850"/>
      <c r="R179" s="850"/>
    </row>
    <row r="180" spans="1:18" x14ac:dyDescent="0.2">
      <c r="A180" s="3"/>
      <c r="B180" s="3"/>
      <c r="C180" s="3"/>
      <c r="D180" s="3"/>
      <c r="E180" s="3"/>
      <c r="F180" s="3"/>
      <c r="G180" s="3"/>
      <c r="H180" s="3"/>
      <c r="I180" s="770"/>
      <c r="J180" s="771"/>
      <c r="K180" s="772"/>
      <c r="P180" s="850"/>
      <c r="Q180" s="850"/>
      <c r="R180" s="850"/>
    </row>
    <row r="181" spans="1:18" x14ac:dyDescent="0.2">
      <c r="A181" s="3"/>
      <c r="B181" s="3"/>
      <c r="C181" s="3"/>
      <c r="D181" s="3"/>
      <c r="E181" s="3"/>
      <c r="F181" s="3"/>
      <c r="G181" s="3"/>
      <c r="H181" s="3"/>
      <c r="J181" s="772"/>
      <c r="P181" s="850"/>
      <c r="Q181" s="850"/>
      <c r="R181" s="850"/>
    </row>
  </sheetData>
  <mergeCells count="369">
    <mergeCell ref="G134:G136"/>
    <mergeCell ref="O134:O135"/>
    <mergeCell ref="F119:F120"/>
    <mergeCell ref="G119:G120"/>
    <mergeCell ref="G126:G127"/>
    <mergeCell ref="C128:H128"/>
    <mergeCell ref="O128:R128"/>
    <mergeCell ref="C129:R129"/>
    <mergeCell ref="D140:D141"/>
    <mergeCell ref="O137:R137"/>
    <mergeCell ref="C138:R138"/>
    <mergeCell ref="C137:H137"/>
    <mergeCell ref="G130:G133"/>
    <mergeCell ref="O130:O133"/>
    <mergeCell ref="P121:P122"/>
    <mergeCell ref="O121:O123"/>
    <mergeCell ref="O140:O141"/>
    <mergeCell ref="E31:E32"/>
    <mergeCell ref="E88:E90"/>
    <mergeCell ref="D31:D32"/>
    <mergeCell ref="A134:A136"/>
    <mergeCell ref="B134:B136"/>
    <mergeCell ref="C134:C136"/>
    <mergeCell ref="D134:D136"/>
    <mergeCell ref="E134:E136"/>
    <mergeCell ref="F134:F136"/>
    <mergeCell ref="A130:A133"/>
    <mergeCell ref="B130:B133"/>
    <mergeCell ref="C130:C133"/>
    <mergeCell ref="D130:D133"/>
    <mergeCell ref="E130:E133"/>
    <mergeCell ref="F130:F133"/>
    <mergeCell ref="A126:A127"/>
    <mergeCell ref="B126:B127"/>
    <mergeCell ref="C126:C127"/>
    <mergeCell ref="D126:D127"/>
    <mergeCell ref="E126:E127"/>
    <mergeCell ref="F126:F127"/>
    <mergeCell ref="E111:E113"/>
    <mergeCell ref="F111:F113"/>
    <mergeCell ref="A124:A125"/>
    <mergeCell ref="A153:A154"/>
    <mergeCell ref="B153:B154"/>
    <mergeCell ref="C153:C154"/>
    <mergeCell ref="O159:R159"/>
    <mergeCell ref="O160:R160"/>
    <mergeCell ref="O161:R161"/>
    <mergeCell ref="E153:E154"/>
    <mergeCell ref="A142:A143"/>
    <mergeCell ref="B142:B143"/>
    <mergeCell ref="C142:C143"/>
    <mergeCell ref="A155:A156"/>
    <mergeCell ref="B155:B156"/>
    <mergeCell ref="C155:C156"/>
    <mergeCell ref="D155:D156"/>
    <mergeCell ref="E155:E156"/>
    <mergeCell ref="F155:F156"/>
    <mergeCell ref="G155:G156"/>
    <mergeCell ref="C159:H159"/>
    <mergeCell ref="A157:A158"/>
    <mergeCell ref="D157:D158"/>
    <mergeCell ref="B160:H160"/>
    <mergeCell ref="B161:H161"/>
    <mergeCell ref="A168:H168"/>
    <mergeCell ref="I168:L168"/>
    <mergeCell ref="A162:L162"/>
    <mergeCell ref="A164:H164"/>
    <mergeCell ref="I164:L164"/>
    <mergeCell ref="A165:H165"/>
    <mergeCell ref="I165:L165"/>
    <mergeCell ref="A163:N163"/>
    <mergeCell ref="O157:O158"/>
    <mergeCell ref="I166:L166"/>
    <mergeCell ref="A167:H167"/>
    <mergeCell ref="I167:L167"/>
    <mergeCell ref="A166:H166"/>
    <mergeCell ref="A177:H177"/>
    <mergeCell ref="I177:L177"/>
    <mergeCell ref="A172:H172"/>
    <mergeCell ref="I172:L172"/>
    <mergeCell ref="A173:H173"/>
    <mergeCell ref="I173:L173"/>
    <mergeCell ref="A174:H174"/>
    <mergeCell ref="I174:L174"/>
    <mergeCell ref="A169:H169"/>
    <mergeCell ref="I169:L169"/>
    <mergeCell ref="A170:H170"/>
    <mergeCell ref="I170:L170"/>
    <mergeCell ref="A171:H171"/>
    <mergeCell ref="I171:L171"/>
    <mergeCell ref="A176:H176"/>
    <mergeCell ref="I176:L176"/>
    <mergeCell ref="A175:H175"/>
    <mergeCell ref="I175:L175"/>
    <mergeCell ref="F153:F154"/>
    <mergeCell ref="G153:G154"/>
    <mergeCell ref="F142:F143"/>
    <mergeCell ref="C144:H144"/>
    <mergeCell ref="C145:R145"/>
    <mergeCell ref="E146:E152"/>
    <mergeCell ref="F146:F152"/>
    <mergeCell ref="G146:G152"/>
    <mergeCell ref="D153:D154"/>
    <mergeCell ref="G142:G143"/>
    <mergeCell ref="O144:R144"/>
    <mergeCell ref="D142:D143"/>
    <mergeCell ref="E142:E143"/>
    <mergeCell ref="B124:B125"/>
    <mergeCell ref="C124:C125"/>
    <mergeCell ref="D124:D125"/>
    <mergeCell ref="E124:E125"/>
    <mergeCell ref="F124:F125"/>
    <mergeCell ref="G124:G125"/>
    <mergeCell ref="A121:A123"/>
    <mergeCell ref="B121:B123"/>
    <mergeCell ref="C121:C123"/>
    <mergeCell ref="D121:D123"/>
    <mergeCell ref="E121:E123"/>
    <mergeCell ref="F121:F123"/>
    <mergeCell ref="G121:G123"/>
    <mergeCell ref="A119:A120"/>
    <mergeCell ref="B119:B120"/>
    <mergeCell ref="C119:C120"/>
    <mergeCell ref="D119:D120"/>
    <mergeCell ref="E119:E120"/>
    <mergeCell ref="O111:O113"/>
    <mergeCell ref="G114:G118"/>
    <mergeCell ref="O114:O115"/>
    <mergeCell ref="O116:O117"/>
    <mergeCell ref="A114:A118"/>
    <mergeCell ref="B114:B118"/>
    <mergeCell ref="C114:C118"/>
    <mergeCell ref="D114:D118"/>
    <mergeCell ref="E114:E118"/>
    <mergeCell ref="F114:F118"/>
    <mergeCell ref="A111:A113"/>
    <mergeCell ref="B111:B113"/>
    <mergeCell ref="C111:C113"/>
    <mergeCell ref="D111:D113"/>
    <mergeCell ref="C105:H105"/>
    <mergeCell ref="C106:R106"/>
    <mergeCell ref="A107:A110"/>
    <mergeCell ref="B107:B110"/>
    <mergeCell ref="C107:C110"/>
    <mergeCell ref="D107:D110"/>
    <mergeCell ref="E107:E110"/>
    <mergeCell ref="F107:F110"/>
    <mergeCell ref="G107:G110"/>
    <mergeCell ref="O107:O109"/>
    <mergeCell ref="A102:A104"/>
    <mergeCell ref="B102:B104"/>
    <mergeCell ref="C102:C104"/>
    <mergeCell ref="E102:E104"/>
    <mergeCell ref="F102:F104"/>
    <mergeCell ref="G102:G104"/>
    <mergeCell ref="G111:G113"/>
    <mergeCell ref="D103:D104"/>
    <mergeCell ref="O87:O89"/>
    <mergeCell ref="D91:D92"/>
    <mergeCell ref="O91:O92"/>
    <mergeCell ref="A98:A101"/>
    <mergeCell ref="B98:B101"/>
    <mergeCell ref="C98:C101"/>
    <mergeCell ref="D98:D101"/>
    <mergeCell ref="E98:E101"/>
    <mergeCell ref="F98:F101"/>
    <mergeCell ref="G98:G101"/>
    <mergeCell ref="O98:O99"/>
    <mergeCell ref="O100:O101"/>
    <mergeCell ref="A87:A90"/>
    <mergeCell ref="B87:B90"/>
    <mergeCell ref="C87:C90"/>
    <mergeCell ref="D87:D90"/>
    <mergeCell ref="F87:F90"/>
    <mergeCell ref="G87:G90"/>
    <mergeCell ref="A85:A86"/>
    <mergeCell ref="B85:B86"/>
    <mergeCell ref="C85:C86"/>
    <mergeCell ref="D85:D86"/>
    <mergeCell ref="E85:E86"/>
    <mergeCell ref="F85:F86"/>
    <mergeCell ref="O79:O80"/>
    <mergeCell ref="P79:P80"/>
    <mergeCell ref="Q79:Q80"/>
    <mergeCell ref="R79:R80"/>
    <mergeCell ref="A79:A84"/>
    <mergeCell ref="B79:B84"/>
    <mergeCell ref="C79:C84"/>
    <mergeCell ref="D79:D84"/>
    <mergeCell ref="E79:E80"/>
    <mergeCell ref="F79:F84"/>
    <mergeCell ref="O81:O83"/>
    <mergeCell ref="A76:A78"/>
    <mergeCell ref="B76:B78"/>
    <mergeCell ref="C76:C78"/>
    <mergeCell ref="D76:D78"/>
    <mergeCell ref="E76:E78"/>
    <mergeCell ref="F76:F78"/>
    <mergeCell ref="G76:G78"/>
    <mergeCell ref="O76:O77"/>
    <mergeCell ref="D74:D75"/>
    <mergeCell ref="E74:E75"/>
    <mergeCell ref="F74:F75"/>
    <mergeCell ref="A71:A72"/>
    <mergeCell ref="B71:B72"/>
    <mergeCell ref="C71:C72"/>
    <mergeCell ref="D71:D72"/>
    <mergeCell ref="E71:E72"/>
    <mergeCell ref="F71:F72"/>
    <mergeCell ref="G71:G72"/>
    <mergeCell ref="G74:G75"/>
    <mergeCell ref="O74:O75"/>
    <mergeCell ref="A74:A75"/>
    <mergeCell ref="B74:B75"/>
    <mergeCell ref="C74:C75"/>
    <mergeCell ref="G65:G68"/>
    <mergeCell ref="O65:O66"/>
    <mergeCell ref="P65:P66"/>
    <mergeCell ref="Q65:Q66"/>
    <mergeCell ref="R65:R66"/>
    <mergeCell ref="A69:A70"/>
    <mergeCell ref="B69:B70"/>
    <mergeCell ref="C69:C70"/>
    <mergeCell ref="D69:D70"/>
    <mergeCell ref="E69:E70"/>
    <mergeCell ref="A65:A68"/>
    <mergeCell ref="B65:B68"/>
    <mergeCell ref="C65:C68"/>
    <mergeCell ref="D65:D68"/>
    <mergeCell ref="E65:E68"/>
    <mergeCell ref="F65:F68"/>
    <mergeCell ref="F69:F70"/>
    <mergeCell ref="G69:G70"/>
    <mergeCell ref="F62:F64"/>
    <mergeCell ref="G62:G64"/>
    <mergeCell ref="O62:O63"/>
    <mergeCell ref="P62:P63"/>
    <mergeCell ref="Q62:Q63"/>
    <mergeCell ref="R62:R63"/>
    <mergeCell ref="G60:G61"/>
    <mergeCell ref="O60:O61"/>
    <mergeCell ref="P60:P61"/>
    <mergeCell ref="Q60:Q61"/>
    <mergeCell ref="R60:R61"/>
    <mergeCell ref="F60:F61"/>
    <mergeCell ref="A62:A64"/>
    <mergeCell ref="B62:B64"/>
    <mergeCell ref="C62:C64"/>
    <mergeCell ref="D62:D64"/>
    <mergeCell ref="E62:E64"/>
    <mergeCell ref="A60:A61"/>
    <mergeCell ref="B60:B61"/>
    <mergeCell ref="C60:C61"/>
    <mergeCell ref="D60:D61"/>
    <mergeCell ref="E60:E61"/>
    <mergeCell ref="D54:D56"/>
    <mergeCell ref="O54:O55"/>
    <mergeCell ref="A52:A53"/>
    <mergeCell ref="B52:B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G50:G51"/>
    <mergeCell ref="O50:O51"/>
    <mergeCell ref="G52:G53"/>
    <mergeCell ref="O52:O53"/>
    <mergeCell ref="P39:P40"/>
    <mergeCell ref="D41:D43"/>
    <mergeCell ref="E41:E43"/>
    <mergeCell ref="F41:F43"/>
    <mergeCell ref="G41:G43"/>
    <mergeCell ref="O42:O43"/>
    <mergeCell ref="G44:G45"/>
    <mergeCell ref="A47:A49"/>
    <mergeCell ref="B47:B49"/>
    <mergeCell ref="C47:C49"/>
    <mergeCell ref="D47:D49"/>
    <mergeCell ref="F47:F49"/>
    <mergeCell ref="G47:G49"/>
    <mergeCell ref="A44:A45"/>
    <mergeCell ref="B44:B45"/>
    <mergeCell ref="C44:C45"/>
    <mergeCell ref="D44:D45"/>
    <mergeCell ref="E44:E49"/>
    <mergeCell ref="F44:F45"/>
    <mergeCell ref="O48:O49"/>
    <mergeCell ref="Q39:Q40"/>
    <mergeCell ref="R39:R40"/>
    <mergeCell ref="G33:G34"/>
    <mergeCell ref="A35:A37"/>
    <mergeCell ref="B35:B37"/>
    <mergeCell ref="C35:C37"/>
    <mergeCell ref="D35:D37"/>
    <mergeCell ref="E35:E37"/>
    <mergeCell ref="F35:F37"/>
    <mergeCell ref="G35:G37"/>
    <mergeCell ref="A33:A34"/>
    <mergeCell ref="B33:B34"/>
    <mergeCell ref="C33:C34"/>
    <mergeCell ref="E33:E34"/>
    <mergeCell ref="F33:F34"/>
    <mergeCell ref="D33:D34"/>
    <mergeCell ref="A38:A40"/>
    <mergeCell ref="B38:B40"/>
    <mergeCell ref="C38:C40"/>
    <mergeCell ref="D38:D40"/>
    <mergeCell ref="E38:E40"/>
    <mergeCell ref="F38:F40"/>
    <mergeCell ref="G38:G40"/>
    <mergeCell ref="O39:O40"/>
    <mergeCell ref="G17:G23"/>
    <mergeCell ref="O17:O18"/>
    <mergeCell ref="D29:D30"/>
    <mergeCell ref="E29:E30"/>
    <mergeCell ref="A17:A23"/>
    <mergeCell ref="B17:B23"/>
    <mergeCell ref="C17:C23"/>
    <mergeCell ref="D17:D23"/>
    <mergeCell ref="E17:E23"/>
    <mergeCell ref="F17:F23"/>
    <mergeCell ref="D24:D25"/>
    <mergeCell ref="E24:E25"/>
    <mergeCell ref="D27:D28"/>
    <mergeCell ref="E27:E28"/>
    <mergeCell ref="O27:O28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P6:R6"/>
    <mergeCell ref="N5:N7"/>
    <mergeCell ref="O5:R5"/>
    <mergeCell ref="I6:I7"/>
    <mergeCell ref="J6:K6"/>
    <mergeCell ref="A8:R8"/>
    <mergeCell ref="A9:R9"/>
    <mergeCell ref="B10:R10"/>
    <mergeCell ref="C11:R11"/>
    <mergeCell ref="G5:G7"/>
    <mergeCell ref="H5:H7"/>
    <mergeCell ref="I5:L5"/>
    <mergeCell ref="M5:M7"/>
    <mergeCell ref="D15:D16"/>
    <mergeCell ref="L6:L7"/>
    <mergeCell ref="O6:O7"/>
    <mergeCell ref="F12:F13"/>
    <mergeCell ref="G12:G13"/>
    <mergeCell ref="O12:O13"/>
    <mergeCell ref="P12:P13"/>
    <mergeCell ref="Q12:Q13"/>
    <mergeCell ref="R12:R13"/>
    <mergeCell ref="A12:A13"/>
    <mergeCell ref="B12:B13"/>
    <mergeCell ref="C12:C13"/>
    <mergeCell ref="D12:D13"/>
    <mergeCell ref="E12:E13"/>
  </mergeCells>
  <printOptions horizontalCentered="1"/>
  <pageMargins left="0.31496062992125984" right="0.31496062992125984" top="0.55118110236220474" bottom="0.15748031496062992" header="0.31496062992125984" footer="0.31496062992125984"/>
  <pageSetup paperSize="9" scale="95" orientation="landscape" r:id="rId1"/>
  <rowBreaks count="4" manualBreakCount="4">
    <brk id="59" max="17" man="1"/>
    <brk id="86" max="17" man="1"/>
    <brk id="105" max="17" man="1"/>
    <brk id="129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view="pageBreakPreview" topLeftCell="A147" zoomScaleNormal="100" zoomScaleSheetLayoutView="100" workbookViewId="0">
      <selection activeCell="D189" sqref="D189"/>
    </sheetView>
  </sheetViews>
  <sheetFormatPr defaultRowHeight="12.75" x14ac:dyDescent="0.2"/>
  <cols>
    <col min="1" max="3" width="2.7109375" style="8" customWidth="1"/>
    <col min="4" max="4" width="29.42578125" style="8" customWidth="1"/>
    <col min="5" max="5" width="2.7109375" style="45" customWidth="1"/>
    <col min="6" max="6" width="2.7109375" style="8" customWidth="1"/>
    <col min="7" max="7" width="2.7109375" style="62" customWidth="1"/>
    <col min="8" max="8" width="7.7109375" style="88" customWidth="1"/>
    <col min="9" max="9" width="8.5703125" style="8" customWidth="1"/>
    <col min="10" max="10" width="7.42578125" style="8" customWidth="1"/>
    <col min="11" max="11" width="6.140625" style="8" customWidth="1"/>
    <col min="12" max="12" width="6.7109375" style="8" customWidth="1"/>
    <col min="13" max="13" width="8.140625" style="8" customWidth="1"/>
    <col min="14" max="14" width="7.5703125" style="8" customWidth="1"/>
    <col min="15" max="15" width="23.5703125" style="8" customWidth="1"/>
    <col min="16" max="17" width="3.7109375" style="8" customWidth="1"/>
    <col min="18" max="18" width="3.85546875" style="8" customWidth="1"/>
    <col min="19" max="16384" width="9.140625" style="3"/>
  </cols>
  <sheetData>
    <row r="1" spans="1:22" ht="15.75" x14ac:dyDescent="0.2">
      <c r="O1" s="1401" t="s">
        <v>218</v>
      </c>
      <c r="P1" s="1402"/>
      <c r="Q1" s="1402"/>
      <c r="R1" s="1402"/>
    </row>
    <row r="2" spans="1:22" ht="15.75" x14ac:dyDescent="0.2">
      <c r="A2" s="1183" t="s">
        <v>200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  <c r="O2" s="1183"/>
      <c r="P2" s="1183"/>
      <c r="Q2" s="1183"/>
      <c r="R2" s="1183"/>
    </row>
    <row r="3" spans="1:22" ht="15.75" x14ac:dyDescent="0.2">
      <c r="A3" s="1184" t="s">
        <v>36</v>
      </c>
      <c r="B3" s="1184"/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4"/>
      <c r="P3" s="1184"/>
      <c r="Q3" s="1184"/>
      <c r="R3" s="1184"/>
    </row>
    <row r="4" spans="1:22" ht="15.75" x14ac:dyDescent="0.2">
      <c r="A4" s="1185" t="s">
        <v>23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  <c r="Q4" s="1185"/>
      <c r="R4" s="1185"/>
      <c r="S4" s="1"/>
      <c r="T4" s="1"/>
      <c r="U4" s="1"/>
      <c r="V4" s="1"/>
    </row>
    <row r="5" spans="1:22" ht="13.5" thickBot="1" x14ac:dyDescent="0.25">
      <c r="P5" s="1186" t="s">
        <v>0</v>
      </c>
      <c r="Q5" s="1186"/>
      <c r="R5" s="1186"/>
    </row>
    <row r="6" spans="1:22" ht="21.75" customHeight="1" x14ac:dyDescent="0.2">
      <c r="A6" s="1187" t="s">
        <v>24</v>
      </c>
      <c r="B6" s="1190" t="s">
        <v>1</v>
      </c>
      <c r="C6" s="1190" t="s">
        <v>2</v>
      </c>
      <c r="D6" s="1193" t="s">
        <v>16</v>
      </c>
      <c r="E6" s="1196" t="s">
        <v>3</v>
      </c>
      <c r="F6" s="1199" t="s">
        <v>187</v>
      </c>
      <c r="G6" s="1152" t="s">
        <v>4</v>
      </c>
      <c r="H6" s="1155" t="s">
        <v>5</v>
      </c>
      <c r="I6" s="1158" t="s">
        <v>139</v>
      </c>
      <c r="J6" s="1159"/>
      <c r="K6" s="1159"/>
      <c r="L6" s="1160"/>
      <c r="M6" s="1161" t="s">
        <v>32</v>
      </c>
      <c r="N6" s="1161" t="s">
        <v>140</v>
      </c>
      <c r="O6" s="1205" t="s">
        <v>15</v>
      </c>
      <c r="P6" s="1206"/>
      <c r="Q6" s="1206"/>
      <c r="R6" s="1207"/>
    </row>
    <row r="7" spans="1:22" ht="11.25" customHeight="1" x14ac:dyDescent="0.2">
      <c r="A7" s="1188"/>
      <c r="B7" s="1191"/>
      <c r="C7" s="1191"/>
      <c r="D7" s="1194"/>
      <c r="E7" s="1197"/>
      <c r="F7" s="1200"/>
      <c r="G7" s="1153"/>
      <c r="H7" s="1156"/>
      <c r="I7" s="1208" t="s">
        <v>6</v>
      </c>
      <c r="J7" s="1202" t="s">
        <v>7</v>
      </c>
      <c r="K7" s="1209"/>
      <c r="L7" s="1166" t="s">
        <v>22</v>
      </c>
      <c r="M7" s="1162"/>
      <c r="N7" s="1162"/>
      <c r="O7" s="1168" t="s">
        <v>16</v>
      </c>
      <c r="P7" s="1202" t="s">
        <v>8</v>
      </c>
      <c r="Q7" s="1203"/>
      <c r="R7" s="1204"/>
    </row>
    <row r="8" spans="1:22" ht="70.5" customHeight="1" thickBot="1" x14ac:dyDescent="0.25">
      <c r="A8" s="1189"/>
      <c r="B8" s="1192"/>
      <c r="C8" s="1192"/>
      <c r="D8" s="1195"/>
      <c r="E8" s="1198"/>
      <c r="F8" s="1201"/>
      <c r="G8" s="1154"/>
      <c r="H8" s="1157"/>
      <c r="I8" s="1189"/>
      <c r="J8" s="5" t="s">
        <v>6</v>
      </c>
      <c r="K8" s="4" t="s">
        <v>17</v>
      </c>
      <c r="L8" s="1167"/>
      <c r="M8" s="1163"/>
      <c r="N8" s="1163"/>
      <c r="O8" s="1169"/>
      <c r="P8" s="6" t="s">
        <v>33</v>
      </c>
      <c r="Q8" s="6" t="s">
        <v>34</v>
      </c>
      <c r="R8" s="7" t="s">
        <v>141</v>
      </c>
    </row>
    <row r="9" spans="1:22" s="28" customFormat="1" x14ac:dyDescent="0.2">
      <c r="A9" s="1140" t="s">
        <v>133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2"/>
    </row>
    <row r="10" spans="1:22" s="28" customFormat="1" x14ac:dyDescent="0.2">
      <c r="A10" s="1143" t="s">
        <v>84</v>
      </c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5"/>
    </row>
    <row r="11" spans="1:22" ht="15" customHeight="1" x14ac:dyDescent="0.2">
      <c r="A11" s="95" t="s">
        <v>9</v>
      </c>
      <c r="B11" s="1146" t="s">
        <v>134</v>
      </c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8"/>
    </row>
    <row r="12" spans="1:22" x14ac:dyDescent="0.2">
      <c r="A12" s="93" t="s">
        <v>9</v>
      </c>
      <c r="B12" s="94" t="s">
        <v>9</v>
      </c>
      <c r="C12" s="1149" t="s">
        <v>69</v>
      </c>
      <c r="D12" s="1150"/>
      <c r="E12" s="1150"/>
      <c r="F12" s="1150"/>
      <c r="G12" s="1150"/>
      <c r="H12" s="1150"/>
      <c r="I12" s="1150"/>
      <c r="J12" s="1150"/>
      <c r="K12" s="1150"/>
      <c r="L12" s="1150"/>
      <c r="M12" s="1150"/>
      <c r="N12" s="1150"/>
      <c r="O12" s="1150"/>
      <c r="P12" s="1150"/>
      <c r="Q12" s="1150"/>
      <c r="R12" s="1151"/>
    </row>
    <row r="13" spans="1:22" ht="12.75" customHeight="1" x14ac:dyDescent="0.2">
      <c r="A13" s="1178" t="s">
        <v>9</v>
      </c>
      <c r="B13" s="1179" t="s">
        <v>9</v>
      </c>
      <c r="C13" s="1180" t="s">
        <v>9</v>
      </c>
      <c r="D13" s="1181" t="s">
        <v>111</v>
      </c>
      <c r="E13" s="1182"/>
      <c r="F13" s="1170" t="s">
        <v>43</v>
      </c>
      <c r="G13" s="1171" t="s">
        <v>39</v>
      </c>
      <c r="H13" s="133" t="s">
        <v>35</v>
      </c>
      <c r="I13" s="318">
        <f>J13+L13</f>
        <v>979.7</v>
      </c>
      <c r="J13" s="220">
        <f>949.7-99.9</f>
        <v>849.80000000000007</v>
      </c>
      <c r="K13" s="220"/>
      <c r="L13" s="244">
        <f>30+99.9</f>
        <v>129.9</v>
      </c>
      <c r="M13" s="319">
        <v>1841.4</v>
      </c>
      <c r="N13" s="43">
        <v>826.4</v>
      </c>
      <c r="O13" s="1172"/>
      <c r="P13" s="1174"/>
      <c r="Q13" s="1174"/>
      <c r="R13" s="1176"/>
    </row>
    <row r="14" spans="1:22" ht="25.5" customHeight="1" x14ac:dyDescent="0.2">
      <c r="A14" s="1178"/>
      <c r="B14" s="1179"/>
      <c r="C14" s="1180"/>
      <c r="D14" s="1181"/>
      <c r="E14" s="1182"/>
      <c r="F14" s="1170"/>
      <c r="G14" s="1171"/>
      <c r="H14" s="133"/>
      <c r="I14" s="318"/>
      <c r="J14" s="220"/>
      <c r="K14" s="220"/>
      <c r="L14" s="244"/>
      <c r="M14" s="79"/>
      <c r="N14" s="67"/>
      <c r="O14" s="1173"/>
      <c r="P14" s="1175"/>
      <c r="Q14" s="1175"/>
      <c r="R14" s="1177"/>
    </row>
    <row r="15" spans="1:22" ht="12.75" customHeight="1" x14ac:dyDescent="0.2">
      <c r="A15" s="1178"/>
      <c r="B15" s="1179"/>
      <c r="C15" s="1180"/>
      <c r="D15" s="1216" t="s">
        <v>45</v>
      </c>
      <c r="E15" s="1491"/>
      <c r="F15" s="1481"/>
      <c r="G15" s="1474"/>
      <c r="H15" s="133"/>
      <c r="I15" s="320"/>
      <c r="J15" s="220"/>
      <c r="K15" s="220"/>
      <c r="L15" s="244"/>
      <c r="M15" s="319"/>
      <c r="N15" s="43"/>
      <c r="O15" s="1482" t="s">
        <v>96</v>
      </c>
      <c r="P15" s="111">
        <v>3.5</v>
      </c>
      <c r="Q15" s="111">
        <v>3.4</v>
      </c>
      <c r="R15" s="112">
        <v>3.5</v>
      </c>
    </row>
    <row r="16" spans="1:22" ht="14.25" customHeight="1" x14ac:dyDescent="0.2">
      <c r="A16" s="1178"/>
      <c r="B16" s="1179"/>
      <c r="C16" s="1180"/>
      <c r="D16" s="1484"/>
      <c r="E16" s="1492"/>
      <c r="F16" s="1285"/>
      <c r="G16" s="1210"/>
      <c r="H16" s="321"/>
      <c r="I16" s="322"/>
      <c r="J16" s="323"/>
      <c r="K16" s="323"/>
      <c r="L16" s="324"/>
      <c r="M16" s="325"/>
      <c r="N16" s="326"/>
      <c r="O16" s="1173"/>
      <c r="P16" s="57"/>
      <c r="Q16" s="57"/>
      <c r="R16" s="142"/>
      <c r="S16" s="12"/>
      <c r="U16" s="11"/>
    </row>
    <row r="17" spans="1:28" x14ac:dyDescent="0.2">
      <c r="A17" s="1178"/>
      <c r="B17" s="1179"/>
      <c r="C17" s="1180"/>
      <c r="D17" s="1217" t="s">
        <v>46</v>
      </c>
      <c r="E17" s="1218"/>
      <c r="F17" s="1220"/>
      <c r="G17" s="1171"/>
      <c r="H17" s="314"/>
      <c r="I17" s="320"/>
      <c r="J17" s="220"/>
      <c r="K17" s="220"/>
      <c r="L17" s="244"/>
      <c r="M17" s="327"/>
      <c r="N17" s="328"/>
      <c r="O17" s="1211" t="s">
        <v>48</v>
      </c>
      <c r="P17" s="599">
        <v>5</v>
      </c>
      <c r="Q17" s="599">
        <v>5</v>
      </c>
      <c r="R17" s="600">
        <v>5</v>
      </c>
    </row>
    <row r="18" spans="1:28" x14ac:dyDescent="0.2">
      <c r="A18" s="1178"/>
      <c r="B18" s="1179"/>
      <c r="C18" s="1180"/>
      <c r="D18" s="1217"/>
      <c r="E18" s="1218"/>
      <c r="F18" s="1220"/>
      <c r="G18" s="1171"/>
      <c r="H18" s="321"/>
      <c r="I18" s="322"/>
      <c r="J18" s="323"/>
      <c r="K18" s="323"/>
      <c r="L18" s="324"/>
      <c r="M18" s="325"/>
      <c r="N18" s="326"/>
      <c r="O18" s="1483"/>
      <c r="P18" s="599"/>
      <c r="Q18" s="599"/>
      <c r="R18" s="600"/>
    </row>
    <row r="19" spans="1:28" x14ac:dyDescent="0.2">
      <c r="A19" s="1178"/>
      <c r="B19" s="1179"/>
      <c r="C19" s="1180"/>
      <c r="D19" s="1216" t="s">
        <v>47</v>
      </c>
      <c r="E19" s="1224"/>
      <c r="F19" s="1473"/>
      <c r="G19" s="1474"/>
      <c r="H19" s="314"/>
      <c r="I19" s="320"/>
      <c r="J19" s="220"/>
      <c r="K19" s="220"/>
      <c r="L19" s="244"/>
      <c r="M19" s="327"/>
      <c r="N19" s="328"/>
      <c r="O19" s="1211" t="s">
        <v>112</v>
      </c>
      <c r="P19" s="515">
        <v>4</v>
      </c>
      <c r="Q19" s="515">
        <v>4</v>
      </c>
      <c r="R19" s="514">
        <v>4</v>
      </c>
    </row>
    <row r="20" spans="1:28" x14ac:dyDescent="0.2">
      <c r="A20" s="1178"/>
      <c r="B20" s="1179"/>
      <c r="C20" s="1180"/>
      <c r="D20" s="1217"/>
      <c r="E20" s="1218"/>
      <c r="F20" s="1220"/>
      <c r="G20" s="1171"/>
      <c r="H20" s="314"/>
      <c r="I20" s="320"/>
      <c r="J20" s="220"/>
      <c r="K20" s="220"/>
      <c r="L20" s="244"/>
      <c r="M20" s="327"/>
      <c r="N20" s="328"/>
      <c r="O20" s="1212"/>
      <c r="P20" s="599"/>
      <c r="Q20" s="599"/>
      <c r="R20" s="600"/>
    </row>
    <row r="21" spans="1:28" ht="25.5" x14ac:dyDescent="0.2">
      <c r="A21" s="1178"/>
      <c r="B21" s="1179"/>
      <c r="C21" s="1180"/>
      <c r="D21" s="1217"/>
      <c r="E21" s="1218"/>
      <c r="F21" s="1220"/>
      <c r="G21" s="1171"/>
      <c r="H21" s="314"/>
      <c r="I21" s="320"/>
      <c r="J21" s="220"/>
      <c r="K21" s="220"/>
      <c r="L21" s="244"/>
      <c r="M21" s="327"/>
      <c r="N21" s="328"/>
      <c r="O21" s="586" t="s">
        <v>145</v>
      </c>
      <c r="P21" s="599">
        <v>20</v>
      </c>
      <c r="Q21" s="599"/>
      <c r="R21" s="600"/>
    </row>
    <row r="22" spans="1:28" x14ac:dyDescent="0.2">
      <c r="A22" s="1178"/>
      <c r="B22" s="1179"/>
      <c r="C22" s="1180"/>
      <c r="D22" s="1217"/>
      <c r="E22" s="1218"/>
      <c r="F22" s="1220"/>
      <c r="G22" s="1171"/>
      <c r="H22" s="314"/>
      <c r="I22" s="320"/>
      <c r="J22" s="220"/>
      <c r="K22" s="220"/>
      <c r="L22" s="244"/>
      <c r="M22" s="327"/>
      <c r="N22" s="328"/>
      <c r="O22" s="15" t="s">
        <v>138</v>
      </c>
      <c r="P22" s="599">
        <v>1</v>
      </c>
      <c r="Q22" s="599">
        <v>1</v>
      </c>
      <c r="R22" s="600">
        <v>1</v>
      </c>
    </row>
    <row r="23" spans="1:28" x14ac:dyDescent="0.2">
      <c r="A23" s="1178"/>
      <c r="B23" s="1179"/>
      <c r="C23" s="1180"/>
      <c r="D23" s="1217"/>
      <c r="E23" s="1218"/>
      <c r="F23" s="1220"/>
      <c r="G23" s="1171"/>
      <c r="H23" s="314"/>
      <c r="I23" s="320"/>
      <c r="J23" s="220"/>
      <c r="K23" s="220"/>
      <c r="L23" s="244"/>
      <c r="M23" s="315"/>
      <c r="N23" s="316"/>
      <c r="O23" s="15" t="s">
        <v>49</v>
      </c>
      <c r="P23" s="599">
        <v>44</v>
      </c>
      <c r="Q23" s="599">
        <v>30</v>
      </c>
      <c r="R23" s="600">
        <v>30</v>
      </c>
    </row>
    <row r="24" spans="1:28" x14ac:dyDescent="0.2">
      <c r="A24" s="1178"/>
      <c r="B24" s="1179"/>
      <c r="C24" s="1180"/>
      <c r="D24" s="1217"/>
      <c r="E24" s="1218"/>
      <c r="F24" s="1220"/>
      <c r="G24" s="1171"/>
      <c r="H24" s="314"/>
      <c r="I24" s="320"/>
      <c r="J24" s="220"/>
      <c r="K24" s="220"/>
      <c r="L24" s="244"/>
      <c r="M24" s="315"/>
      <c r="N24" s="316"/>
      <c r="O24" s="15" t="s">
        <v>50</v>
      </c>
      <c r="P24" s="599">
        <v>8</v>
      </c>
      <c r="Q24" s="599">
        <v>10</v>
      </c>
      <c r="R24" s="600">
        <v>10</v>
      </c>
    </row>
    <row r="25" spans="1:28" ht="13.5" customHeight="1" x14ac:dyDescent="0.2">
      <c r="A25" s="1178"/>
      <c r="B25" s="1179"/>
      <c r="C25" s="1180"/>
      <c r="D25" s="1217"/>
      <c r="E25" s="1219"/>
      <c r="F25" s="1220"/>
      <c r="G25" s="1171"/>
      <c r="H25" s="321"/>
      <c r="I25" s="322"/>
      <c r="J25" s="323"/>
      <c r="K25" s="323"/>
      <c r="L25" s="324"/>
      <c r="M25" s="325"/>
      <c r="N25" s="326"/>
      <c r="O25" s="59" t="s">
        <v>51</v>
      </c>
      <c r="P25" s="606">
        <v>28</v>
      </c>
      <c r="Q25" s="606">
        <v>30</v>
      </c>
      <c r="R25" s="607">
        <v>30</v>
      </c>
    </row>
    <row r="26" spans="1:28" ht="25.5" x14ac:dyDescent="0.2">
      <c r="A26" s="92"/>
      <c r="B26" s="588"/>
      <c r="C26" s="592"/>
      <c r="D26" s="1222" t="s">
        <v>199</v>
      </c>
      <c r="E26" s="1224" t="s">
        <v>169</v>
      </c>
      <c r="F26" s="605"/>
      <c r="G26" s="82"/>
      <c r="H26" s="329"/>
      <c r="I26" s="320"/>
      <c r="J26" s="220"/>
      <c r="K26" s="323"/>
      <c r="L26" s="324"/>
      <c r="M26" s="315"/>
      <c r="N26" s="326"/>
      <c r="O26" s="207" t="s">
        <v>184</v>
      </c>
      <c r="P26" s="208">
        <v>1</v>
      </c>
      <c r="Q26" s="198">
        <v>1</v>
      </c>
      <c r="R26" s="83"/>
      <c r="AA26" s="12"/>
      <c r="AB26" s="12"/>
    </row>
    <row r="27" spans="1:28" ht="14.25" customHeight="1" thickBot="1" x14ac:dyDescent="0.25">
      <c r="A27" s="96"/>
      <c r="B27" s="590"/>
      <c r="C27" s="593"/>
      <c r="D27" s="1277"/>
      <c r="E27" s="1476"/>
      <c r="F27" s="596"/>
      <c r="G27" s="90"/>
      <c r="H27" s="608"/>
      <c r="I27" s="609"/>
      <c r="J27" s="346"/>
      <c r="K27" s="571"/>
      <c r="L27" s="575"/>
      <c r="M27" s="610"/>
      <c r="N27" s="576"/>
      <c r="O27" s="16" t="s">
        <v>185</v>
      </c>
      <c r="P27" s="611">
        <v>100</v>
      </c>
      <c r="Q27" s="84">
        <v>100</v>
      </c>
      <c r="R27" s="85"/>
      <c r="AA27" s="12"/>
      <c r="AB27" s="12"/>
    </row>
    <row r="28" spans="1:28" x14ac:dyDescent="0.2">
      <c r="A28" s="366"/>
      <c r="B28" s="589"/>
      <c r="C28" s="591"/>
      <c r="D28" s="1477" t="s">
        <v>188</v>
      </c>
      <c r="E28" s="1479" t="s">
        <v>169</v>
      </c>
      <c r="F28" s="595"/>
      <c r="G28" s="89"/>
      <c r="H28" s="577" t="s">
        <v>93</v>
      </c>
      <c r="I28" s="267">
        <f>J28</f>
        <v>150</v>
      </c>
      <c r="J28" s="269">
        <v>150</v>
      </c>
      <c r="K28" s="578"/>
      <c r="L28" s="579"/>
      <c r="M28" s="612">
        <v>100</v>
      </c>
      <c r="N28" s="613"/>
      <c r="O28" s="614" t="s">
        <v>161</v>
      </c>
      <c r="P28" s="615">
        <v>1</v>
      </c>
      <c r="Q28" s="598"/>
      <c r="R28" s="580"/>
      <c r="S28" s="140"/>
      <c r="AA28" s="12"/>
      <c r="AB28" s="12"/>
    </row>
    <row r="29" spans="1:28" x14ac:dyDescent="0.2">
      <c r="A29" s="92"/>
      <c r="B29" s="588"/>
      <c r="C29" s="592"/>
      <c r="D29" s="1478"/>
      <c r="E29" s="1480"/>
      <c r="F29" s="587"/>
      <c r="G29" s="82"/>
      <c r="H29" s="417"/>
      <c r="I29" s="418"/>
      <c r="J29" s="413"/>
      <c r="K29" s="413"/>
      <c r="L29" s="414"/>
      <c r="M29" s="419"/>
      <c r="N29" s="415"/>
      <c r="O29" s="75" t="s">
        <v>160</v>
      </c>
      <c r="P29" s="197">
        <v>50</v>
      </c>
      <c r="Q29" s="606">
        <v>50</v>
      </c>
      <c r="R29" s="115"/>
      <c r="AA29" s="12"/>
      <c r="AB29" s="12"/>
    </row>
    <row r="30" spans="1:28" ht="21.75" customHeight="1" x14ac:dyDescent="0.2">
      <c r="A30" s="92"/>
      <c r="B30" s="588"/>
      <c r="C30" s="592"/>
      <c r="D30" s="1485" t="s">
        <v>208</v>
      </c>
      <c r="E30" s="1489" t="s">
        <v>210</v>
      </c>
      <c r="F30" s="544"/>
      <c r="G30" s="545" t="s">
        <v>89</v>
      </c>
      <c r="H30" s="546" t="s">
        <v>35</v>
      </c>
      <c r="I30" s="547">
        <f>J30</f>
        <v>200</v>
      </c>
      <c r="J30" s="381">
        <v>200</v>
      </c>
      <c r="K30" s="548"/>
      <c r="L30" s="549"/>
      <c r="M30" s="550"/>
      <c r="N30" s="551"/>
      <c r="O30" s="1487" t="s">
        <v>209</v>
      </c>
      <c r="P30" s="557">
        <v>0.33</v>
      </c>
      <c r="Q30" s="552"/>
      <c r="R30" s="83"/>
      <c r="AA30" s="12"/>
      <c r="AB30" s="12"/>
    </row>
    <row r="31" spans="1:28" ht="16.5" customHeight="1" x14ac:dyDescent="0.2">
      <c r="A31" s="92"/>
      <c r="B31" s="588"/>
      <c r="C31" s="592"/>
      <c r="D31" s="1486"/>
      <c r="E31" s="1490"/>
      <c r="F31" s="553"/>
      <c r="G31" s="545"/>
      <c r="H31" s="554"/>
      <c r="I31" s="555"/>
      <c r="J31" s="548"/>
      <c r="K31" s="548"/>
      <c r="L31" s="549"/>
      <c r="M31" s="550"/>
      <c r="N31" s="551"/>
      <c r="O31" s="1488"/>
      <c r="P31" s="558"/>
      <c r="Q31" s="552"/>
      <c r="R31" s="83"/>
      <c r="AA31" s="12"/>
      <c r="AB31" s="12"/>
    </row>
    <row r="32" spans="1:28" ht="30.75" customHeight="1" thickBot="1" x14ac:dyDescent="0.25">
      <c r="A32" s="584"/>
      <c r="B32" s="590"/>
      <c r="C32" s="593"/>
      <c r="D32" s="585"/>
      <c r="E32" s="594"/>
      <c r="F32" s="596"/>
      <c r="G32" s="581"/>
      <c r="H32" s="279" t="s">
        <v>10</v>
      </c>
      <c r="I32" s="542" t="s">
        <v>211</v>
      </c>
      <c r="J32" s="556" t="s">
        <v>212</v>
      </c>
      <c r="K32" s="238">
        <f>K13</f>
        <v>0</v>
      </c>
      <c r="L32" s="239">
        <f>L13</f>
        <v>129.9</v>
      </c>
      <c r="M32" s="243">
        <f>M13+M28</f>
        <v>1941.4</v>
      </c>
      <c r="N32" s="237">
        <f>N13</f>
        <v>826.4</v>
      </c>
      <c r="O32" s="333"/>
      <c r="P32" s="559"/>
      <c r="Q32" s="84"/>
      <c r="R32" s="85"/>
      <c r="AA32" s="12"/>
      <c r="AB32" s="12"/>
    </row>
    <row r="33" spans="1:18" x14ac:dyDescent="0.2">
      <c r="A33" s="1178" t="s">
        <v>9</v>
      </c>
      <c r="B33" s="1179" t="s">
        <v>9</v>
      </c>
      <c r="C33" s="1180" t="s">
        <v>11</v>
      </c>
      <c r="D33" s="1181" t="s">
        <v>113</v>
      </c>
      <c r="E33" s="1218"/>
      <c r="F33" s="1220" t="s">
        <v>53</v>
      </c>
      <c r="G33" s="1171" t="s">
        <v>39</v>
      </c>
      <c r="H33" s="14" t="s">
        <v>35</v>
      </c>
      <c r="I33" s="247">
        <f>J33+L33</f>
        <v>6410.1</v>
      </c>
      <c r="J33" s="220">
        <v>6405.6</v>
      </c>
      <c r="K33" s="220"/>
      <c r="L33" s="221">
        <v>4.5</v>
      </c>
      <c r="M33" s="341">
        <f>7481+130</f>
        <v>7611</v>
      </c>
      <c r="N33" s="105">
        <f>7481+130</f>
        <v>7611</v>
      </c>
      <c r="O33" s="332"/>
      <c r="P33" s="604"/>
      <c r="Q33" s="604"/>
      <c r="R33" s="602"/>
    </row>
    <row r="34" spans="1:18" x14ac:dyDescent="0.2">
      <c r="A34" s="1178"/>
      <c r="B34" s="1179"/>
      <c r="C34" s="1180"/>
      <c r="D34" s="1475"/>
      <c r="E34" s="1218"/>
      <c r="F34" s="1220"/>
      <c r="G34" s="1171"/>
      <c r="H34" s="335" t="s">
        <v>60</v>
      </c>
      <c r="I34" s="247">
        <f>J34+L34</f>
        <v>3.5</v>
      </c>
      <c r="J34" s="220">
        <v>3.5</v>
      </c>
      <c r="K34" s="220"/>
      <c r="L34" s="221"/>
      <c r="M34" s="328">
        <v>3.5</v>
      </c>
      <c r="N34" s="340">
        <v>3.5</v>
      </c>
      <c r="O34" s="15"/>
      <c r="P34" s="604"/>
      <c r="Q34" s="604"/>
      <c r="R34" s="602"/>
    </row>
    <row r="35" spans="1:18" ht="18" customHeight="1" x14ac:dyDescent="0.2">
      <c r="A35" s="1178"/>
      <c r="B35" s="1179"/>
      <c r="C35" s="1180"/>
      <c r="D35" s="1164" t="s">
        <v>189</v>
      </c>
      <c r="E35" s="1224"/>
      <c r="F35" s="1473" t="s">
        <v>40</v>
      </c>
      <c r="G35" s="1474"/>
      <c r="H35" s="14"/>
      <c r="I35" s="247"/>
      <c r="J35" s="220"/>
      <c r="K35" s="220"/>
      <c r="L35" s="221"/>
      <c r="M35" s="43"/>
      <c r="N35" s="105"/>
      <c r="O35" s="58" t="s">
        <v>146</v>
      </c>
      <c r="P35" s="603">
        <v>3.7</v>
      </c>
      <c r="Q35" s="603">
        <v>3.7</v>
      </c>
      <c r="R35" s="601">
        <v>3.7</v>
      </c>
    </row>
    <row r="36" spans="1:18" ht="18.75" customHeight="1" x14ac:dyDescent="0.2">
      <c r="A36" s="1178"/>
      <c r="B36" s="1179"/>
      <c r="C36" s="1180"/>
      <c r="D36" s="1213"/>
      <c r="E36" s="1218"/>
      <c r="F36" s="1220"/>
      <c r="G36" s="1171"/>
      <c r="H36" s="335"/>
      <c r="I36" s="247"/>
      <c r="J36" s="220"/>
      <c r="K36" s="220"/>
      <c r="L36" s="221"/>
      <c r="M36" s="67"/>
      <c r="N36" s="102"/>
      <c r="O36" s="15" t="s">
        <v>191</v>
      </c>
      <c r="P36" s="604">
        <v>2.5</v>
      </c>
      <c r="Q36" s="604">
        <v>2.5</v>
      </c>
      <c r="R36" s="602">
        <v>2.5</v>
      </c>
    </row>
    <row r="37" spans="1:18" x14ac:dyDescent="0.2">
      <c r="A37" s="1178"/>
      <c r="B37" s="1179"/>
      <c r="C37" s="1180"/>
      <c r="D37" s="1213"/>
      <c r="E37" s="1218"/>
      <c r="F37" s="1220"/>
      <c r="G37" s="1171"/>
      <c r="H37" s="335"/>
      <c r="I37" s="247"/>
      <c r="J37" s="220"/>
      <c r="K37" s="220"/>
      <c r="L37" s="221"/>
      <c r="M37" s="33"/>
      <c r="N37" s="174"/>
      <c r="O37" s="1212" t="s">
        <v>97</v>
      </c>
      <c r="P37" s="1229">
        <v>20</v>
      </c>
      <c r="Q37" s="1229">
        <v>20</v>
      </c>
      <c r="R37" s="1231">
        <v>20</v>
      </c>
    </row>
    <row r="38" spans="1:18" x14ac:dyDescent="0.2">
      <c r="A38" s="1178"/>
      <c r="B38" s="1179"/>
      <c r="C38" s="1180"/>
      <c r="D38" s="1241"/>
      <c r="E38" s="1219"/>
      <c r="F38" s="1221"/>
      <c r="G38" s="1210"/>
      <c r="H38" s="337"/>
      <c r="I38" s="338"/>
      <c r="J38" s="323"/>
      <c r="K38" s="323"/>
      <c r="L38" s="339"/>
      <c r="M38" s="326"/>
      <c r="N38" s="331"/>
      <c r="O38" s="1244"/>
      <c r="P38" s="1230"/>
      <c r="Q38" s="1230"/>
      <c r="R38" s="1232"/>
    </row>
    <row r="39" spans="1:18" ht="18" customHeight="1" x14ac:dyDescent="0.2">
      <c r="A39" s="1178"/>
      <c r="B39" s="1179"/>
      <c r="C39" s="1180"/>
      <c r="D39" s="1213" t="s">
        <v>55</v>
      </c>
      <c r="E39" s="1218"/>
      <c r="F39" s="1220"/>
      <c r="G39" s="1171"/>
      <c r="H39" s="335"/>
      <c r="I39" s="247"/>
      <c r="J39" s="220"/>
      <c r="K39" s="220"/>
      <c r="L39" s="221"/>
      <c r="M39" s="328"/>
      <c r="N39" s="340"/>
      <c r="O39" s="586" t="s">
        <v>57</v>
      </c>
      <c r="P39" s="599">
        <v>44</v>
      </c>
      <c r="Q39" s="599">
        <v>44</v>
      </c>
      <c r="R39" s="600">
        <v>44</v>
      </c>
    </row>
    <row r="40" spans="1:18" x14ac:dyDescent="0.2">
      <c r="A40" s="1178"/>
      <c r="B40" s="1179"/>
      <c r="C40" s="1180"/>
      <c r="D40" s="1213"/>
      <c r="E40" s="1218"/>
      <c r="F40" s="1220"/>
      <c r="G40" s="1171"/>
      <c r="H40" s="335"/>
      <c r="I40" s="247"/>
      <c r="J40" s="220"/>
      <c r="K40" s="220"/>
      <c r="L40" s="221"/>
      <c r="M40" s="316"/>
      <c r="N40" s="330"/>
      <c r="O40" s="1212" t="s">
        <v>192</v>
      </c>
      <c r="P40" s="1229">
        <v>387</v>
      </c>
      <c r="Q40" s="1229">
        <v>387</v>
      </c>
      <c r="R40" s="1231">
        <v>387</v>
      </c>
    </row>
    <row r="41" spans="1:18" x14ac:dyDescent="0.2">
      <c r="A41" s="1178"/>
      <c r="B41" s="1179"/>
      <c r="C41" s="1180"/>
      <c r="D41" s="1213"/>
      <c r="E41" s="1218"/>
      <c r="F41" s="1220"/>
      <c r="G41" s="1171"/>
      <c r="H41" s="411"/>
      <c r="I41" s="420"/>
      <c r="J41" s="413"/>
      <c r="K41" s="413"/>
      <c r="L41" s="421"/>
      <c r="M41" s="415"/>
      <c r="N41" s="422"/>
      <c r="O41" s="1212"/>
      <c r="P41" s="1230"/>
      <c r="Q41" s="1230"/>
      <c r="R41" s="1232"/>
    </row>
    <row r="42" spans="1:18" ht="27.75" customHeight="1" x14ac:dyDescent="0.2">
      <c r="A42" s="583"/>
      <c r="B42" s="588"/>
      <c r="C42" s="592"/>
      <c r="D42" s="1164" t="s">
        <v>98</v>
      </c>
      <c r="E42" s="1224"/>
      <c r="F42" s="1473"/>
      <c r="G42" s="1474"/>
      <c r="H42" s="14" t="s">
        <v>35</v>
      </c>
      <c r="I42" s="247">
        <f>J42+L42</f>
        <v>114.5</v>
      </c>
      <c r="J42" s="220">
        <v>114.5</v>
      </c>
      <c r="K42" s="220"/>
      <c r="L42" s="221"/>
      <c r="M42" s="43"/>
      <c r="N42" s="105"/>
      <c r="O42" s="113" t="s">
        <v>147</v>
      </c>
      <c r="P42" s="114">
        <v>2.5</v>
      </c>
      <c r="Q42" s="65">
        <v>3</v>
      </c>
      <c r="R42" s="66">
        <v>3</v>
      </c>
    </row>
    <row r="43" spans="1:18" ht="18.75" customHeight="1" x14ac:dyDescent="0.2">
      <c r="A43" s="583"/>
      <c r="B43" s="588"/>
      <c r="C43" s="592"/>
      <c r="D43" s="1213"/>
      <c r="E43" s="1218"/>
      <c r="F43" s="1220"/>
      <c r="G43" s="1171"/>
      <c r="H43" s="144" t="s">
        <v>179</v>
      </c>
      <c r="I43" s="216">
        <f>J43+L43</f>
        <v>15</v>
      </c>
      <c r="J43" s="217">
        <v>15</v>
      </c>
      <c r="K43" s="217"/>
      <c r="L43" s="218"/>
      <c r="M43" s="63"/>
      <c r="N43" s="104"/>
      <c r="O43" s="1211" t="s">
        <v>100</v>
      </c>
      <c r="P43" s="336">
        <v>1</v>
      </c>
      <c r="Q43" s="515">
        <v>1</v>
      </c>
      <c r="R43" s="514">
        <v>1</v>
      </c>
    </row>
    <row r="44" spans="1:18" ht="19.5" customHeight="1" thickBot="1" x14ac:dyDescent="0.25">
      <c r="A44" s="92"/>
      <c r="B44" s="588"/>
      <c r="C44" s="592"/>
      <c r="D44" s="1213"/>
      <c r="E44" s="1218"/>
      <c r="F44" s="1220"/>
      <c r="G44" s="1171"/>
      <c r="H44" s="281" t="s">
        <v>10</v>
      </c>
      <c r="I44" s="227">
        <f>I42+I34+I33+I43</f>
        <v>6543.1</v>
      </c>
      <c r="J44" s="227">
        <f>J42+J34+J33+J43</f>
        <v>6538.6</v>
      </c>
      <c r="K44" s="227">
        <f>K42+K34+K33</f>
        <v>0</v>
      </c>
      <c r="L44" s="277">
        <f>L42+L34+L33</f>
        <v>4.5</v>
      </c>
      <c r="M44" s="278">
        <f>M42+M34+M33</f>
        <v>7614.5</v>
      </c>
      <c r="N44" s="227">
        <f>N42+N34+N33</f>
        <v>7614.5</v>
      </c>
      <c r="O44" s="1453"/>
      <c r="P44" s="597"/>
      <c r="Q44" s="599"/>
      <c r="R44" s="600"/>
    </row>
    <row r="45" spans="1:18" ht="12.75" customHeight="1" x14ac:dyDescent="0.2">
      <c r="A45" s="1234" t="s">
        <v>9</v>
      </c>
      <c r="B45" s="1235" t="s">
        <v>9</v>
      </c>
      <c r="C45" s="1236" t="s">
        <v>37</v>
      </c>
      <c r="D45" s="1469" t="s">
        <v>114</v>
      </c>
      <c r="E45" s="1237" t="s">
        <v>168</v>
      </c>
      <c r="F45" s="1238" t="s">
        <v>40</v>
      </c>
      <c r="G45" s="1233" t="s">
        <v>39</v>
      </c>
      <c r="H45" s="13" t="s">
        <v>35</v>
      </c>
      <c r="I45" s="229">
        <f>J45+L45</f>
        <v>1355.2</v>
      </c>
      <c r="J45" s="229">
        <f>1292.2+10</f>
        <v>1302.2</v>
      </c>
      <c r="K45" s="229">
        <v>710.7</v>
      </c>
      <c r="L45" s="385">
        <f>63-10</f>
        <v>53</v>
      </c>
      <c r="M45" s="387">
        <v>1592.1</v>
      </c>
      <c r="N45" s="344">
        <v>1146.0999999999999</v>
      </c>
      <c r="O45" s="582"/>
      <c r="P45" s="125"/>
      <c r="Q45" s="125"/>
      <c r="R45" s="35"/>
    </row>
    <row r="46" spans="1:18" x14ac:dyDescent="0.2">
      <c r="A46" s="1178"/>
      <c r="B46" s="1179"/>
      <c r="C46" s="1180"/>
      <c r="D46" s="1243"/>
      <c r="E46" s="1218"/>
      <c r="F46" s="1220"/>
      <c r="G46" s="1171"/>
      <c r="H46" s="14" t="s">
        <v>60</v>
      </c>
      <c r="I46" s="247">
        <f>J46+L46</f>
        <v>116.2</v>
      </c>
      <c r="J46" s="247">
        <v>116.2</v>
      </c>
      <c r="K46" s="247">
        <v>31.7</v>
      </c>
      <c r="L46" s="380">
        <f>L51+L53+L56</f>
        <v>0</v>
      </c>
      <c r="M46" s="316">
        <v>115.8</v>
      </c>
      <c r="N46" s="330">
        <v>115.8</v>
      </c>
      <c r="O46" s="586"/>
      <c r="P46" s="604"/>
      <c r="Q46" s="604"/>
      <c r="R46" s="602"/>
    </row>
    <row r="47" spans="1:18" ht="21" customHeight="1" x14ac:dyDescent="0.2">
      <c r="A47" s="1178"/>
      <c r="B47" s="1179"/>
      <c r="C47" s="1180"/>
      <c r="D47" s="1164" t="s">
        <v>162</v>
      </c>
      <c r="E47" s="1225"/>
      <c r="F47" s="1220"/>
      <c r="G47" s="1171"/>
      <c r="H47" s="14"/>
      <c r="I47" s="247"/>
      <c r="J47" s="220"/>
      <c r="K47" s="220"/>
      <c r="L47" s="221"/>
      <c r="M47" s="43"/>
      <c r="N47" s="105"/>
      <c r="O47" s="58" t="s">
        <v>85</v>
      </c>
      <c r="P47" s="603">
        <v>0.17649999999999999</v>
      </c>
      <c r="Q47" s="603">
        <v>0.17649999999999999</v>
      </c>
      <c r="R47" s="601">
        <v>0.17649999999999999</v>
      </c>
    </row>
    <row r="48" spans="1:18" ht="14.25" customHeight="1" x14ac:dyDescent="0.2">
      <c r="A48" s="1178"/>
      <c r="B48" s="1179"/>
      <c r="C48" s="1180"/>
      <c r="D48" s="1213"/>
      <c r="E48" s="1225"/>
      <c r="F48" s="1220"/>
      <c r="G48" s="1171"/>
      <c r="H48" s="14"/>
      <c r="I48" s="247"/>
      <c r="J48" s="220"/>
      <c r="K48" s="220"/>
      <c r="L48" s="221"/>
      <c r="M48" s="43"/>
      <c r="N48" s="105"/>
      <c r="O48" s="1212" t="s">
        <v>86</v>
      </c>
      <c r="P48" s="604">
        <v>5.0299999999999997E-2</v>
      </c>
      <c r="Q48" s="604">
        <v>5.0299999999999997E-2</v>
      </c>
      <c r="R48" s="602">
        <v>5.0299999999999997E-2</v>
      </c>
    </row>
    <row r="49" spans="1:21" ht="29.25" customHeight="1" thickBot="1" x14ac:dyDescent="0.25">
      <c r="A49" s="1256"/>
      <c r="B49" s="1257"/>
      <c r="C49" s="1258"/>
      <c r="D49" s="1260"/>
      <c r="E49" s="1472"/>
      <c r="F49" s="1262"/>
      <c r="G49" s="1254"/>
      <c r="H49" s="570"/>
      <c r="I49" s="271"/>
      <c r="J49" s="571"/>
      <c r="K49" s="571"/>
      <c r="L49" s="572"/>
      <c r="M49" s="573"/>
      <c r="N49" s="574"/>
      <c r="O49" s="1255"/>
      <c r="P49" s="513"/>
      <c r="Q49" s="513"/>
      <c r="R49" s="512"/>
    </row>
    <row r="50" spans="1:21" ht="12.75" customHeight="1" x14ac:dyDescent="0.2">
      <c r="A50" s="1234"/>
      <c r="B50" s="1235"/>
      <c r="C50" s="1236"/>
      <c r="D50" s="1259" t="s">
        <v>58</v>
      </c>
      <c r="E50" s="1237"/>
      <c r="F50" s="1238"/>
      <c r="G50" s="1233"/>
      <c r="H50" s="342"/>
      <c r="I50" s="343"/>
      <c r="J50" s="269"/>
      <c r="K50" s="269"/>
      <c r="L50" s="270"/>
      <c r="M50" s="341"/>
      <c r="N50" s="569"/>
      <c r="O50" s="1248" t="s">
        <v>59</v>
      </c>
      <c r="P50" s="499">
        <v>3</v>
      </c>
      <c r="Q50" s="499">
        <v>3</v>
      </c>
      <c r="R50" s="501">
        <v>3</v>
      </c>
    </row>
    <row r="51" spans="1:21" x14ac:dyDescent="0.2">
      <c r="A51" s="1178"/>
      <c r="B51" s="1179"/>
      <c r="C51" s="1180"/>
      <c r="D51" s="1213"/>
      <c r="E51" s="1218"/>
      <c r="F51" s="1220"/>
      <c r="G51" s="1171"/>
      <c r="H51" s="14"/>
      <c r="I51" s="247"/>
      <c r="J51" s="220"/>
      <c r="K51" s="220"/>
      <c r="L51" s="221"/>
      <c r="M51" s="43"/>
      <c r="N51" s="105"/>
      <c r="O51" s="1212"/>
      <c r="P51" s="500"/>
      <c r="Q51" s="500"/>
      <c r="R51" s="502"/>
    </row>
    <row r="52" spans="1:21" x14ac:dyDescent="0.2">
      <c r="A52" s="1178"/>
      <c r="B52" s="1179"/>
      <c r="C52" s="1180"/>
      <c r="D52" s="1164" t="s">
        <v>142</v>
      </c>
      <c r="E52" s="1218"/>
      <c r="F52" s="1220"/>
      <c r="G52" s="1171"/>
      <c r="H52" s="14"/>
      <c r="I52" s="247"/>
      <c r="J52" s="220"/>
      <c r="K52" s="220"/>
      <c r="L52" s="221"/>
      <c r="M52" s="43"/>
      <c r="N52" s="105"/>
      <c r="O52" s="1211" t="s">
        <v>193</v>
      </c>
      <c r="P52" s="515">
        <v>2</v>
      </c>
      <c r="Q52" s="515">
        <v>2</v>
      </c>
      <c r="R52" s="514">
        <v>2</v>
      </c>
    </row>
    <row r="53" spans="1:21" x14ac:dyDescent="0.2">
      <c r="A53" s="1178"/>
      <c r="B53" s="1179"/>
      <c r="C53" s="1180"/>
      <c r="D53" s="1241"/>
      <c r="E53" s="1219"/>
      <c r="F53" s="1221"/>
      <c r="G53" s="1210"/>
      <c r="H53" s="144"/>
      <c r="I53" s="216"/>
      <c r="J53" s="217"/>
      <c r="K53" s="217"/>
      <c r="L53" s="218"/>
      <c r="M53" s="63"/>
      <c r="N53" s="104"/>
      <c r="O53" s="1244"/>
      <c r="P53" s="509"/>
      <c r="Q53" s="509"/>
      <c r="R53" s="510"/>
    </row>
    <row r="54" spans="1:21" x14ac:dyDescent="0.2">
      <c r="A54" s="483"/>
      <c r="B54" s="494"/>
      <c r="C54" s="497"/>
      <c r="D54" s="1164" t="s">
        <v>203</v>
      </c>
      <c r="E54" s="507"/>
      <c r="F54" s="508" t="s">
        <v>37</v>
      </c>
      <c r="G54" s="485"/>
      <c r="H54" s="10"/>
      <c r="I54" s="362"/>
      <c r="J54" s="225"/>
      <c r="K54" s="225"/>
      <c r="L54" s="226"/>
      <c r="M54" s="359"/>
      <c r="N54" s="360"/>
      <c r="O54" s="1211" t="s">
        <v>62</v>
      </c>
      <c r="P54" s="504">
        <v>15.5</v>
      </c>
      <c r="Q54" s="504">
        <v>15.5</v>
      </c>
      <c r="R54" s="503">
        <v>15.5</v>
      </c>
    </row>
    <row r="55" spans="1:21" x14ac:dyDescent="0.2">
      <c r="A55" s="483"/>
      <c r="B55" s="494"/>
      <c r="C55" s="497"/>
      <c r="D55" s="1470"/>
      <c r="E55" s="498"/>
      <c r="F55" s="490"/>
      <c r="G55" s="480"/>
      <c r="H55" s="14"/>
      <c r="I55" s="318"/>
      <c r="J55" s="220"/>
      <c r="K55" s="220"/>
      <c r="L55" s="221"/>
      <c r="M55" s="43"/>
      <c r="N55" s="105"/>
      <c r="O55" s="1212"/>
      <c r="P55" s="500"/>
      <c r="Q55" s="500"/>
      <c r="R55" s="502"/>
      <c r="U55" s="86"/>
    </row>
    <row r="56" spans="1:21" ht="25.5" x14ac:dyDescent="0.2">
      <c r="A56" s="483"/>
      <c r="B56" s="494"/>
      <c r="C56" s="497"/>
      <c r="D56" s="1471"/>
      <c r="E56" s="506"/>
      <c r="F56" s="491"/>
      <c r="G56" s="492"/>
      <c r="H56" s="144"/>
      <c r="I56" s="232"/>
      <c r="J56" s="217"/>
      <c r="K56" s="217"/>
      <c r="L56" s="218"/>
      <c r="M56" s="34"/>
      <c r="N56" s="386"/>
      <c r="O56" s="64" t="s">
        <v>61</v>
      </c>
      <c r="P56" s="65">
        <v>102</v>
      </c>
      <c r="Q56" s="65">
        <v>102</v>
      </c>
      <c r="R56" s="66">
        <v>102</v>
      </c>
      <c r="U56" s="86"/>
    </row>
    <row r="57" spans="1:21" ht="25.5" x14ac:dyDescent="0.2">
      <c r="A57" s="483"/>
      <c r="B57" s="494"/>
      <c r="C57" s="497"/>
      <c r="D57" s="495" t="s">
        <v>158</v>
      </c>
      <c r="E57" s="498"/>
      <c r="F57" s="490"/>
      <c r="G57" s="480"/>
      <c r="H57" s="14"/>
      <c r="I57" s="318"/>
      <c r="J57" s="220"/>
      <c r="K57" s="220"/>
      <c r="L57" s="221"/>
      <c r="M57" s="33"/>
      <c r="N57" s="174"/>
      <c r="O57" s="493" t="s">
        <v>150</v>
      </c>
      <c r="P57" s="509">
        <v>1</v>
      </c>
      <c r="Q57" s="509"/>
      <c r="R57" s="510"/>
    </row>
    <row r="58" spans="1:21" x14ac:dyDescent="0.2">
      <c r="A58" s="296"/>
      <c r="B58" s="310"/>
      <c r="C58" s="317"/>
      <c r="D58" s="117" t="s">
        <v>151</v>
      </c>
      <c r="E58" s="298"/>
      <c r="F58" s="300"/>
      <c r="G58" s="294"/>
      <c r="H58" s="14"/>
      <c r="I58" s="318"/>
      <c r="J58" s="220"/>
      <c r="K58" s="220"/>
      <c r="L58" s="221"/>
      <c r="M58" s="33"/>
      <c r="N58" s="174"/>
      <c r="O58" s="64" t="s">
        <v>149</v>
      </c>
      <c r="P58" s="65">
        <v>1</v>
      </c>
      <c r="Q58" s="65"/>
      <c r="R58" s="66"/>
    </row>
    <row r="59" spans="1:21" ht="14.25" customHeight="1" x14ac:dyDescent="0.2">
      <c r="A59" s="296"/>
      <c r="B59" s="310"/>
      <c r="C59" s="317"/>
      <c r="D59" s="132" t="s">
        <v>154</v>
      </c>
      <c r="E59" s="298"/>
      <c r="F59" s="300"/>
      <c r="G59" s="294"/>
      <c r="H59" s="335"/>
      <c r="I59" s="318"/>
      <c r="J59" s="220"/>
      <c r="K59" s="220"/>
      <c r="L59" s="221"/>
      <c r="M59" s="33"/>
      <c r="N59" s="174"/>
      <c r="O59" s="1211" t="s">
        <v>202</v>
      </c>
      <c r="P59" s="308"/>
      <c r="Q59" s="308">
        <v>10</v>
      </c>
      <c r="R59" s="304">
        <v>90</v>
      </c>
    </row>
    <row r="60" spans="1:21" ht="15" customHeight="1" x14ac:dyDescent="0.2">
      <c r="A60" s="296"/>
      <c r="B60" s="310"/>
      <c r="C60" s="317"/>
      <c r="D60" s="1213"/>
      <c r="E60" s="298"/>
      <c r="F60" s="300"/>
      <c r="G60" s="294"/>
      <c r="H60" s="144"/>
      <c r="I60" s="232"/>
      <c r="J60" s="217"/>
      <c r="K60" s="217"/>
      <c r="L60" s="218"/>
      <c r="M60" s="34"/>
      <c r="N60" s="386"/>
      <c r="O60" s="1244"/>
      <c r="P60" s="307"/>
      <c r="Q60" s="307"/>
      <c r="R60" s="303"/>
    </row>
    <row r="61" spans="1:21" ht="27" customHeight="1" thickBot="1" x14ac:dyDescent="0.25">
      <c r="A61" s="297"/>
      <c r="B61" s="311"/>
      <c r="C61" s="345"/>
      <c r="D61" s="1260"/>
      <c r="E61" s="299"/>
      <c r="F61" s="301"/>
      <c r="G61" s="295"/>
      <c r="H61" s="282" t="s">
        <v>10</v>
      </c>
      <c r="I61" s="287">
        <f t="shared" ref="I61:N61" si="0">I45+I46</f>
        <v>1471.4</v>
      </c>
      <c r="J61" s="238">
        <f t="shared" si="0"/>
        <v>1418.4</v>
      </c>
      <c r="K61" s="238">
        <f t="shared" si="0"/>
        <v>742.40000000000009</v>
      </c>
      <c r="L61" s="248">
        <f t="shared" si="0"/>
        <v>53</v>
      </c>
      <c r="M61" s="280">
        <f t="shared" si="0"/>
        <v>1707.8999999999999</v>
      </c>
      <c r="N61" s="248">
        <f t="shared" si="0"/>
        <v>1261.8999999999999</v>
      </c>
      <c r="O61" s="312"/>
      <c r="P61" s="141"/>
      <c r="Q61" s="141"/>
      <c r="R61" s="32"/>
    </row>
    <row r="62" spans="1:21" ht="15" customHeight="1" x14ac:dyDescent="0.2">
      <c r="A62" s="1234" t="s">
        <v>9</v>
      </c>
      <c r="B62" s="1235" t="s">
        <v>9</v>
      </c>
      <c r="C62" s="1236" t="s">
        <v>52</v>
      </c>
      <c r="D62" s="1469" t="s">
        <v>115</v>
      </c>
      <c r="E62" s="1237"/>
      <c r="F62" s="1238" t="s">
        <v>40</v>
      </c>
      <c r="G62" s="1233" t="s">
        <v>39</v>
      </c>
      <c r="H62" s="342" t="s">
        <v>35</v>
      </c>
      <c r="I62" s="343">
        <f>J62</f>
        <v>6017.6</v>
      </c>
      <c r="J62" s="343">
        <v>6017.6</v>
      </c>
      <c r="K62" s="343">
        <f>K64+K67</f>
        <v>0</v>
      </c>
      <c r="L62" s="348">
        <f>L64+L67</f>
        <v>0</v>
      </c>
      <c r="M62" s="347">
        <v>7827.6</v>
      </c>
      <c r="N62" s="349">
        <v>8062</v>
      </c>
      <c r="O62" s="1248"/>
      <c r="P62" s="1249"/>
      <c r="Q62" s="1249"/>
      <c r="R62" s="1250"/>
    </row>
    <row r="63" spans="1:21" x14ac:dyDescent="0.2">
      <c r="A63" s="1178"/>
      <c r="B63" s="1179"/>
      <c r="C63" s="1180"/>
      <c r="D63" s="1243"/>
      <c r="E63" s="1218"/>
      <c r="F63" s="1220"/>
      <c r="G63" s="1171"/>
      <c r="H63" s="14"/>
      <c r="I63" s="247"/>
      <c r="J63" s="220"/>
      <c r="K63" s="220"/>
      <c r="L63" s="221"/>
      <c r="M63" s="43"/>
      <c r="N63" s="105"/>
      <c r="O63" s="1212"/>
      <c r="P63" s="1229"/>
      <c r="Q63" s="1229"/>
      <c r="R63" s="1231"/>
    </row>
    <row r="64" spans="1:21" ht="12.75" customHeight="1" x14ac:dyDescent="0.2">
      <c r="A64" s="1178"/>
      <c r="B64" s="1179"/>
      <c r="C64" s="1180"/>
      <c r="D64" s="1164" t="s">
        <v>64</v>
      </c>
      <c r="E64" s="1218"/>
      <c r="F64" s="1220"/>
      <c r="G64" s="1171"/>
      <c r="H64" s="14"/>
      <c r="I64" s="247"/>
      <c r="J64" s="220"/>
      <c r="K64" s="220"/>
      <c r="L64" s="221"/>
      <c r="M64" s="43"/>
      <c r="N64" s="105"/>
      <c r="O64" s="1211" t="s">
        <v>99</v>
      </c>
      <c r="P64" s="1466">
        <v>7.7</v>
      </c>
      <c r="Q64" s="1466">
        <v>7.8</v>
      </c>
      <c r="R64" s="1465">
        <v>7.8</v>
      </c>
    </row>
    <row r="65" spans="1:19" x14ac:dyDescent="0.2">
      <c r="A65" s="1178"/>
      <c r="B65" s="1179"/>
      <c r="C65" s="1180"/>
      <c r="D65" s="1213"/>
      <c r="E65" s="1218"/>
      <c r="F65" s="1220"/>
      <c r="G65" s="1171"/>
      <c r="H65" s="14"/>
      <c r="I65" s="247"/>
      <c r="J65" s="220"/>
      <c r="K65" s="220"/>
      <c r="L65" s="221"/>
      <c r="M65" s="43"/>
      <c r="N65" s="105"/>
      <c r="O65" s="1212"/>
      <c r="P65" s="1246"/>
      <c r="Q65" s="1246"/>
      <c r="R65" s="1247"/>
    </row>
    <row r="66" spans="1:19" x14ac:dyDescent="0.2">
      <c r="A66" s="1178"/>
      <c r="B66" s="1179"/>
      <c r="C66" s="1180"/>
      <c r="D66" s="1213"/>
      <c r="E66" s="1218"/>
      <c r="F66" s="1220"/>
      <c r="G66" s="1171"/>
      <c r="H66" s="350"/>
      <c r="I66" s="338"/>
      <c r="J66" s="323"/>
      <c r="K66" s="323"/>
      <c r="L66" s="339"/>
      <c r="M66" s="351"/>
      <c r="N66" s="352"/>
      <c r="O66" s="59"/>
      <c r="P66" s="509"/>
      <c r="Q66" s="509"/>
      <c r="R66" s="510"/>
    </row>
    <row r="67" spans="1:19" ht="12.75" customHeight="1" x14ac:dyDescent="0.2">
      <c r="A67" s="1178"/>
      <c r="B67" s="1179"/>
      <c r="C67" s="1180"/>
      <c r="D67" s="1164" t="s">
        <v>63</v>
      </c>
      <c r="E67" s="1253" t="s">
        <v>182</v>
      </c>
      <c r="F67" s="1220"/>
      <c r="G67" s="1171"/>
      <c r="H67" s="14"/>
      <c r="I67" s="247"/>
      <c r="J67" s="220"/>
      <c r="K67" s="220"/>
      <c r="L67" s="221"/>
      <c r="M67" s="43"/>
      <c r="N67" s="105"/>
      <c r="O67" s="1212" t="s">
        <v>194</v>
      </c>
      <c r="P67" s="1467">
        <v>14.215999999999999</v>
      </c>
      <c r="Q67" s="1467">
        <v>14.4</v>
      </c>
      <c r="R67" s="1468">
        <v>14.6</v>
      </c>
    </row>
    <row r="68" spans="1:19" x14ac:dyDescent="0.2">
      <c r="A68" s="1178"/>
      <c r="B68" s="1179"/>
      <c r="C68" s="1180"/>
      <c r="D68" s="1213"/>
      <c r="E68" s="1253"/>
      <c r="F68" s="1220"/>
      <c r="G68" s="1171"/>
      <c r="H68" s="14"/>
      <c r="I68" s="247"/>
      <c r="J68" s="220"/>
      <c r="K68" s="220"/>
      <c r="L68" s="221"/>
      <c r="M68" s="43"/>
      <c r="N68" s="105"/>
      <c r="O68" s="1212"/>
      <c r="P68" s="1467"/>
      <c r="Q68" s="1467"/>
      <c r="R68" s="1468"/>
    </row>
    <row r="69" spans="1:19" ht="17.25" customHeight="1" x14ac:dyDescent="0.2">
      <c r="A69" s="1178"/>
      <c r="B69" s="1179"/>
      <c r="C69" s="1180"/>
      <c r="D69" s="1213"/>
      <c r="E69" s="1253"/>
      <c r="F69" s="1220"/>
      <c r="G69" s="1171"/>
      <c r="H69" s="14"/>
      <c r="I69" s="247"/>
      <c r="J69" s="220"/>
      <c r="K69" s="220"/>
      <c r="L69" s="221"/>
      <c r="M69" s="33"/>
      <c r="N69" s="174"/>
      <c r="O69" s="15" t="s">
        <v>143</v>
      </c>
      <c r="P69" s="106">
        <v>420</v>
      </c>
      <c r="Q69" s="106">
        <v>0</v>
      </c>
      <c r="R69" s="107">
        <v>0</v>
      </c>
    </row>
    <row r="70" spans="1:19" x14ac:dyDescent="0.2">
      <c r="A70" s="1178"/>
      <c r="B70" s="1179"/>
      <c r="C70" s="1180"/>
      <c r="D70" s="1241"/>
      <c r="E70" s="1253"/>
      <c r="F70" s="1220"/>
      <c r="G70" s="1171"/>
      <c r="H70" s="350"/>
      <c r="I70" s="338"/>
      <c r="J70" s="323"/>
      <c r="K70" s="323"/>
      <c r="L70" s="339"/>
      <c r="M70" s="351"/>
      <c r="N70" s="352"/>
      <c r="O70" s="59" t="s">
        <v>195</v>
      </c>
      <c r="P70" s="509">
        <v>89</v>
      </c>
      <c r="Q70" s="509">
        <v>100</v>
      </c>
      <c r="R70" s="510">
        <v>100</v>
      </c>
    </row>
    <row r="71" spans="1:19" x14ac:dyDescent="0.2">
      <c r="A71" s="1178"/>
      <c r="B71" s="1179"/>
      <c r="C71" s="1180"/>
      <c r="D71" s="1213" t="s">
        <v>65</v>
      </c>
      <c r="E71" s="1218"/>
      <c r="F71" s="1220"/>
      <c r="G71" s="1171"/>
      <c r="H71" s="14"/>
      <c r="I71" s="247"/>
      <c r="J71" s="220"/>
      <c r="K71" s="220"/>
      <c r="L71" s="221"/>
      <c r="M71" s="43"/>
      <c r="N71" s="105"/>
      <c r="O71" s="58" t="s">
        <v>101</v>
      </c>
      <c r="P71" s="515"/>
      <c r="Q71" s="515">
        <v>27</v>
      </c>
      <c r="R71" s="514"/>
    </row>
    <row r="72" spans="1:19" x14ac:dyDescent="0.2">
      <c r="A72" s="1178"/>
      <c r="B72" s="1179"/>
      <c r="C72" s="1180"/>
      <c r="D72" s="1241"/>
      <c r="E72" s="1218"/>
      <c r="F72" s="1220"/>
      <c r="G72" s="1171"/>
      <c r="H72" s="350"/>
      <c r="I72" s="338"/>
      <c r="J72" s="323"/>
      <c r="K72" s="323"/>
      <c r="L72" s="339"/>
      <c r="M72" s="351"/>
      <c r="N72" s="352"/>
      <c r="O72" s="59"/>
      <c r="P72" s="509"/>
      <c r="Q72" s="509"/>
      <c r="R72" s="510"/>
    </row>
    <row r="73" spans="1:19" x14ac:dyDescent="0.2">
      <c r="A73" s="1178"/>
      <c r="B73" s="1179"/>
      <c r="C73" s="1180"/>
      <c r="D73" s="1213" t="s">
        <v>66</v>
      </c>
      <c r="E73" s="1218"/>
      <c r="F73" s="1220"/>
      <c r="G73" s="1171"/>
      <c r="H73" s="10" t="s">
        <v>93</v>
      </c>
      <c r="I73" s="219">
        <f>J73</f>
        <v>2038</v>
      </c>
      <c r="J73" s="225">
        <v>2038</v>
      </c>
      <c r="K73" s="225"/>
      <c r="L73" s="226"/>
      <c r="M73" s="359"/>
      <c r="N73" s="360"/>
      <c r="O73" s="15" t="s">
        <v>67</v>
      </c>
      <c r="P73" s="500"/>
      <c r="Q73" s="500">
        <v>94</v>
      </c>
      <c r="R73" s="502"/>
    </row>
    <row r="74" spans="1:19" ht="18" customHeight="1" thickBot="1" x14ac:dyDescent="0.25">
      <c r="A74" s="1256"/>
      <c r="B74" s="1257"/>
      <c r="C74" s="1258"/>
      <c r="D74" s="1260"/>
      <c r="E74" s="1261"/>
      <c r="F74" s="1262"/>
      <c r="G74" s="1254"/>
      <c r="H74" s="570"/>
      <c r="I74" s="271"/>
      <c r="J74" s="571"/>
      <c r="K74" s="571"/>
      <c r="L74" s="572"/>
      <c r="M74" s="573"/>
      <c r="N74" s="574"/>
      <c r="O74" s="16"/>
      <c r="P74" s="513"/>
      <c r="Q74" s="513"/>
      <c r="R74" s="512"/>
    </row>
    <row r="75" spans="1:19" ht="25.5" customHeight="1" x14ac:dyDescent="0.2">
      <c r="A75" s="296"/>
      <c r="B75" s="310"/>
      <c r="C75" s="317"/>
      <c r="D75" s="495" t="s">
        <v>130</v>
      </c>
      <c r="E75" s="298"/>
      <c r="F75" s="300"/>
      <c r="G75" s="294"/>
      <c r="H75" s="14"/>
      <c r="I75" s="247"/>
      <c r="J75" s="220"/>
      <c r="K75" s="220"/>
      <c r="L75" s="221"/>
      <c r="M75" s="43"/>
      <c r="N75" s="105"/>
      <c r="O75" s="59" t="s">
        <v>116</v>
      </c>
      <c r="P75" s="509"/>
      <c r="Q75" s="509">
        <v>33</v>
      </c>
      <c r="R75" s="510">
        <v>33</v>
      </c>
    </row>
    <row r="76" spans="1:19" ht="17.25" customHeight="1" x14ac:dyDescent="0.2">
      <c r="A76" s="1178"/>
      <c r="B76" s="1179"/>
      <c r="C76" s="1180"/>
      <c r="D76" s="1213" t="s">
        <v>131</v>
      </c>
      <c r="E76" s="1218"/>
      <c r="F76" s="1220"/>
      <c r="G76" s="1171"/>
      <c r="H76" s="144"/>
      <c r="I76" s="216"/>
      <c r="J76" s="217"/>
      <c r="K76" s="217"/>
      <c r="L76" s="218"/>
      <c r="M76" s="63"/>
      <c r="N76" s="104"/>
      <c r="O76" s="1212" t="s">
        <v>68</v>
      </c>
      <c r="P76" s="309"/>
      <c r="Q76" s="309">
        <v>9</v>
      </c>
      <c r="R76" s="305">
        <v>7</v>
      </c>
    </row>
    <row r="77" spans="1:19" ht="24.75" customHeight="1" thickBot="1" x14ac:dyDescent="0.25">
      <c r="A77" s="1256"/>
      <c r="B77" s="1257"/>
      <c r="C77" s="1258"/>
      <c r="D77" s="1260"/>
      <c r="E77" s="1261"/>
      <c r="F77" s="1262"/>
      <c r="G77" s="1254"/>
      <c r="H77" s="282" t="s">
        <v>10</v>
      </c>
      <c r="I77" s="243">
        <f>I62+I73</f>
        <v>8055.6</v>
      </c>
      <c r="J77" s="238">
        <f>J62+J73</f>
        <v>8055.6</v>
      </c>
      <c r="K77" s="238">
        <f>SUM(K76:K76)</f>
        <v>0</v>
      </c>
      <c r="L77" s="242">
        <f>SUM(L76:L76)</f>
        <v>0</v>
      </c>
      <c r="M77" s="280">
        <f>M62</f>
        <v>7827.6</v>
      </c>
      <c r="N77" s="246">
        <f>N62</f>
        <v>8062</v>
      </c>
      <c r="O77" s="1255"/>
      <c r="P77" s="141"/>
      <c r="Q77" s="141"/>
      <c r="R77" s="32"/>
    </row>
    <row r="78" spans="1:19" ht="19.5" customHeight="1" x14ac:dyDescent="0.2">
      <c r="A78" s="1234" t="s">
        <v>9</v>
      </c>
      <c r="B78" s="1235" t="s">
        <v>9</v>
      </c>
      <c r="C78" s="1236" t="s">
        <v>53</v>
      </c>
      <c r="D78" s="1462" t="s">
        <v>165</v>
      </c>
      <c r="E78" s="1237"/>
      <c r="F78" s="1238" t="s">
        <v>37</v>
      </c>
      <c r="G78" s="1263" t="s">
        <v>94</v>
      </c>
      <c r="H78" s="13" t="s">
        <v>35</v>
      </c>
      <c r="I78" s="240">
        <f>J78+L78</f>
        <v>610.4</v>
      </c>
      <c r="J78" s="230">
        <v>610.4</v>
      </c>
      <c r="K78" s="230"/>
      <c r="L78" s="241"/>
      <c r="M78" s="44">
        <f>50+577</f>
        <v>627</v>
      </c>
      <c r="N78" s="44">
        <f>50+577</f>
        <v>627</v>
      </c>
      <c r="O78" s="1248" t="s">
        <v>102</v>
      </c>
      <c r="P78" s="306">
        <f>57+15</f>
        <v>72</v>
      </c>
      <c r="Q78" s="306">
        <f>15+57</f>
        <v>72</v>
      </c>
      <c r="R78" s="302">
        <f>15+57</f>
        <v>72</v>
      </c>
    </row>
    <row r="79" spans="1:19" ht="21" customHeight="1" x14ac:dyDescent="0.2">
      <c r="A79" s="1178"/>
      <c r="B79" s="1179"/>
      <c r="C79" s="1180"/>
      <c r="D79" s="1463"/>
      <c r="E79" s="1218"/>
      <c r="F79" s="1220"/>
      <c r="G79" s="1264"/>
      <c r="H79" s="23"/>
      <c r="I79" s="234">
        <f>J79+L79</f>
        <v>0</v>
      </c>
      <c r="J79" s="220"/>
      <c r="K79" s="220"/>
      <c r="L79" s="244"/>
      <c r="M79" s="67"/>
      <c r="N79" s="67"/>
      <c r="O79" s="1212"/>
      <c r="P79" s="309"/>
      <c r="Q79" s="309"/>
      <c r="R79" s="305"/>
    </row>
    <row r="80" spans="1:19" ht="16.5" customHeight="1" x14ac:dyDescent="0.2">
      <c r="A80" s="1178"/>
      <c r="B80" s="1179"/>
      <c r="C80" s="1180"/>
      <c r="D80" s="1463"/>
      <c r="E80" s="1218"/>
      <c r="F80" s="1220"/>
      <c r="G80" s="1264"/>
      <c r="H80" s="14"/>
      <c r="I80" s="232">
        <f>J80+L80</f>
        <v>0</v>
      </c>
      <c r="J80" s="225"/>
      <c r="K80" s="225"/>
      <c r="L80" s="245"/>
      <c r="M80" s="21"/>
      <c r="N80" s="21"/>
      <c r="O80" s="15"/>
      <c r="P80" s="309"/>
      <c r="Q80" s="309"/>
      <c r="R80" s="305"/>
      <c r="S80" s="46"/>
    </row>
    <row r="81" spans="1:21" ht="22.5" customHeight="1" thickBot="1" x14ac:dyDescent="0.25">
      <c r="A81" s="1256"/>
      <c r="B81" s="1257"/>
      <c r="C81" s="1258"/>
      <c r="D81" s="1464"/>
      <c r="E81" s="1261"/>
      <c r="F81" s="1262"/>
      <c r="G81" s="1265"/>
      <c r="H81" s="282" t="s">
        <v>10</v>
      </c>
      <c r="I81" s="237">
        <f t="shared" ref="I81:N81" si="1">SUM(I78:I80)</f>
        <v>610.4</v>
      </c>
      <c r="J81" s="243">
        <f t="shared" si="1"/>
        <v>610.4</v>
      </c>
      <c r="K81" s="243">
        <f t="shared" si="1"/>
        <v>0</v>
      </c>
      <c r="L81" s="246">
        <f t="shared" si="1"/>
        <v>0</v>
      </c>
      <c r="M81" s="280">
        <f t="shared" si="1"/>
        <v>627</v>
      </c>
      <c r="N81" s="280">
        <f t="shared" si="1"/>
        <v>627</v>
      </c>
      <c r="O81" s="16"/>
      <c r="P81" s="141"/>
      <c r="Q81" s="141"/>
      <c r="R81" s="32"/>
    </row>
    <row r="82" spans="1:21" ht="16.5" customHeight="1" x14ac:dyDescent="0.2">
      <c r="A82" s="1234" t="s">
        <v>9</v>
      </c>
      <c r="B82" s="1235" t="s">
        <v>9</v>
      </c>
      <c r="C82" s="1236" t="s">
        <v>40</v>
      </c>
      <c r="D82" s="1268" t="s">
        <v>152</v>
      </c>
      <c r="E82" s="1271" t="s">
        <v>90</v>
      </c>
      <c r="F82" s="1238" t="s">
        <v>53</v>
      </c>
      <c r="G82" s="210" t="s">
        <v>89</v>
      </c>
      <c r="H82" s="13" t="s">
        <v>35</v>
      </c>
      <c r="I82" s="229">
        <f>J82+L82</f>
        <v>3.5</v>
      </c>
      <c r="J82" s="230">
        <f>1.9+1.6</f>
        <v>3.5</v>
      </c>
      <c r="K82" s="230"/>
      <c r="L82" s="231"/>
      <c r="M82" s="44"/>
      <c r="N82" s="108"/>
      <c r="O82" s="1248" t="s">
        <v>110</v>
      </c>
      <c r="P82" s="1266">
        <v>12</v>
      </c>
      <c r="Q82" s="1249"/>
      <c r="R82" s="1250"/>
    </row>
    <row r="83" spans="1:21" ht="16.5" customHeight="1" x14ac:dyDescent="0.2">
      <c r="A83" s="1178"/>
      <c r="B83" s="1179"/>
      <c r="C83" s="1180"/>
      <c r="D83" s="1269"/>
      <c r="E83" s="1272"/>
      <c r="F83" s="1220"/>
      <c r="G83" s="209"/>
      <c r="H83" s="23" t="s">
        <v>87</v>
      </c>
      <c r="I83" s="222">
        <f>J83+L83</f>
        <v>598.79999999999995</v>
      </c>
      <c r="J83" s="220"/>
      <c r="K83" s="220"/>
      <c r="L83" s="221">
        <v>598.79999999999995</v>
      </c>
      <c r="M83" s="67"/>
      <c r="N83" s="102"/>
      <c r="O83" s="1212"/>
      <c r="P83" s="1459"/>
      <c r="Q83" s="1229"/>
      <c r="R83" s="1231"/>
    </row>
    <row r="84" spans="1:21" ht="17.25" customHeight="1" x14ac:dyDescent="0.2">
      <c r="A84" s="1178"/>
      <c r="B84" s="1179"/>
      <c r="C84" s="1180"/>
      <c r="D84" s="1269"/>
      <c r="E84" s="47"/>
      <c r="F84" s="1220"/>
      <c r="G84" s="214" t="s">
        <v>201</v>
      </c>
      <c r="H84" s="23" t="s">
        <v>91</v>
      </c>
      <c r="I84" s="216">
        <f>J84+L84</f>
        <v>0</v>
      </c>
      <c r="J84" s="225"/>
      <c r="K84" s="225"/>
      <c r="L84" s="226"/>
      <c r="M84" s="21"/>
      <c r="N84" s="103"/>
      <c r="O84" s="1212"/>
      <c r="P84" s="61"/>
      <c r="Q84" s="61"/>
      <c r="R84" s="409"/>
    </row>
    <row r="85" spans="1:21" ht="20.25" customHeight="1" x14ac:dyDescent="0.2">
      <c r="A85" s="1178"/>
      <c r="B85" s="1179"/>
      <c r="C85" s="1180"/>
      <c r="D85" s="1269"/>
      <c r="E85" s="47"/>
      <c r="F85" s="1220"/>
      <c r="G85" s="209"/>
      <c r="H85" s="23" t="s">
        <v>35</v>
      </c>
      <c r="I85" s="222">
        <f>J85+L85</f>
        <v>0.5</v>
      </c>
      <c r="J85" s="223">
        <v>0.5</v>
      </c>
      <c r="K85" s="223">
        <v>0.3</v>
      </c>
      <c r="L85" s="224"/>
      <c r="M85" s="122"/>
      <c r="N85" s="173"/>
      <c r="O85" s="1460"/>
      <c r="P85" s="410"/>
      <c r="Q85" s="410"/>
      <c r="R85" s="409"/>
    </row>
    <row r="86" spans="1:21" ht="14.25" customHeight="1" x14ac:dyDescent="0.2">
      <c r="A86" s="1178"/>
      <c r="B86" s="1179"/>
      <c r="C86" s="1180"/>
      <c r="D86" s="1269"/>
      <c r="E86" s="47"/>
      <c r="F86" s="1220"/>
      <c r="G86" s="209"/>
      <c r="H86" s="14" t="s">
        <v>35</v>
      </c>
      <c r="I86" s="247"/>
      <c r="J86" s="220"/>
      <c r="K86" s="220"/>
      <c r="L86" s="221"/>
      <c r="M86" s="33"/>
      <c r="N86" s="174"/>
      <c r="O86" s="1460"/>
      <c r="P86" s="61"/>
      <c r="Q86" s="61"/>
      <c r="R86" s="409"/>
    </row>
    <row r="87" spans="1:21" ht="21.75" customHeight="1" thickBot="1" x14ac:dyDescent="0.25">
      <c r="A87" s="1256"/>
      <c r="B87" s="1257"/>
      <c r="C87" s="1258"/>
      <c r="D87" s="1270"/>
      <c r="E87" s="48"/>
      <c r="F87" s="1262"/>
      <c r="G87" s="211"/>
      <c r="H87" s="282" t="s">
        <v>10</v>
      </c>
      <c r="I87" s="243">
        <f>SUM(I82:I86)</f>
        <v>602.79999999999995</v>
      </c>
      <c r="J87" s="243">
        <f>SUM(J82:J86)</f>
        <v>4</v>
      </c>
      <c r="K87" s="243">
        <f>SUM(K82:K86)</f>
        <v>0.3</v>
      </c>
      <c r="L87" s="248">
        <f>SUM(L82:L86)</f>
        <v>598.79999999999995</v>
      </c>
      <c r="M87" s="280">
        <f>M86</f>
        <v>0</v>
      </c>
      <c r="N87" s="243">
        <f>SUM(N82:N86)</f>
        <v>0</v>
      </c>
      <c r="O87" s="1461"/>
      <c r="P87" s="141"/>
      <c r="Q87" s="141"/>
      <c r="R87" s="32"/>
    </row>
    <row r="88" spans="1:21" ht="12.75" customHeight="1" x14ac:dyDescent="0.2">
      <c r="A88" s="1234" t="s">
        <v>9</v>
      </c>
      <c r="B88" s="1235" t="s">
        <v>9</v>
      </c>
      <c r="C88" s="1236" t="s">
        <v>54</v>
      </c>
      <c r="D88" s="1259" t="s">
        <v>128</v>
      </c>
      <c r="E88" s="1237"/>
      <c r="F88" s="1238" t="s">
        <v>53</v>
      </c>
      <c r="G88" s="1233" t="s">
        <v>39</v>
      </c>
      <c r="H88" s="13" t="s">
        <v>35</v>
      </c>
      <c r="I88" s="240">
        <f>J88+L88</f>
        <v>150</v>
      </c>
      <c r="J88" s="230">
        <v>150</v>
      </c>
      <c r="K88" s="230"/>
      <c r="L88" s="231"/>
      <c r="M88" s="44"/>
      <c r="N88" s="44"/>
      <c r="O88" s="215" t="s">
        <v>56</v>
      </c>
      <c r="P88" s="213">
        <v>4</v>
      </c>
      <c r="Q88" s="213"/>
      <c r="R88" s="212"/>
    </row>
    <row r="89" spans="1:21" x14ac:dyDescent="0.2">
      <c r="A89" s="1178"/>
      <c r="B89" s="1179"/>
      <c r="C89" s="1180"/>
      <c r="D89" s="1213"/>
      <c r="E89" s="1218"/>
      <c r="F89" s="1220"/>
      <c r="G89" s="1171"/>
      <c r="H89" s="116"/>
      <c r="I89" s="234"/>
      <c r="J89" s="223"/>
      <c r="K89" s="223"/>
      <c r="L89" s="224"/>
      <c r="M89" s="49"/>
      <c r="N89" s="49"/>
      <c r="O89" s="15"/>
      <c r="P89" s="213"/>
      <c r="Q89" s="213"/>
      <c r="R89" s="212"/>
    </row>
    <row r="90" spans="1:21" ht="13.5" thickBot="1" x14ac:dyDescent="0.25">
      <c r="A90" s="1256"/>
      <c r="B90" s="1257"/>
      <c r="C90" s="1258"/>
      <c r="D90" s="1260"/>
      <c r="E90" s="1261"/>
      <c r="F90" s="1262"/>
      <c r="G90" s="211"/>
      <c r="H90" s="282" t="s">
        <v>10</v>
      </c>
      <c r="I90" s="243">
        <f t="shared" ref="I90:N90" si="2">SUM(I88:I89)</f>
        <v>150</v>
      </c>
      <c r="J90" s="238">
        <f t="shared" si="2"/>
        <v>150</v>
      </c>
      <c r="K90" s="238">
        <f t="shared" si="2"/>
        <v>0</v>
      </c>
      <c r="L90" s="238">
        <f t="shared" si="2"/>
        <v>0</v>
      </c>
      <c r="M90" s="280">
        <f t="shared" si="2"/>
        <v>0</v>
      </c>
      <c r="N90" s="280">
        <f t="shared" si="2"/>
        <v>0</v>
      </c>
      <c r="O90" s="16"/>
      <c r="P90" s="141"/>
      <c r="Q90" s="141"/>
      <c r="R90" s="32"/>
    </row>
    <row r="91" spans="1:21" ht="21" customHeight="1" x14ac:dyDescent="0.2">
      <c r="A91" s="1234" t="s">
        <v>9</v>
      </c>
      <c r="B91" s="1235" t="s">
        <v>9</v>
      </c>
      <c r="C91" s="1290" t="s">
        <v>43</v>
      </c>
      <c r="D91" s="1268" t="s">
        <v>186</v>
      </c>
      <c r="E91" s="1458" t="s">
        <v>167</v>
      </c>
      <c r="F91" s="1273" t="s">
        <v>52</v>
      </c>
      <c r="G91" s="1233" t="s">
        <v>89</v>
      </c>
      <c r="H91" s="342" t="s">
        <v>91</v>
      </c>
      <c r="I91" s="229">
        <f>J91+L91</f>
        <v>445</v>
      </c>
      <c r="J91" s="269"/>
      <c r="K91" s="269"/>
      <c r="L91" s="270">
        <v>445</v>
      </c>
      <c r="M91" s="313">
        <v>49.5</v>
      </c>
      <c r="N91" s="108"/>
      <c r="O91" s="1278" t="s">
        <v>198</v>
      </c>
      <c r="P91" s="145">
        <v>50</v>
      </c>
      <c r="Q91" s="145">
        <v>50</v>
      </c>
      <c r="R91" s="146"/>
    </row>
    <row r="92" spans="1:21" ht="18" customHeight="1" x14ac:dyDescent="0.2">
      <c r="A92" s="1178"/>
      <c r="B92" s="1179"/>
      <c r="C92" s="1275"/>
      <c r="D92" s="1269"/>
      <c r="E92" s="1395"/>
      <c r="F92" s="1170"/>
      <c r="G92" s="1171"/>
      <c r="H92" s="10" t="s">
        <v>35</v>
      </c>
      <c r="I92" s="216">
        <f>L92</f>
        <v>0.1</v>
      </c>
      <c r="J92" s="225"/>
      <c r="K92" s="225"/>
      <c r="L92" s="226">
        <v>0.1</v>
      </c>
      <c r="M92" s="81"/>
      <c r="N92" s="53"/>
      <c r="O92" s="1172"/>
      <c r="P92" s="73"/>
      <c r="Q92" s="73"/>
      <c r="R92" s="74"/>
    </row>
    <row r="93" spans="1:21" ht="27" customHeight="1" x14ac:dyDescent="0.2">
      <c r="A93" s="1178"/>
      <c r="B93" s="1179"/>
      <c r="C93" s="1275"/>
      <c r="D93" s="1269"/>
      <c r="E93" s="1395"/>
      <c r="F93" s="1170"/>
      <c r="G93" s="1171"/>
      <c r="H93" s="10" t="s">
        <v>92</v>
      </c>
      <c r="I93" s="216">
        <f>J93+L93</f>
        <v>93.4</v>
      </c>
      <c r="J93" s="225"/>
      <c r="K93" s="225"/>
      <c r="L93" s="226">
        <v>93.4</v>
      </c>
      <c r="M93" s="81">
        <v>10.4</v>
      </c>
      <c r="N93" s="102"/>
      <c r="O93" s="1173"/>
      <c r="P93" s="76"/>
      <c r="Q93" s="76"/>
      <c r="R93" s="147"/>
    </row>
    <row r="94" spans="1:21" ht="29.25" thickBot="1" x14ac:dyDescent="0.25">
      <c r="A94" s="1256"/>
      <c r="B94" s="1257"/>
      <c r="C94" s="1291"/>
      <c r="D94" s="1270"/>
      <c r="E94" s="1396"/>
      <c r="F94" s="1274"/>
      <c r="G94" s="1254"/>
      <c r="H94" s="282" t="s">
        <v>10</v>
      </c>
      <c r="I94" s="243">
        <f t="shared" ref="I94:N94" si="3">SUM(I91:I93)</f>
        <v>538.5</v>
      </c>
      <c r="J94" s="243">
        <f t="shared" si="3"/>
        <v>0</v>
      </c>
      <c r="K94" s="243">
        <f t="shared" si="3"/>
        <v>0</v>
      </c>
      <c r="L94" s="248">
        <f t="shared" si="3"/>
        <v>538.5</v>
      </c>
      <c r="M94" s="280">
        <f>SUM(M91:M93)</f>
        <v>59.9</v>
      </c>
      <c r="N94" s="243">
        <f t="shared" si="3"/>
        <v>0</v>
      </c>
      <c r="O94" s="135" t="s">
        <v>197</v>
      </c>
      <c r="P94" s="487">
        <v>50</v>
      </c>
      <c r="Q94" s="487">
        <v>50</v>
      </c>
      <c r="R94" s="489"/>
      <c r="S94" s="12"/>
      <c r="U94" s="11"/>
    </row>
    <row r="95" spans="1:21" ht="18" customHeight="1" x14ac:dyDescent="0.2">
      <c r="A95" s="366" t="s">
        <v>9</v>
      </c>
      <c r="B95" s="428" t="s">
        <v>9</v>
      </c>
      <c r="C95" s="431" t="s">
        <v>159</v>
      </c>
      <c r="D95" s="1268" t="s">
        <v>177</v>
      </c>
      <c r="E95" s="432"/>
      <c r="F95" s="185"/>
      <c r="G95" s="189"/>
      <c r="H95" s="462" t="s">
        <v>35</v>
      </c>
      <c r="I95" s="249">
        <f>J95+L95</f>
        <v>69.2</v>
      </c>
      <c r="J95" s="250">
        <v>19.2</v>
      </c>
      <c r="K95" s="250"/>
      <c r="L95" s="251">
        <v>50</v>
      </c>
      <c r="M95" s="202">
        <v>150</v>
      </c>
      <c r="N95" s="202"/>
      <c r="O95" s="1456" t="s">
        <v>175</v>
      </c>
      <c r="P95" s="183">
        <f>P98+P99+P100+P101+P102+P106</f>
        <v>4</v>
      </c>
      <c r="Q95" s="434">
        <v>2</v>
      </c>
      <c r="R95" s="436"/>
    </row>
    <row r="96" spans="1:21" ht="22.5" customHeight="1" x14ac:dyDescent="0.2">
      <c r="A96" s="92"/>
      <c r="B96" s="429"/>
      <c r="C96" s="430"/>
      <c r="D96" s="1165"/>
      <c r="E96" s="438"/>
      <c r="F96" s="195"/>
      <c r="G96" s="196"/>
      <c r="H96" s="463" t="s">
        <v>87</v>
      </c>
      <c r="I96" s="252"/>
      <c r="J96" s="253"/>
      <c r="K96" s="253"/>
      <c r="L96" s="254"/>
      <c r="M96" s="203">
        <v>227.3</v>
      </c>
      <c r="N96" s="203">
        <v>243.3</v>
      </c>
      <c r="O96" s="1457"/>
      <c r="P96" s="182"/>
      <c r="Q96" s="435"/>
      <c r="R96" s="437"/>
    </row>
    <row r="97" spans="1:21" ht="25.5" x14ac:dyDescent="0.2">
      <c r="A97" s="92"/>
      <c r="B97" s="429"/>
      <c r="C97" s="430"/>
      <c r="D97" s="353" t="s">
        <v>176</v>
      </c>
      <c r="E97" s="433"/>
      <c r="F97" s="186" t="s">
        <v>40</v>
      </c>
      <c r="G97" s="190" t="s">
        <v>89</v>
      </c>
      <c r="H97" s="463" t="s">
        <v>91</v>
      </c>
      <c r="I97" s="252">
        <f>J97</f>
        <v>108.4</v>
      </c>
      <c r="J97" s="253">
        <v>108.4</v>
      </c>
      <c r="K97" s="253"/>
      <c r="L97" s="254"/>
      <c r="M97" s="203">
        <v>2802.7</v>
      </c>
      <c r="N97" s="203">
        <v>2999.4</v>
      </c>
      <c r="O97" s="193"/>
      <c r="P97" s="182"/>
      <c r="Q97" s="435"/>
      <c r="R97" s="437"/>
    </row>
    <row r="98" spans="1:21" ht="30" customHeight="1" x14ac:dyDescent="0.2">
      <c r="A98" s="367"/>
      <c r="B98" s="446"/>
      <c r="C98" s="363"/>
      <c r="D98" s="194" t="s">
        <v>170</v>
      </c>
      <c r="E98" s="441" t="s">
        <v>180</v>
      </c>
      <c r="F98" s="188"/>
      <c r="G98" s="192"/>
      <c r="H98" s="464"/>
      <c r="I98" s="442"/>
      <c r="J98" s="443"/>
      <c r="K98" s="443"/>
      <c r="L98" s="444"/>
      <c r="M98" s="445"/>
      <c r="N98" s="445"/>
      <c r="O98" s="129" t="s">
        <v>174</v>
      </c>
      <c r="P98" s="130">
        <v>1</v>
      </c>
      <c r="Q98" s="130"/>
      <c r="R98" s="126"/>
    </row>
    <row r="99" spans="1:21" ht="41.25" customHeight="1" x14ac:dyDescent="0.2">
      <c r="A99" s="364"/>
      <c r="B99" s="365"/>
      <c r="C99" s="363"/>
      <c r="D99" s="439" t="s">
        <v>171</v>
      </c>
      <c r="E99" s="440" t="s">
        <v>180</v>
      </c>
      <c r="F99" s="187"/>
      <c r="G99" s="191"/>
      <c r="H99" s="465"/>
      <c r="I99" s="255"/>
      <c r="J99" s="256"/>
      <c r="K99" s="256"/>
      <c r="L99" s="257"/>
      <c r="M99" s="204"/>
      <c r="N99" s="204"/>
      <c r="O99" s="178" t="s">
        <v>174</v>
      </c>
      <c r="P99" s="177">
        <v>1</v>
      </c>
      <c r="Q99" s="177"/>
      <c r="R99" s="131"/>
    </row>
    <row r="100" spans="1:21" ht="38.25" x14ac:dyDescent="0.2">
      <c r="A100" s="364"/>
      <c r="B100" s="365"/>
      <c r="C100" s="363"/>
      <c r="D100" s="194" t="s">
        <v>172</v>
      </c>
      <c r="E100" s="201" t="s">
        <v>181</v>
      </c>
      <c r="F100" s="187"/>
      <c r="G100" s="191"/>
      <c r="H100" s="465"/>
      <c r="I100" s="255"/>
      <c r="J100" s="256"/>
      <c r="K100" s="256"/>
      <c r="L100" s="257"/>
      <c r="M100" s="204"/>
      <c r="N100" s="204"/>
      <c r="O100" s="179" t="s">
        <v>174</v>
      </c>
      <c r="P100" s="180">
        <v>1</v>
      </c>
      <c r="Q100" s="180"/>
      <c r="R100" s="181"/>
    </row>
    <row r="101" spans="1:21" ht="38.25" x14ac:dyDescent="0.2">
      <c r="A101" s="364"/>
      <c r="B101" s="365"/>
      <c r="C101" s="363"/>
      <c r="D101" s="194" t="s">
        <v>173</v>
      </c>
      <c r="E101" s="184"/>
      <c r="F101" s="188"/>
      <c r="G101" s="192"/>
      <c r="H101" s="466"/>
      <c r="I101" s="355"/>
      <c r="J101" s="356"/>
      <c r="K101" s="356"/>
      <c r="L101" s="357"/>
      <c r="M101" s="470"/>
      <c r="N101" s="358"/>
      <c r="O101" s="129" t="s">
        <v>174</v>
      </c>
      <c r="P101" s="177">
        <v>1</v>
      </c>
      <c r="Q101" s="177"/>
      <c r="R101" s="131"/>
    </row>
    <row r="102" spans="1:21" ht="12.75" customHeight="1" x14ac:dyDescent="0.2">
      <c r="A102" s="1178"/>
      <c r="B102" s="1282"/>
      <c r="C102" s="1275"/>
      <c r="D102" s="1283" t="s">
        <v>163</v>
      </c>
      <c r="E102" s="1272" t="s">
        <v>90</v>
      </c>
      <c r="F102" s="1170" t="s">
        <v>52</v>
      </c>
      <c r="G102" s="1171" t="s">
        <v>89</v>
      </c>
      <c r="H102" s="467"/>
      <c r="I102" s="362"/>
      <c r="J102" s="225"/>
      <c r="K102" s="225"/>
      <c r="L102" s="245"/>
      <c r="M102" s="360"/>
      <c r="N102" s="360"/>
      <c r="O102" s="1286" t="s">
        <v>157</v>
      </c>
      <c r="P102" s="52"/>
      <c r="Q102" s="51">
        <v>1</v>
      </c>
      <c r="R102" s="172"/>
      <c r="U102" s="11"/>
    </row>
    <row r="103" spans="1:21" x14ac:dyDescent="0.2">
      <c r="A103" s="1178"/>
      <c r="B103" s="1282"/>
      <c r="C103" s="1275"/>
      <c r="D103" s="1283"/>
      <c r="E103" s="1272"/>
      <c r="F103" s="1170"/>
      <c r="G103" s="1171"/>
      <c r="H103" s="468"/>
      <c r="I103" s="318"/>
      <c r="J103" s="220"/>
      <c r="K103" s="220"/>
      <c r="L103" s="244"/>
      <c r="M103" s="105"/>
      <c r="N103" s="105"/>
      <c r="O103" s="1454"/>
      <c r="P103" s="127"/>
      <c r="Q103" s="128"/>
      <c r="R103" s="131"/>
      <c r="U103" s="11"/>
    </row>
    <row r="104" spans="1:21" x14ac:dyDescent="0.2">
      <c r="A104" s="1178"/>
      <c r="B104" s="1282"/>
      <c r="C104" s="1275"/>
      <c r="D104" s="1283"/>
      <c r="E104" s="1272"/>
      <c r="F104" s="1170"/>
      <c r="G104" s="1171"/>
      <c r="H104" s="468"/>
      <c r="I104" s="318"/>
      <c r="J104" s="220"/>
      <c r="K104" s="220"/>
      <c r="L104" s="244"/>
      <c r="M104" s="105"/>
      <c r="N104" s="105"/>
      <c r="O104" s="1288"/>
      <c r="P104" s="127"/>
      <c r="Q104" s="128"/>
      <c r="R104" s="131"/>
      <c r="U104" s="11"/>
    </row>
    <row r="105" spans="1:21" ht="24.75" customHeight="1" x14ac:dyDescent="0.2">
      <c r="A105" s="1178"/>
      <c r="B105" s="1282"/>
      <c r="C105" s="1275"/>
      <c r="D105" s="1284"/>
      <c r="E105" s="1276"/>
      <c r="F105" s="1285"/>
      <c r="G105" s="1210"/>
      <c r="H105" s="469"/>
      <c r="I105" s="471"/>
      <c r="J105" s="338"/>
      <c r="K105" s="338"/>
      <c r="L105" s="472"/>
      <c r="M105" s="352"/>
      <c r="N105" s="352"/>
      <c r="O105" s="1455"/>
      <c r="P105" s="57"/>
      <c r="Q105" s="57"/>
      <c r="R105" s="142"/>
      <c r="U105" s="11"/>
    </row>
    <row r="106" spans="1:21" ht="12.75" customHeight="1" x14ac:dyDescent="0.2">
      <c r="A106" s="1178"/>
      <c r="B106" s="1179"/>
      <c r="C106" s="1275"/>
      <c r="D106" s="1213" t="s">
        <v>190</v>
      </c>
      <c r="E106" s="1272" t="s">
        <v>90</v>
      </c>
      <c r="F106" s="1220" t="s">
        <v>43</v>
      </c>
      <c r="G106" s="1171" t="s">
        <v>89</v>
      </c>
      <c r="H106" s="361"/>
      <c r="I106" s="362"/>
      <c r="J106" s="225"/>
      <c r="K106" s="225"/>
      <c r="L106" s="245"/>
      <c r="M106" s="360"/>
      <c r="N106" s="360"/>
      <c r="O106" s="1452" t="s">
        <v>153</v>
      </c>
      <c r="P106" s="213"/>
      <c r="Q106" s="213">
        <v>1</v>
      </c>
      <c r="R106" s="212"/>
    </row>
    <row r="107" spans="1:21" x14ac:dyDescent="0.2">
      <c r="A107" s="1178"/>
      <c r="B107" s="1179"/>
      <c r="C107" s="1275"/>
      <c r="D107" s="1213"/>
      <c r="E107" s="1272"/>
      <c r="F107" s="1220"/>
      <c r="G107" s="1171"/>
      <c r="H107" s="134"/>
      <c r="I107" s="318"/>
      <c r="J107" s="220"/>
      <c r="K107" s="220"/>
      <c r="L107" s="244"/>
      <c r="M107" s="105"/>
      <c r="N107" s="105"/>
      <c r="O107" s="1453"/>
      <c r="P107" s="213"/>
      <c r="Q107" s="213"/>
      <c r="R107" s="212"/>
    </row>
    <row r="108" spans="1:21" x14ac:dyDescent="0.2">
      <c r="A108" s="1178"/>
      <c r="B108" s="1179"/>
      <c r="C108" s="1275"/>
      <c r="D108" s="1213"/>
      <c r="E108" s="1272"/>
      <c r="F108" s="1220"/>
      <c r="G108" s="1171"/>
      <c r="H108" s="134"/>
      <c r="I108" s="232"/>
      <c r="J108" s="220"/>
      <c r="K108" s="220"/>
      <c r="L108" s="244"/>
      <c r="M108" s="174"/>
      <c r="N108" s="174"/>
      <c r="O108" s="1212"/>
      <c r="P108" s="213"/>
      <c r="Q108" s="213"/>
      <c r="R108" s="212"/>
    </row>
    <row r="109" spans="1:21" ht="15" customHeight="1" thickBot="1" x14ac:dyDescent="0.25">
      <c r="A109" s="1178"/>
      <c r="B109" s="1179"/>
      <c r="C109" s="1275"/>
      <c r="D109" s="1213"/>
      <c r="E109" s="1272"/>
      <c r="F109" s="1220"/>
      <c r="G109" s="1171"/>
      <c r="H109" s="274" t="s">
        <v>10</v>
      </c>
      <c r="I109" s="275">
        <f>I97+I95</f>
        <v>177.60000000000002</v>
      </c>
      <c r="J109" s="228">
        <f>J97+J95</f>
        <v>127.60000000000001</v>
      </c>
      <c r="K109" s="228">
        <f>K97+K95</f>
        <v>0</v>
      </c>
      <c r="L109" s="276">
        <f>L97+L95</f>
        <v>50</v>
      </c>
      <c r="M109" s="227">
        <f>M95+M96+M97</f>
        <v>3180</v>
      </c>
      <c r="N109" s="275">
        <f>N95+N96+N97</f>
        <v>3242.7000000000003</v>
      </c>
      <c r="O109" s="1212"/>
      <c r="P109" s="500"/>
      <c r="Q109" s="500"/>
      <c r="R109" s="502"/>
    </row>
    <row r="110" spans="1:21" ht="30.75" customHeight="1" thickBot="1" x14ac:dyDescent="0.25">
      <c r="A110" s="91" t="s">
        <v>9</v>
      </c>
      <c r="B110" s="9" t="s">
        <v>9</v>
      </c>
      <c r="C110" s="1292" t="s">
        <v>12</v>
      </c>
      <c r="D110" s="1292"/>
      <c r="E110" s="1292"/>
      <c r="F110" s="1292"/>
      <c r="G110" s="1292"/>
      <c r="H110" s="1292"/>
      <c r="I110" s="543" t="s">
        <v>213</v>
      </c>
      <c r="J110" s="560" t="s">
        <v>214</v>
      </c>
      <c r="K110" s="473">
        <f>K109+K94+K90+K87+K81+K77+K61+K44+K32</f>
        <v>742.7</v>
      </c>
      <c r="L110" s="474">
        <f>L109+L94+L90+L87+L81+L77+L61+L44+L32</f>
        <v>1374.7</v>
      </c>
      <c r="M110" s="22">
        <f>M109+M94+M90+M87+M81+M77+M61+M44+M32</f>
        <v>22958.300000000003</v>
      </c>
      <c r="N110" s="175">
        <f>N109+N94+N90+N87+N81+N77+N61+N44+N32</f>
        <v>21634.5</v>
      </c>
      <c r="O110" s="475"/>
      <c r="P110" s="476"/>
      <c r="Q110" s="476"/>
      <c r="R110" s="477"/>
    </row>
    <row r="111" spans="1:21" ht="16.5" customHeight="1" thickBot="1" x14ac:dyDescent="0.25">
      <c r="A111" s="91" t="s">
        <v>9</v>
      </c>
      <c r="B111" s="9" t="s">
        <v>11</v>
      </c>
      <c r="C111" s="1293" t="s">
        <v>70</v>
      </c>
      <c r="D111" s="1294"/>
      <c r="E111" s="1294"/>
      <c r="F111" s="1294"/>
      <c r="G111" s="1294"/>
      <c r="H111" s="1294"/>
      <c r="I111" s="1294"/>
      <c r="J111" s="1294"/>
      <c r="K111" s="1294"/>
      <c r="L111" s="1294"/>
      <c r="M111" s="1294"/>
      <c r="N111" s="1294"/>
      <c r="O111" s="1294"/>
      <c r="P111" s="1294"/>
      <c r="Q111" s="1294"/>
      <c r="R111" s="1296"/>
    </row>
    <row r="112" spans="1:21" ht="16.5" customHeight="1" x14ac:dyDescent="0.2">
      <c r="A112" s="1234" t="s">
        <v>9</v>
      </c>
      <c r="B112" s="1297" t="s">
        <v>11</v>
      </c>
      <c r="C112" s="1300" t="s">
        <v>9</v>
      </c>
      <c r="D112" s="1303" t="s">
        <v>107</v>
      </c>
      <c r="E112" s="1305"/>
      <c r="F112" s="1273" t="s">
        <v>53</v>
      </c>
      <c r="G112" s="1233" t="s">
        <v>39</v>
      </c>
      <c r="H112" s="17" t="s">
        <v>35</v>
      </c>
      <c r="I112" s="240">
        <f>J112+L112</f>
        <v>513.5</v>
      </c>
      <c r="J112" s="230">
        <v>513.5</v>
      </c>
      <c r="K112" s="230"/>
      <c r="L112" s="231"/>
      <c r="M112" s="39">
        <v>582</v>
      </c>
      <c r="N112" s="39">
        <v>582</v>
      </c>
      <c r="O112" s="1248" t="s">
        <v>73</v>
      </c>
      <c r="P112" s="486">
        <v>18</v>
      </c>
      <c r="Q112" s="486">
        <v>18</v>
      </c>
      <c r="R112" s="488">
        <v>18</v>
      </c>
      <c r="U112" s="11"/>
    </row>
    <row r="113" spans="1:24" ht="15.75" customHeight="1" x14ac:dyDescent="0.2">
      <c r="A113" s="1178"/>
      <c r="B113" s="1298"/>
      <c r="C113" s="1301"/>
      <c r="D113" s="1283"/>
      <c r="E113" s="1306"/>
      <c r="F113" s="1170"/>
      <c r="G113" s="1171"/>
      <c r="H113" s="24"/>
      <c r="I113" s="234">
        <f>J113+L113</f>
        <v>0</v>
      </c>
      <c r="J113" s="220"/>
      <c r="K113" s="220"/>
      <c r="L113" s="221"/>
      <c r="M113" s="67"/>
      <c r="N113" s="67"/>
      <c r="O113" s="1212"/>
      <c r="P113" s="29"/>
      <c r="Q113" s="29"/>
      <c r="R113" s="143"/>
      <c r="U113" s="11"/>
    </row>
    <row r="114" spans="1:24" ht="14.25" customHeight="1" x14ac:dyDescent="0.2">
      <c r="A114" s="1178"/>
      <c r="B114" s="1298"/>
      <c r="C114" s="1301"/>
      <c r="D114" s="1283"/>
      <c r="E114" s="1306"/>
      <c r="F114" s="1170"/>
      <c r="G114" s="1171"/>
      <c r="H114" s="18"/>
      <c r="I114" s="216">
        <f>J114+L114</f>
        <v>0</v>
      </c>
      <c r="J114" s="225"/>
      <c r="K114" s="225"/>
      <c r="L114" s="226"/>
      <c r="M114" s="21"/>
      <c r="N114" s="21"/>
      <c r="O114" s="1212"/>
      <c r="P114" s="29"/>
      <c r="Q114" s="29"/>
      <c r="R114" s="143"/>
      <c r="U114" s="11"/>
    </row>
    <row r="115" spans="1:24" ht="21.75" customHeight="1" thickBot="1" x14ac:dyDescent="0.25">
      <c r="A115" s="1256"/>
      <c r="B115" s="1299"/>
      <c r="C115" s="1302"/>
      <c r="D115" s="1304"/>
      <c r="E115" s="1307"/>
      <c r="F115" s="1274"/>
      <c r="G115" s="1254"/>
      <c r="H115" s="282" t="s">
        <v>10</v>
      </c>
      <c r="I115" s="243">
        <f t="shared" ref="I115:N115" si="4">SUM(I112:I114)</f>
        <v>513.5</v>
      </c>
      <c r="J115" s="238">
        <f t="shared" si="4"/>
        <v>513.5</v>
      </c>
      <c r="K115" s="238">
        <f t="shared" si="4"/>
        <v>0</v>
      </c>
      <c r="L115" s="238">
        <f t="shared" si="4"/>
        <v>0</v>
      </c>
      <c r="M115" s="280">
        <f t="shared" si="4"/>
        <v>582</v>
      </c>
      <c r="N115" s="280">
        <f t="shared" si="4"/>
        <v>582</v>
      </c>
      <c r="O115" s="16"/>
      <c r="P115" s="487"/>
      <c r="Q115" s="487"/>
      <c r="R115" s="489"/>
      <c r="U115" s="11"/>
    </row>
    <row r="116" spans="1:24" ht="12.75" customHeight="1" x14ac:dyDescent="0.2">
      <c r="A116" s="1234" t="s">
        <v>9</v>
      </c>
      <c r="B116" s="1297" t="s">
        <v>11</v>
      </c>
      <c r="C116" s="1300" t="s">
        <v>11</v>
      </c>
      <c r="D116" s="1303" t="s">
        <v>74</v>
      </c>
      <c r="E116" s="1305"/>
      <c r="F116" s="1273" t="s">
        <v>53</v>
      </c>
      <c r="G116" s="1233" t="s">
        <v>39</v>
      </c>
      <c r="H116" s="17" t="s">
        <v>35</v>
      </c>
      <c r="I116" s="240">
        <f>J116+L116</f>
        <v>5</v>
      </c>
      <c r="J116" s="230">
        <v>5</v>
      </c>
      <c r="K116" s="230"/>
      <c r="L116" s="231"/>
      <c r="M116" s="39">
        <v>5</v>
      </c>
      <c r="N116" s="39">
        <v>5</v>
      </c>
      <c r="O116" s="1248" t="s">
        <v>104</v>
      </c>
      <c r="P116" s="486">
        <v>3</v>
      </c>
      <c r="Q116" s="486">
        <v>3</v>
      </c>
      <c r="R116" s="488">
        <v>3</v>
      </c>
      <c r="U116" s="11"/>
    </row>
    <row r="117" spans="1:24" ht="12.75" customHeight="1" x14ac:dyDescent="0.2">
      <c r="A117" s="1178"/>
      <c r="B117" s="1298"/>
      <c r="C117" s="1301"/>
      <c r="D117" s="1283"/>
      <c r="E117" s="1306"/>
      <c r="F117" s="1170"/>
      <c r="G117" s="1171"/>
      <c r="H117" s="18"/>
      <c r="I117" s="247"/>
      <c r="J117" s="220"/>
      <c r="K117" s="220"/>
      <c r="L117" s="221"/>
      <c r="M117" s="43"/>
      <c r="N117" s="43"/>
      <c r="O117" s="1212"/>
      <c r="P117" s="29"/>
      <c r="Q117" s="29"/>
      <c r="R117" s="143"/>
      <c r="U117" s="11"/>
    </row>
    <row r="118" spans="1:24" ht="13.5" thickBot="1" x14ac:dyDescent="0.25">
      <c r="A118" s="1256"/>
      <c r="B118" s="1299"/>
      <c r="C118" s="1302"/>
      <c r="D118" s="1304"/>
      <c r="E118" s="1307"/>
      <c r="F118" s="1274"/>
      <c r="G118" s="1254"/>
      <c r="H118" s="282" t="s">
        <v>10</v>
      </c>
      <c r="I118" s="243">
        <f t="shared" ref="I118:N118" si="5">SUM(I116:I116)</f>
        <v>5</v>
      </c>
      <c r="J118" s="238">
        <f t="shared" si="5"/>
        <v>5</v>
      </c>
      <c r="K118" s="238">
        <f t="shared" si="5"/>
        <v>0</v>
      </c>
      <c r="L118" s="238">
        <f t="shared" si="5"/>
        <v>0</v>
      </c>
      <c r="M118" s="280">
        <f t="shared" si="5"/>
        <v>5</v>
      </c>
      <c r="N118" s="280">
        <f t="shared" si="5"/>
        <v>5</v>
      </c>
      <c r="O118" s="1451"/>
      <c r="P118" s="487"/>
      <c r="Q118" s="487"/>
      <c r="R118" s="489"/>
      <c r="U118" s="11"/>
    </row>
    <row r="119" spans="1:24" ht="12.75" customHeight="1" x14ac:dyDescent="0.2">
      <c r="A119" s="1234" t="s">
        <v>9</v>
      </c>
      <c r="B119" s="1297" t="s">
        <v>11</v>
      </c>
      <c r="C119" s="1300" t="s">
        <v>37</v>
      </c>
      <c r="D119" s="1303" t="s">
        <v>103</v>
      </c>
      <c r="E119" s="1305"/>
      <c r="F119" s="1273" t="s">
        <v>53</v>
      </c>
      <c r="G119" s="1233" t="s">
        <v>39</v>
      </c>
      <c r="H119" s="423" t="s">
        <v>35</v>
      </c>
      <c r="I119" s="424">
        <f>J119+L119</f>
        <v>90</v>
      </c>
      <c r="J119" s="425">
        <v>90</v>
      </c>
      <c r="K119" s="425"/>
      <c r="L119" s="270"/>
      <c r="M119" s="341">
        <v>46</v>
      </c>
      <c r="N119" s="341">
        <v>46</v>
      </c>
      <c r="O119" s="1248" t="s">
        <v>75</v>
      </c>
      <c r="P119" s="486">
        <v>350</v>
      </c>
      <c r="Q119" s="486">
        <v>350</v>
      </c>
      <c r="R119" s="488">
        <v>350</v>
      </c>
      <c r="U119" s="11"/>
    </row>
    <row r="120" spans="1:24" ht="15.75" customHeight="1" x14ac:dyDescent="0.2">
      <c r="A120" s="1178"/>
      <c r="B120" s="1298"/>
      <c r="C120" s="1301"/>
      <c r="D120" s="1283"/>
      <c r="E120" s="1306"/>
      <c r="F120" s="1170"/>
      <c r="G120" s="1171"/>
      <c r="H120" s="18"/>
      <c r="I120" s="320"/>
      <c r="J120" s="260"/>
      <c r="K120" s="260"/>
      <c r="L120" s="221"/>
      <c r="M120" s="67"/>
      <c r="N120" s="67"/>
      <c r="O120" s="1212"/>
      <c r="P120" s="29"/>
      <c r="Q120" s="29"/>
      <c r="R120" s="143"/>
      <c r="U120" s="11"/>
    </row>
    <row r="121" spans="1:24" x14ac:dyDescent="0.2">
      <c r="A121" s="1178"/>
      <c r="B121" s="1298"/>
      <c r="C121" s="1301"/>
      <c r="D121" s="1283"/>
      <c r="E121" s="1306"/>
      <c r="F121" s="1170"/>
      <c r="G121" s="1171"/>
      <c r="H121" s="18"/>
      <c r="I121" s="320"/>
      <c r="J121" s="260"/>
      <c r="K121" s="260"/>
      <c r="L121" s="221"/>
      <c r="M121" s="67"/>
      <c r="N121" s="67"/>
      <c r="O121" s="1212" t="s">
        <v>76</v>
      </c>
      <c r="P121" s="29">
        <v>30</v>
      </c>
      <c r="Q121" s="29">
        <v>30</v>
      </c>
      <c r="R121" s="143">
        <v>30</v>
      </c>
      <c r="U121" s="11"/>
    </row>
    <row r="122" spans="1:24" ht="35.25" customHeight="1" x14ac:dyDescent="0.2">
      <c r="A122" s="1178"/>
      <c r="B122" s="1298"/>
      <c r="C122" s="1301"/>
      <c r="D122" s="1283"/>
      <c r="E122" s="1306"/>
      <c r="F122" s="1170"/>
      <c r="G122" s="1171"/>
      <c r="H122" s="18"/>
      <c r="I122" s="261"/>
      <c r="J122" s="260"/>
      <c r="K122" s="260"/>
      <c r="L122" s="221"/>
      <c r="M122" s="33"/>
      <c r="N122" s="33"/>
      <c r="O122" s="1212"/>
      <c r="P122" s="29"/>
      <c r="Q122" s="29"/>
      <c r="R122" s="143"/>
      <c r="U122" s="11"/>
    </row>
    <row r="123" spans="1:24" ht="17.25" customHeight="1" thickBot="1" x14ac:dyDescent="0.25">
      <c r="A123" s="1256"/>
      <c r="B123" s="1299"/>
      <c r="C123" s="1302"/>
      <c r="D123" s="1304"/>
      <c r="E123" s="1307"/>
      <c r="F123" s="1274"/>
      <c r="G123" s="1254"/>
      <c r="H123" s="282" t="s">
        <v>10</v>
      </c>
      <c r="I123" s="262">
        <f t="shared" ref="I123:N123" si="6">SUM(I119:I122)</f>
        <v>90</v>
      </c>
      <c r="J123" s="263">
        <f t="shared" si="6"/>
        <v>90</v>
      </c>
      <c r="K123" s="263">
        <f t="shared" si="6"/>
        <v>0</v>
      </c>
      <c r="L123" s="238">
        <f t="shared" si="6"/>
        <v>0</v>
      </c>
      <c r="M123" s="280">
        <f t="shared" si="6"/>
        <v>46</v>
      </c>
      <c r="N123" s="280">
        <f t="shared" si="6"/>
        <v>46</v>
      </c>
      <c r="O123" s="16" t="s">
        <v>137</v>
      </c>
      <c r="P123" s="487">
        <v>30</v>
      </c>
      <c r="Q123" s="487">
        <v>30</v>
      </c>
      <c r="R123" s="489">
        <v>30</v>
      </c>
      <c r="U123" s="11"/>
    </row>
    <row r="124" spans="1:24" ht="12.75" customHeight="1" x14ac:dyDescent="0.2">
      <c r="A124" s="1234" t="s">
        <v>9</v>
      </c>
      <c r="B124" s="1297" t="s">
        <v>11</v>
      </c>
      <c r="C124" s="1300" t="s">
        <v>52</v>
      </c>
      <c r="D124" s="1303" t="s">
        <v>79</v>
      </c>
      <c r="E124" s="1305"/>
      <c r="F124" s="1273" t="s">
        <v>53</v>
      </c>
      <c r="G124" s="1233" t="s">
        <v>39</v>
      </c>
      <c r="H124" s="17" t="s">
        <v>35</v>
      </c>
      <c r="I124" s="258">
        <f>J124+L124</f>
        <v>6</v>
      </c>
      <c r="J124" s="259">
        <v>6</v>
      </c>
      <c r="K124" s="259"/>
      <c r="L124" s="231"/>
      <c r="M124" s="39">
        <v>6</v>
      </c>
      <c r="N124" s="39">
        <v>6</v>
      </c>
      <c r="O124" s="1248" t="s">
        <v>80</v>
      </c>
      <c r="P124" s="486">
        <v>20</v>
      </c>
      <c r="Q124" s="486">
        <v>20</v>
      </c>
      <c r="R124" s="488">
        <v>20</v>
      </c>
      <c r="U124" s="11"/>
    </row>
    <row r="125" spans="1:24" x14ac:dyDescent="0.2">
      <c r="A125" s="1178"/>
      <c r="B125" s="1298"/>
      <c r="C125" s="1301"/>
      <c r="D125" s="1283"/>
      <c r="E125" s="1306"/>
      <c r="F125" s="1170"/>
      <c r="G125" s="1171"/>
      <c r="H125" s="24"/>
      <c r="I125" s="236">
        <f>J125+L125</f>
        <v>0</v>
      </c>
      <c r="J125" s="260"/>
      <c r="K125" s="260"/>
      <c r="L125" s="221"/>
      <c r="M125" s="67"/>
      <c r="N125" s="67"/>
      <c r="O125" s="1212"/>
      <c r="P125" s="29"/>
      <c r="Q125" s="29"/>
      <c r="R125" s="143"/>
      <c r="U125" s="11"/>
    </row>
    <row r="126" spans="1:24" ht="13.5" thickBot="1" x14ac:dyDescent="0.25">
      <c r="A126" s="1256"/>
      <c r="B126" s="1299"/>
      <c r="C126" s="1302"/>
      <c r="D126" s="1304"/>
      <c r="E126" s="1307"/>
      <c r="F126" s="1274"/>
      <c r="G126" s="1254"/>
      <c r="H126" s="282" t="s">
        <v>10</v>
      </c>
      <c r="I126" s="262">
        <f t="shared" ref="I126:N126" si="7">SUM(I124:I125)</f>
        <v>6</v>
      </c>
      <c r="J126" s="263">
        <f t="shared" si="7"/>
        <v>6</v>
      </c>
      <c r="K126" s="263">
        <f t="shared" si="7"/>
        <v>0</v>
      </c>
      <c r="L126" s="238">
        <f t="shared" si="7"/>
        <v>0</v>
      </c>
      <c r="M126" s="280">
        <f t="shared" si="7"/>
        <v>6</v>
      </c>
      <c r="N126" s="280">
        <f t="shared" si="7"/>
        <v>6</v>
      </c>
      <c r="O126" s="16"/>
      <c r="P126" s="487"/>
      <c r="Q126" s="487"/>
      <c r="R126" s="489"/>
      <c r="U126" s="11"/>
    </row>
    <row r="127" spans="1:24" ht="41.25" customHeight="1" x14ac:dyDescent="0.2">
      <c r="A127" s="1234" t="s">
        <v>9</v>
      </c>
      <c r="B127" s="1297" t="s">
        <v>11</v>
      </c>
      <c r="C127" s="1300" t="s">
        <v>53</v>
      </c>
      <c r="D127" s="1311" t="s">
        <v>88</v>
      </c>
      <c r="E127" s="1271" t="s">
        <v>90</v>
      </c>
      <c r="F127" s="1273" t="s">
        <v>40</v>
      </c>
      <c r="G127" s="1233" t="s">
        <v>89</v>
      </c>
      <c r="H127" s="283" t="s">
        <v>35</v>
      </c>
      <c r="I127" s="258">
        <f>J127+L127</f>
        <v>75.2</v>
      </c>
      <c r="J127" s="259"/>
      <c r="K127" s="259"/>
      <c r="L127" s="231">
        <v>75.2</v>
      </c>
      <c r="M127" s="44"/>
      <c r="N127" s="44"/>
      <c r="O127" s="1248" t="s">
        <v>136</v>
      </c>
      <c r="P127" s="1449"/>
      <c r="Q127" s="486"/>
      <c r="R127" s="488"/>
      <c r="U127" s="11"/>
      <c r="V127" s="12"/>
      <c r="W127" s="12"/>
      <c r="X127" s="12"/>
    </row>
    <row r="128" spans="1:24" ht="27.75" customHeight="1" x14ac:dyDescent="0.2">
      <c r="A128" s="1178"/>
      <c r="B128" s="1298"/>
      <c r="C128" s="1301"/>
      <c r="D128" s="1312"/>
      <c r="E128" s="1272"/>
      <c r="F128" s="1170"/>
      <c r="G128" s="1171"/>
      <c r="H128" s="284" t="s">
        <v>129</v>
      </c>
      <c r="I128" s="236">
        <f>J128+L128</f>
        <v>400</v>
      </c>
      <c r="J128" s="260"/>
      <c r="K128" s="260"/>
      <c r="L128" s="221">
        <v>400</v>
      </c>
      <c r="M128" s="67"/>
      <c r="N128" s="67"/>
      <c r="O128" s="1212"/>
      <c r="P128" s="1450"/>
      <c r="Q128" s="29"/>
      <c r="R128" s="143"/>
      <c r="U128" s="11"/>
      <c r="V128" s="12"/>
      <c r="W128" s="12"/>
      <c r="X128" s="12"/>
    </row>
    <row r="129" spans="1:32" ht="39.75" customHeight="1" thickBot="1" x14ac:dyDescent="0.25">
      <c r="A129" s="1256"/>
      <c r="B129" s="1299"/>
      <c r="C129" s="1302"/>
      <c r="D129" s="1313"/>
      <c r="E129" s="1314"/>
      <c r="F129" s="1274"/>
      <c r="G129" s="1254"/>
      <c r="H129" s="282" t="s">
        <v>10</v>
      </c>
      <c r="I129" s="262">
        <f t="shared" ref="I129:N129" si="8">SUM(I127:I128)</f>
        <v>475.2</v>
      </c>
      <c r="J129" s="263">
        <f t="shared" si="8"/>
        <v>0</v>
      </c>
      <c r="K129" s="263">
        <f t="shared" si="8"/>
        <v>0</v>
      </c>
      <c r="L129" s="238">
        <f t="shared" si="8"/>
        <v>475.2</v>
      </c>
      <c r="M129" s="280">
        <f t="shared" si="8"/>
        <v>0</v>
      </c>
      <c r="N129" s="280">
        <f t="shared" si="8"/>
        <v>0</v>
      </c>
      <c r="O129" s="1255"/>
      <c r="P129" s="426">
        <v>100</v>
      </c>
      <c r="Q129" s="487"/>
      <c r="R129" s="489"/>
      <c r="U129" s="11"/>
      <c r="V129" s="12"/>
      <c r="W129" s="12"/>
      <c r="X129" s="12"/>
    </row>
    <row r="130" spans="1:32" x14ac:dyDescent="0.2">
      <c r="A130" s="1234" t="s">
        <v>9</v>
      </c>
      <c r="B130" s="1297" t="s">
        <v>11</v>
      </c>
      <c r="C130" s="1300" t="s">
        <v>40</v>
      </c>
      <c r="D130" s="1309" t="s">
        <v>95</v>
      </c>
      <c r="E130" s="1305"/>
      <c r="F130" s="1273" t="s">
        <v>53</v>
      </c>
      <c r="G130" s="1233" t="s">
        <v>39</v>
      </c>
      <c r="H130" s="283" t="s">
        <v>35</v>
      </c>
      <c r="I130" s="240">
        <f>J130+L130</f>
        <v>100.3</v>
      </c>
      <c r="J130" s="230">
        <v>100.3</v>
      </c>
      <c r="K130" s="230"/>
      <c r="L130" s="231"/>
      <c r="M130" s="39">
        <v>100</v>
      </c>
      <c r="N130" s="39"/>
      <c r="O130" s="481" t="s">
        <v>77</v>
      </c>
      <c r="P130" s="486"/>
      <c r="Q130" s="486">
        <v>1</v>
      </c>
      <c r="R130" s="488"/>
      <c r="U130" s="11"/>
      <c r="V130" s="12"/>
      <c r="W130" s="12"/>
      <c r="X130" s="12"/>
    </row>
    <row r="131" spans="1:32" x14ac:dyDescent="0.2">
      <c r="A131" s="1178"/>
      <c r="B131" s="1298"/>
      <c r="C131" s="1301"/>
      <c r="D131" s="1448"/>
      <c r="E131" s="1306"/>
      <c r="F131" s="1170"/>
      <c r="G131" s="1171"/>
      <c r="H131" s="284"/>
      <c r="I131" s="234">
        <f>J131+L131</f>
        <v>0</v>
      </c>
      <c r="J131" s="220"/>
      <c r="K131" s="220"/>
      <c r="L131" s="221"/>
      <c r="M131" s="67"/>
      <c r="N131" s="67"/>
      <c r="O131" s="15"/>
      <c r="P131" s="29"/>
      <c r="Q131" s="29"/>
      <c r="R131" s="143"/>
      <c r="U131" s="11"/>
      <c r="V131" s="12"/>
      <c r="W131" s="12"/>
      <c r="X131" s="12"/>
    </row>
    <row r="132" spans="1:32" ht="13.5" thickBot="1" x14ac:dyDescent="0.25">
      <c r="A132" s="1256"/>
      <c r="B132" s="1299"/>
      <c r="C132" s="1302"/>
      <c r="D132" s="1310"/>
      <c r="E132" s="1307"/>
      <c r="F132" s="1274"/>
      <c r="G132" s="1254"/>
      <c r="H132" s="282" t="s">
        <v>10</v>
      </c>
      <c r="I132" s="243">
        <f t="shared" ref="I132:N132" si="9">SUM(I130:I131)</f>
        <v>100.3</v>
      </c>
      <c r="J132" s="238">
        <f t="shared" si="9"/>
        <v>100.3</v>
      </c>
      <c r="K132" s="238">
        <f t="shared" si="9"/>
        <v>0</v>
      </c>
      <c r="L132" s="238">
        <f t="shared" si="9"/>
        <v>0</v>
      </c>
      <c r="M132" s="280">
        <f t="shared" si="9"/>
        <v>100</v>
      </c>
      <c r="N132" s="280">
        <f t="shared" si="9"/>
        <v>0</v>
      </c>
      <c r="O132" s="16"/>
      <c r="P132" s="487"/>
      <c r="Q132" s="487"/>
      <c r="R132" s="489"/>
      <c r="U132" s="11"/>
      <c r="V132" s="12"/>
      <c r="W132" s="12"/>
      <c r="X132" s="12"/>
    </row>
    <row r="133" spans="1:32" x14ac:dyDescent="0.2">
      <c r="A133" s="1234" t="s">
        <v>9</v>
      </c>
      <c r="B133" s="1297" t="s">
        <v>11</v>
      </c>
      <c r="C133" s="1300" t="s">
        <v>54</v>
      </c>
      <c r="D133" s="1309" t="s">
        <v>106</v>
      </c>
      <c r="E133" s="1305"/>
      <c r="F133" s="1273" t="s">
        <v>53</v>
      </c>
      <c r="G133" s="1233" t="s">
        <v>39</v>
      </c>
      <c r="H133" s="17" t="s">
        <v>35</v>
      </c>
      <c r="I133" s="240">
        <f>J133+L133</f>
        <v>20</v>
      </c>
      <c r="J133" s="230">
        <v>20</v>
      </c>
      <c r="K133" s="230"/>
      <c r="L133" s="231"/>
      <c r="M133" s="39"/>
      <c r="N133" s="39"/>
      <c r="O133" s="481" t="s">
        <v>78</v>
      </c>
      <c r="P133" s="486">
        <v>150</v>
      </c>
      <c r="Q133" s="486"/>
      <c r="R133" s="488"/>
      <c r="U133" s="11"/>
    </row>
    <row r="134" spans="1:32" x14ac:dyDescent="0.2">
      <c r="A134" s="1178"/>
      <c r="B134" s="1298"/>
      <c r="C134" s="1301"/>
      <c r="D134" s="1448"/>
      <c r="E134" s="1306"/>
      <c r="F134" s="1170"/>
      <c r="G134" s="1171"/>
      <c r="H134" s="24"/>
      <c r="I134" s="234">
        <f>J134+L134</f>
        <v>0</v>
      </c>
      <c r="J134" s="220"/>
      <c r="K134" s="220"/>
      <c r="L134" s="221"/>
      <c r="M134" s="67"/>
      <c r="N134" s="67"/>
      <c r="O134" s="15"/>
      <c r="P134" s="29"/>
      <c r="Q134" s="29"/>
      <c r="R134" s="143"/>
      <c r="U134" s="11"/>
    </row>
    <row r="135" spans="1:32" ht="13.5" thickBot="1" x14ac:dyDescent="0.25">
      <c r="A135" s="1256"/>
      <c r="B135" s="1299"/>
      <c r="C135" s="1302"/>
      <c r="D135" s="1310"/>
      <c r="E135" s="1307"/>
      <c r="F135" s="1274"/>
      <c r="G135" s="1254"/>
      <c r="H135" s="282" t="s">
        <v>10</v>
      </c>
      <c r="I135" s="243">
        <f t="shared" ref="I135:N135" si="10">SUM(I133:I134)</f>
        <v>20</v>
      </c>
      <c r="J135" s="238">
        <f t="shared" si="10"/>
        <v>20</v>
      </c>
      <c r="K135" s="238">
        <f t="shared" si="10"/>
        <v>0</v>
      </c>
      <c r="L135" s="238">
        <f t="shared" si="10"/>
        <v>0</v>
      </c>
      <c r="M135" s="280">
        <f t="shared" si="10"/>
        <v>0</v>
      </c>
      <c r="N135" s="280">
        <f t="shared" si="10"/>
        <v>0</v>
      </c>
      <c r="O135" s="16"/>
      <c r="P135" s="487"/>
      <c r="Q135" s="487"/>
      <c r="R135" s="489"/>
      <c r="U135" s="11"/>
    </row>
    <row r="136" spans="1:32" ht="13.5" thickBot="1" x14ac:dyDescent="0.25">
      <c r="A136" s="97" t="s">
        <v>9</v>
      </c>
      <c r="B136" s="9" t="s">
        <v>11</v>
      </c>
      <c r="C136" s="1292" t="s">
        <v>12</v>
      </c>
      <c r="D136" s="1292"/>
      <c r="E136" s="1292"/>
      <c r="F136" s="1292"/>
      <c r="G136" s="1292"/>
      <c r="H136" s="1318"/>
      <c r="I136" s="22">
        <f t="shared" ref="I136:N136" si="11">SUM(I129,I126,I135,I132,I123,I118,I115)</f>
        <v>1210</v>
      </c>
      <c r="J136" s="22">
        <f t="shared" si="11"/>
        <v>734.8</v>
      </c>
      <c r="K136" s="22">
        <f t="shared" si="11"/>
        <v>0</v>
      </c>
      <c r="L136" s="22">
        <f t="shared" si="11"/>
        <v>475.2</v>
      </c>
      <c r="M136" s="22">
        <f t="shared" si="11"/>
        <v>739</v>
      </c>
      <c r="N136" s="22">
        <f t="shared" si="11"/>
        <v>639</v>
      </c>
      <c r="O136" s="1373"/>
      <c r="P136" s="1374"/>
      <c r="Q136" s="1374"/>
      <c r="R136" s="1375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5" customHeight="1" thickBot="1" x14ac:dyDescent="0.25">
      <c r="A137" s="91" t="s">
        <v>9</v>
      </c>
      <c r="B137" s="9" t="s">
        <v>37</v>
      </c>
      <c r="C137" s="1293" t="s">
        <v>71</v>
      </c>
      <c r="D137" s="1294"/>
      <c r="E137" s="1294"/>
      <c r="F137" s="1294"/>
      <c r="G137" s="1294"/>
      <c r="H137" s="1294"/>
      <c r="I137" s="1294"/>
      <c r="J137" s="1294"/>
      <c r="K137" s="1294"/>
      <c r="L137" s="1294"/>
      <c r="M137" s="1294"/>
      <c r="N137" s="1294"/>
      <c r="O137" s="1294"/>
      <c r="P137" s="1294"/>
      <c r="Q137" s="1294"/>
      <c r="R137" s="1296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1:32" ht="12.75" customHeight="1" x14ac:dyDescent="0.2">
      <c r="A138" s="1234" t="s">
        <v>9</v>
      </c>
      <c r="B138" s="1297" t="s">
        <v>37</v>
      </c>
      <c r="C138" s="1300" t="s">
        <v>9</v>
      </c>
      <c r="D138" s="1303" t="s">
        <v>81</v>
      </c>
      <c r="E138" s="1397"/>
      <c r="F138" s="1273" t="s">
        <v>53</v>
      </c>
      <c r="G138" s="1263" t="s">
        <v>39</v>
      </c>
      <c r="H138" s="283" t="s">
        <v>35</v>
      </c>
      <c r="I138" s="240">
        <f>J138+L138</f>
        <v>1233.5</v>
      </c>
      <c r="J138" s="230">
        <v>1233.5</v>
      </c>
      <c r="K138" s="230"/>
      <c r="L138" s="231"/>
      <c r="M138" s="44">
        <v>2006.3</v>
      </c>
      <c r="N138" s="44">
        <v>2006.3</v>
      </c>
      <c r="O138" s="1248" t="s">
        <v>196</v>
      </c>
      <c r="P138" s="41">
        <v>3.7</v>
      </c>
      <c r="Q138" s="41">
        <v>3.7</v>
      </c>
      <c r="R138" s="42">
        <v>3.7</v>
      </c>
      <c r="U138" s="1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2" x14ac:dyDescent="0.2">
      <c r="A139" s="1178"/>
      <c r="B139" s="1298"/>
      <c r="C139" s="1301"/>
      <c r="D139" s="1283"/>
      <c r="E139" s="1182"/>
      <c r="F139" s="1170"/>
      <c r="G139" s="1264"/>
      <c r="H139" s="284"/>
      <c r="I139" s="234">
        <f>J139+L139</f>
        <v>0</v>
      </c>
      <c r="J139" s="220"/>
      <c r="K139" s="220"/>
      <c r="L139" s="221"/>
      <c r="M139" s="67"/>
      <c r="N139" s="67"/>
      <c r="O139" s="1212"/>
      <c r="P139" s="40"/>
      <c r="Q139" s="29"/>
      <c r="R139" s="143"/>
      <c r="U139" s="11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</row>
    <row r="140" spans="1:32" ht="18" customHeight="1" x14ac:dyDescent="0.2">
      <c r="A140" s="1178"/>
      <c r="B140" s="1298"/>
      <c r="C140" s="1301"/>
      <c r="D140" s="1283"/>
      <c r="E140" s="1182"/>
      <c r="F140" s="1170"/>
      <c r="G140" s="1264"/>
      <c r="H140" s="368"/>
      <c r="I140" s="216">
        <f>J140+L140</f>
        <v>0</v>
      </c>
      <c r="J140" s="225"/>
      <c r="K140" s="225"/>
      <c r="L140" s="226"/>
      <c r="M140" s="21"/>
      <c r="N140" s="21"/>
      <c r="O140" s="1212"/>
      <c r="P140" s="29"/>
      <c r="Q140" s="29"/>
      <c r="R140" s="143"/>
      <c r="U140" s="11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</row>
    <row r="141" spans="1:32" ht="22.5" customHeight="1" thickBot="1" x14ac:dyDescent="0.25">
      <c r="A141" s="1256"/>
      <c r="B141" s="1299"/>
      <c r="C141" s="1302"/>
      <c r="D141" s="1304"/>
      <c r="E141" s="1398"/>
      <c r="F141" s="1274"/>
      <c r="G141" s="1265"/>
      <c r="H141" s="282" t="s">
        <v>10</v>
      </c>
      <c r="I141" s="243">
        <f t="shared" ref="I141:N141" si="12">SUM(I138:I140)</f>
        <v>1233.5</v>
      </c>
      <c r="J141" s="238">
        <f t="shared" si="12"/>
        <v>1233.5</v>
      </c>
      <c r="K141" s="238">
        <f t="shared" si="12"/>
        <v>0</v>
      </c>
      <c r="L141" s="238">
        <f t="shared" si="12"/>
        <v>0</v>
      </c>
      <c r="M141" s="280">
        <f t="shared" si="12"/>
        <v>2006.3</v>
      </c>
      <c r="N141" s="280">
        <f t="shared" si="12"/>
        <v>2006.3</v>
      </c>
      <c r="O141" s="1255"/>
      <c r="P141" s="487"/>
      <c r="Q141" s="487"/>
      <c r="R141" s="489"/>
      <c r="U141" s="11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</row>
    <row r="142" spans="1:32" ht="12.75" customHeight="1" x14ac:dyDescent="0.2">
      <c r="A142" s="1234" t="s">
        <v>9</v>
      </c>
      <c r="B142" s="1297" t="s">
        <v>37</v>
      </c>
      <c r="C142" s="1300" t="s">
        <v>11</v>
      </c>
      <c r="D142" s="1303" t="s">
        <v>38</v>
      </c>
      <c r="E142" s="1397"/>
      <c r="F142" s="1273" t="s">
        <v>40</v>
      </c>
      <c r="G142" s="1263" t="s">
        <v>39</v>
      </c>
      <c r="H142" s="283" t="s">
        <v>35</v>
      </c>
      <c r="I142" s="240">
        <f>J142+L142</f>
        <v>0</v>
      </c>
      <c r="J142" s="230"/>
      <c r="K142" s="230"/>
      <c r="L142" s="231"/>
      <c r="M142" s="44"/>
      <c r="N142" s="44"/>
      <c r="O142" s="1248" t="s">
        <v>105</v>
      </c>
      <c r="P142" s="486"/>
      <c r="Q142" s="486" t="s">
        <v>41</v>
      </c>
      <c r="R142" s="488" t="s">
        <v>41</v>
      </c>
      <c r="U142" s="11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</row>
    <row r="143" spans="1:32" x14ac:dyDescent="0.2">
      <c r="A143" s="1178"/>
      <c r="B143" s="1298"/>
      <c r="C143" s="1301"/>
      <c r="D143" s="1283"/>
      <c r="E143" s="1182"/>
      <c r="F143" s="1170"/>
      <c r="G143" s="1264"/>
      <c r="H143" s="284"/>
      <c r="I143" s="234">
        <f>J143+L143</f>
        <v>0</v>
      </c>
      <c r="J143" s="220">
        <v>0</v>
      </c>
      <c r="K143" s="220"/>
      <c r="L143" s="221"/>
      <c r="M143" s="67"/>
      <c r="N143" s="67"/>
      <c r="O143" s="1212"/>
      <c r="P143" s="29"/>
      <c r="Q143" s="29"/>
      <c r="R143" s="143"/>
      <c r="U143" s="11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</row>
    <row r="144" spans="1:32" ht="13.5" thickBot="1" x14ac:dyDescent="0.25">
      <c r="A144" s="1256"/>
      <c r="B144" s="1299"/>
      <c r="C144" s="1302"/>
      <c r="D144" s="1304"/>
      <c r="E144" s="1398"/>
      <c r="F144" s="1274"/>
      <c r="G144" s="1265"/>
      <c r="H144" s="282" t="s">
        <v>10</v>
      </c>
      <c r="I144" s="243">
        <f t="shared" ref="I144:N144" si="13">SUM(I142:I143)</f>
        <v>0</v>
      </c>
      <c r="J144" s="238">
        <f t="shared" si="13"/>
        <v>0</v>
      </c>
      <c r="K144" s="238">
        <f t="shared" si="13"/>
        <v>0</v>
      </c>
      <c r="L144" s="238">
        <f t="shared" si="13"/>
        <v>0</v>
      </c>
      <c r="M144" s="280">
        <f t="shared" si="13"/>
        <v>0</v>
      </c>
      <c r="N144" s="280">
        <f t="shared" si="13"/>
        <v>0</v>
      </c>
      <c r="O144" s="16"/>
      <c r="P144" s="487"/>
      <c r="Q144" s="487"/>
      <c r="R144" s="489"/>
      <c r="U144" s="11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</row>
    <row r="145" spans="1:32" ht="12.75" customHeight="1" x14ac:dyDescent="0.2">
      <c r="A145" s="1234" t="s">
        <v>9</v>
      </c>
      <c r="B145" s="1297" t="s">
        <v>37</v>
      </c>
      <c r="C145" s="1300" t="s">
        <v>37</v>
      </c>
      <c r="D145" s="1303" t="s">
        <v>42</v>
      </c>
      <c r="E145" s="1397"/>
      <c r="F145" s="1273" t="s">
        <v>43</v>
      </c>
      <c r="G145" s="1263" t="s">
        <v>39</v>
      </c>
      <c r="H145" s="283" t="s">
        <v>35</v>
      </c>
      <c r="I145" s="240">
        <f>J145+L145</f>
        <v>0</v>
      </c>
      <c r="J145" s="230"/>
      <c r="K145" s="230"/>
      <c r="L145" s="231"/>
      <c r="M145" s="44">
        <v>62</v>
      </c>
      <c r="N145" s="44">
        <v>62</v>
      </c>
      <c r="O145" s="1248" t="s">
        <v>44</v>
      </c>
      <c r="P145" s="486"/>
      <c r="Q145" s="486">
        <v>13</v>
      </c>
      <c r="R145" s="488">
        <v>13</v>
      </c>
      <c r="U145" s="11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</row>
    <row r="146" spans="1:32" x14ac:dyDescent="0.2">
      <c r="A146" s="1178"/>
      <c r="B146" s="1298"/>
      <c r="C146" s="1301"/>
      <c r="D146" s="1283"/>
      <c r="E146" s="1182"/>
      <c r="F146" s="1170"/>
      <c r="G146" s="1264"/>
      <c r="H146" s="284"/>
      <c r="I146" s="234">
        <f>J146+L146</f>
        <v>0</v>
      </c>
      <c r="J146" s="220"/>
      <c r="K146" s="220"/>
      <c r="L146" s="221"/>
      <c r="M146" s="67"/>
      <c r="N146" s="67"/>
      <c r="O146" s="1212"/>
      <c r="P146" s="29"/>
      <c r="Q146" s="29"/>
      <c r="R146" s="143"/>
      <c r="U146" s="11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</row>
    <row r="147" spans="1:32" ht="13.5" thickBot="1" x14ac:dyDescent="0.25">
      <c r="A147" s="1256"/>
      <c r="B147" s="1299"/>
      <c r="C147" s="1302"/>
      <c r="D147" s="1304"/>
      <c r="E147" s="1398"/>
      <c r="F147" s="1274"/>
      <c r="G147" s="1265"/>
      <c r="H147" s="282" t="s">
        <v>10</v>
      </c>
      <c r="I147" s="243">
        <f t="shared" ref="I147:N147" si="14">SUM(I145:I146)</f>
        <v>0</v>
      </c>
      <c r="J147" s="238">
        <f t="shared" si="14"/>
        <v>0</v>
      </c>
      <c r="K147" s="238">
        <f t="shared" si="14"/>
        <v>0</v>
      </c>
      <c r="L147" s="238">
        <f t="shared" si="14"/>
        <v>0</v>
      </c>
      <c r="M147" s="280">
        <f t="shared" si="14"/>
        <v>62</v>
      </c>
      <c r="N147" s="280">
        <f t="shared" si="14"/>
        <v>62</v>
      </c>
      <c r="O147" s="16"/>
      <c r="P147" s="487"/>
      <c r="Q147" s="487"/>
      <c r="R147" s="489"/>
      <c r="U147" s="11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1:32" ht="12.75" customHeight="1" x14ac:dyDescent="0.2">
      <c r="A148" s="1234" t="s">
        <v>9</v>
      </c>
      <c r="B148" s="1297" t="s">
        <v>37</v>
      </c>
      <c r="C148" s="1300" t="s">
        <v>52</v>
      </c>
      <c r="D148" s="1259" t="s">
        <v>144</v>
      </c>
      <c r="E148" s="1397"/>
      <c r="F148" s="1446" t="s">
        <v>43</v>
      </c>
      <c r="G148" s="1439" t="s">
        <v>39</v>
      </c>
      <c r="H148" s="369" t="s">
        <v>91</v>
      </c>
      <c r="I148" s="264">
        <f>+J148+L148</f>
        <v>0</v>
      </c>
      <c r="J148" s="265">
        <v>0</v>
      </c>
      <c r="K148" s="265"/>
      <c r="L148" s="266">
        <v>0</v>
      </c>
      <c r="M148" s="110">
        <v>50</v>
      </c>
      <c r="N148" s="109">
        <v>50</v>
      </c>
      <c r="O148" s="1278" t="s">
        <v>148</v>
      </c>
      <c r="P148" s="1442"/>
      <c r="Q148" s="1442"/>
      <c r="R148" s="1444">
        <v>1</v>
      </c>
      <c r="T148" s="11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</row>
    <row r="149" spans="1:32" ht="30" customHeight="1" thickBot="1" x14ac:dyDescent="0.25">
      <c r="A149" s="1256"/>
      <c r="B149" s="1299"/>
      <c r="C149" s="1302"/>
      <c r="D149" s="1260"/>
      <c r="E149" s="1398"/>
      <c r="F149" s="1447"/>
      <c r="G149" s="1440"/>
      <c r="H149" s="282" t="s">
        <v>10</v>
      </c>
      <c r="I149" s="243">
        <f>+L149+J149</f>
        <v>0</v>
      </c>
      <c r="J149" s="243">
        <f>+J148</f>
        <v>0</v>
      </c>
      <c r="K149" s="243"/>
      <c r="L149" s="248">
        <f>+L148</f>
        <v>0</v>
      </c>
      <c r="M149" s="280">
        <f>+M148</f>
        <v>50</v>
      </c>
      <c r="N149" s="243">
        <f>+N148</f>
        <v>50</v>
      </c>
      <c r="O149" s="1441"/>
      <c r="P149" s="1443"/>
      <c r="Q149" s="1443"/>
      <c r="R149" s="1445"/>
      <c r="T149" s="11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</row>
    <row r="150" spans="1:32" ht="13.5" thickBot="1" x14ac:dyDescent="0.25">
      <c r="A150" s="97" t="s">
        <v>9</v>
      </c>
      <c r="B150" s="9" t="s">
        <v>37</v>
      </c>
      <c r="C150" s="1292" t="s">
        <v>12</v>
      </c>
      <c r="D150" s="1292"/>
      <c r="E150" s="1292"/>
      <c r="F150" s="1292"/>
      <c r="G150" s="1292"/>
      <c r="H150" s="1318"/>
      <c r="I150" s="22">
        <f t="shared" ref="I150:N150" si="15">SUM(I147,I144,I141,I149)</f>
        <v>1233.5</v>
      </c>
      <c r="J150" s="22">
        <f t="shared" si="15"/>
        <v>1233.5</v>
      </c>
      <c r="K150" s="22">
        <f t="shared" si="15"/>
        <v>0</v>
      </c>
      <c r="L150" s="22">
        <f t="shared" si="15"/>
        <v>0</v>
      </c>
      <c r="M150" s="22">
        <f t="shared" si="15"/>
        <v>2118.3000000000002</v>
      </c>
      <c r="N150" s="22">
        <f t="shared" si="15"/>
        <v>2118.3000000000002</v>
      </c>
      <c r="O150" s="1373"/>
      <c r="P150" s="1374"/>
      <c r="Q150" s="1374"/>
      <c r="R150" s="1375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</row>
    <row r="151" spans="1:32" ht="13.5" thickBot="1" x14ac:dyDescent="0.25">
      <c r="A151" s="91" t="s">
        <v>9</v>
      </c>
      <c r="B151" s="9" t="s">
        <v>52</v>
      </c>
      <c r="C151" s="1319" t="s">
        <v>72</v>
      </c>
      <c r="D151" s="1320"/>
      <c r="E151" s="1320"/>
      <c r="F151" s="1320"/>
      <c r="G151" s="1320"/>
      <c r="H151" s="1320"/>
      <c r="I151" s="1320"/>
      <c r="J151" s="1320"/>
      <c r="K151" s="1320"/>
      <c r="L151" s="1320"/>
      <c r="M151" s="1320"/>
      <c r="N151" s="1320"/>
      <c r="O151" s="1320"/>
      <c r="P151" s="1320"/>
      <c r="Q151" s="1320"/>
      <c r="R151" s="1321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1:32" ht="25.5" x14ac:dyDescent="0.2">
      <c r="A152" s="482" t="s">
        <v>9</v>
      </c>
      <c r="B152" s="484" t="s">
        <v>52</v>
      </c>
      <c r="C152" s="496" t="s">
        <v>9</v>
      </c>
      <c r="D152" s="505" t="s">
        <v>164</v>
      </c>
      <c r="E152" s="511"/>
      <c r="F152" s="478"/>
      <c r="G152" s="479"/>
      <c r="H152" s="70"/>
      <c r="I152" s="267"/>
      <c r="J152" s="268"/>
      <c r="K152" s="269"/>
      <c r="L152" s="354"/>
      <c r="M152" s="374"/>
      <c r="N152" s="374"/>
      <c r="O152" s="71"/>
      <c r="P152" s="72"/>
      <c r="Q152" s="72"/>
      <c r="R152" s="488"/>
      <c r="S152" s="69"/>
      <c r="U152" s="11"/>
    </row>
    <row r="153" spans="1:32" ht="12.75" customHeight="1" x14ac:dyDescent="0.2">
      <c r="A153" s="1178"/>
      <c r="B153" s="1298"/>
      <c r="C153" s="1428"/>
      <c r="D153" s="1430" t="s">
        <v>132</v>
      </c>
      <c r="E153" s="1433" t="s">
        <v>90</v>
      </c>
      <c r="F153" s="1436" t="s">
        <v>53</v>
      </c>
      <c r="G153" s="1419" t="s">
        <v>89</v>
      </c>
      <c r="H153" s="517" t="s">
        <v>35</v>
      </c>
      <c r="I153" s="518">
        <v>200</v>
      </c>
      <c r="J153" s="519"/>
      <c r="K153" s="519"/>
      <c r="L153" s="536">
        <v>200</v>
      </c>
      <c r="M153" s="535">
        <v>100</v>
      </c>
      <c r="N153" s="520"/>
      <c r="O153" s="1422" t="s">
        <v>135</v>
      </c>
      <c r="P153" s="521"/>
      <c r="Q153" s="521"/>
      <c r="R153" s="124"/>
      <c r="U153" s="11"/>
    </row>
    <row r="154" spans="1:32" x14ac:dyDescent="0.2">
      <c r="A154" s="1178"/>
      <c r="B154" s="1298"/>
      <c r="C154" s="1428"/>
      <c r="D154" s="1431"/>
      <c r="E154" s="1434"/>
      <c r="F154" s="1437"/>
      <c r="G154" s="1420"/>
      <c r="H154" s="522"/>
      <c r="I154" s="523"/>
      <c r="J154" s="381"/>
      <c r="K154" s="381"/>
      <c r="L154" s="537"/>
      <c r="M154" s="524"/>
      <c r="N154" s="524"/>
      <c r="O154" s="1423"/>
      <c r="P154" s="525"/>
      <c r="Q154" s="526"/>
      <c r="R154" s="143"/>
      <c r="U154" s="11"/>
    </row>
    <row r="155" spans="1:32" ht="15.75" customHeight="1" thickBot="1" x14ac:dyDescent="0.25">
      <c r="A155" s="1256"/>
      <c r="B155" s="1299"/>
      <c r="C155" s="1429"/>
      <c r="D155" s="1432"/>
      <c r="E155" s="1435"/>
      <c r="F155" s="1438"/>
      <c r="G155" s="1421"/>
      <c r="H155" s="527"/>
      <c r="I155" s="528"/>
      <c r="J155" s="529"/>
      <c r="K155" s="529"/>
      <c r="L155" s="538"/>
      <c r="M155" s="530"/>
      <c r="N155" s="530"/>
      <c r="O155" s="1424"/>
      <c r="P155" s="531">
        <v>50</v>
      </c>
      <c r="Q155" s="532">
        <v>50</v>
      </c>
      <c r="R155" s="489"/>
      <c r="U155" s="11"/>
    </row>
    <row r="156" spans="1:32" ht="12.75" customHeight="1" x14ac:dyDescent="0.2">
      <c r="A156" s="1425"/>
      <c r="B156" s="1426"/>
      <c r="C156" s="1427"/>
      <c r="D156" s="1259" t="s">
        <v>82</v>
      </c>
      <c r="E156" s="1397"/>
      <c r="F156" s="1273" t="s">
        <v>53</v>
      </c>
      <c r="G156" s="1417" t="s">
        <v>39</v>
      </c>
      <c r="H156" s="427" t="s">
        <v>35</v>
      </c>
      <c r="I156" s="267">
        <f>J156+L156</f>
        <v>265.7</v>
      </c>
      <c r="J156" s="269">
        <v>265.7</v>
      </c>
      <c r="K156" s="269"/>
      <c r="L156" s="354"/>
      <c r="M156" s="374">
        <v>266</v>
      </c>
      <c r="N156" s="374">
        <v>266</v>
      </c>
      <c r="O156" s="1248" t="s">
        <v>83</v>
      </c>
      <c r="P156" s="405">
        <v>285</v>
      </c>
      <c r="Q156" s="405">
        <v>285</v>
      </c>
      <c r="R156" s="407">
        <v>285</v>
      </c>
      <c r="W156" s="516"/>
    </row>
    <row r="157" spans="1:32" x14ac:dyDescent="0.2">
      <c r="A157" s="1411"/>
      <c r="B157" s="1413"/>
      <c r="C157" s="1428"/>
      <c r="D157" s="1213"/>
      <c r="E157" s="1182"/>
      <c r="F157" s="1170"/>
      <c r="G157" s="1418"/>
      <c r="H157" s="376"/>
      <c r="I157" s="318"/>
      <c r="J157" s="220"/>
      <c r="K157" s="220"/>
      <c r="L157" s="244"/>
      <c r="M157" s="102"/>
      <c r="N157" s="102"/>
      <c r="O157" s="1212"/>
      <c r="P157" s="29"/>
      <c r="Q157" s="29"/>
      <c r="R157" s="143"/>
    </row>
    <row r="158" spans="1:32" ht="27" customHeight="1" thickBot="1" x14ac:dyDescent="0.25">
      <c r="A158" s="394"/>
      <c r="B158" s="400"/>
      <c r="C158" s="402"/>
      <c r="D158" s="403"/>
      <c r="E158" s="392"/>
      <c r="F158" s="388"/>
      <c r="G158" s="389"/>
      <c r="H158" s="285" t="s">
        <v>10</v>
      </c>
      <c r="I158" s="542" t="s">
        <v>206</v>
      </c>
      <c r="J158" s="534">
        <v>265.7</v>
      </c>
      <c r="K158" s="243">
        <f>K153+K156</f>
        <v>0</v>
      </c>
      <c r="L158" s="536">
        <v>200</v>
      </c>
      <c r="M158" s="541" t="s">
        <v>205</v>
      </c>
      <c r="N158" s="243">
        <f>N153+N156</f>
        <v>266</v>
      </c>
      <c r="O158" s="26"/>
      <c r="P158" s="406"/>
      <c r="Q158" s="31"/>
      <c r="R158" s="408"/>
      <c r="U158" s="11"/>
    </row>
    <row r="159" spans="1:32" ht="16.5" customHeight="1" x14ac:dyDescent="0.2">
      <c r="A159" s="1234" t="s">
        <v>9</v>
      </c>
      <c r="B159" s="1297" t="s">
        <v>52</v>
      </c>
      <c r="C159" s="1371" t="s">
        <v>11</v>
      </c>
      <c r="D159" s="1259" t="s">
        <v>124</v>
      </c>
      <c r="E159" s="1271"/>
      <c r="F159" s="1315" t="s">
        <v>40</v>
      </c>
      <c r="G159" s="1233" t="s">
        <v>39</v>
      </c>
      <c r="H159" s="13" t="s">
        <v>35</v>
      </c>
      <c r="I159" s="240">
        <f>J159+L159</f>
        <v>48.6</v>
      </c>
      <c r="J159" s="230">
        <v>48.6</v>
      </c>
      <c r="K159" s="230"/>
      <c r="L159" s="241"/>
      <c r="M159" s="120">
        <v>44.7</v>
      </c>
      <c r="N159" s="44">
        <v>52.9</v>
      </c>
      <c r="O159" s="390" t="s">
        <v>126</v>
      </c>
      <c r="P159" s="405">
        <v>49</v>
      </c>
      <c r="Q159" s="405">
        <v>50</v>
      </c>
      <c r="R159" s="407">
        <v>49</v>
      </c>
      <c r="U159" s="11"/>
    </row>
    <row r="160" spans="1:32" ht="16.5" customHeight="1" x14ac:dyDescent="0.2">
      <c r="A160" s="1178"/>
      <c r="B160" s="1298"/>
      <c r="C160" s="1415"/>
      <c r="D160" s="1213"/>
      <c r="E160" s="1272"/>
      <c r="F160" s="1408"/>
      <c r="G160" s="1171"/>
      <c r="H160" s="144"/>
      <c r="I160" s="232"/>
      <c r="J160" s="225"/>
      <c r="K160" s="225"/>
      <c r="L160" s="245"/>
      <c r="M160" s="80"/>
      <c r="N160" s="21"/>
      <c r="O160" s="25" t="s">
        <v>125</v>
      </c>
      <c r="P160" s="29">
        <v>12</v>
      </c>
      <c r="Q160" s="30">
        <v>10</v>
      </c>
      <c r="R160" s="143">
        <v>13</v>
      </c>
      <c r="U160" s="11"/>
    </row>
    <row r="161" spans="1:23" ht="13.5" customHeight="1" thickBot="1" x14ac:dyDescent="0.25">
      <c r="A161" s="1256"/>
      <c r="B161" s="1299"/>
      <c r="C161" s="1372"/>
      <c r="D161" s="1260"/>
      <c r="E161" s="1314"/>
      <c r="F161" s="1316"/>
      <c r="G161" s="1254"/>
      <c r="H161" s="285" t="s">
        <v>10</v>
      </c>
      <c r="I161" s="237">
        <f t="shared" ref="I161:N161" si="16">I159</f>
        <v>48.6</v>
      </c>
      <c r="J161" s="243">
        <f t="shared" si="16"/>
        <v>48.6</v>
      </c>
      <c r="K161" s="243">
        <f t="shared" si="16"/>
        <v>0</v>
      </c>
      <c r="L161" s="246">
        <f t="shared" si="16"/>
        <v>0</v>
      </c>
      <c r="M161" s="248">
        <f t="shared" si="16"/>
        <v>44.7</v>
      </c>
      <c r="N161" s="280">
        <f t="shared" si="16"/>
        <v>52.9</v>
      </c>
      <c r="O161" s="26"/>
      <c r="P161" s="406"/>
      <c r="Q161" s="31"/>
      <c r="R161" s="408"/>
      <c r="U161" s="11"/>
      <c r="W161" s="533"/>
    </row>
    <row r="162" spans="1:23" ht="27.75" customHeight="1" thickBot="1" x14ac:dyDescent="0.25">
      <c r="A162" s="394" t="s">
        <v>9</v>
      </c>
      <c r="B162" s="400" t="s">
        <v>52</v>
      </c>
      <c r="C162" s="1317" t="s">
        <v>12</v>
      </c>
      <c r="D162" s="1292"/>
      <c r="E162" s="1292"/>
      <c r="F162" s="1292"/>
      <c r="G162" s="1292"/>
      <c r="H162" s="1318"/>
      <c r="I162" s="543" t="s">
        <v>207</v>
      </c>
      <c r="J162" s="22">
        <f>J161+J158</f>
        <v>314.3</v>
      </c>
      <c r="K162" s="22">
        <f>K161+K158</f>
        <v>0</v>
      </c>
      <c r="L162" s="539">
        <v>200</v>
      </c>
      <c r="M162" s="540" t="s">
        <v>204</v>
      </c>
      <c r="N162" s="22">
        <f>N161+N158</f>
        <v>318.89999999999998</v>
      </c>
      <c r="O162" s="136"/>
      <c r="P162" s="137"/>
      <c r="Q162" s="138"/>
      <c r="R162" s="139"/>
    </row>
    <row r="163" spans="1:23" ht="13.5" thickBot="1" x14ac:dyDescent="0.25">
      <c r="A163" s="91" t="s">
        <v>9</v>
      </c>
      <c r="B163" s="9" t="s">
        <v>108</v>
      </c>
      <c r="C163" s="1319" t="s">
        <v>109</v>
      </c>
      <c r="D163" s="1320"/>
      <c r="E163" s="1320"/>
      <c r="F163" s="1320"/>
      <c r="G163" s="1320"/>
      <c r="H163" s="1320"/>
      <c r="I163" s="1320"/>
      <c r="J163" s="1320"/>
      <c r="K163" s="1320"/>
      <c r="L163" s="1320"/>
      <c r="M163" s="1320"/>
      <c r="N163" s="1320"/>
      <c r="O163" s="1320"/>
      <c r="P163" s="1320"/>
      <c r="Q163" s="1320"/>
      <c r="R163" s="1321"/>
    </row>
    <row r="164" spans="1:23" ht="14.25" customHeight="1" x14ac:dyDescent="0.2">
      <c r="A164" s="98" t="s">
        <v>9</v>
      </c>
      <c r="B164" s="87" t="s">
        <v>53</v>
      </c>
      <c r="C164" s="401" t="s">
        <v>9</v>
      </c>
      <c r="D164" s="118" t="s">
        <v>117</v>
      </c>
      <c r="E164" s="1322"/>
      <c r="F164" s="1325" t="s">
        <v>43</v>
      </c>
      <c r="G164" s="1328">
        <v>6</v>
      </c>
      <c r="H164" s="370" t="s">
        <v>35</v>
      </c>
      <c r="I164" s="343">
        <f>J164+L164</f>
        <v>12686.1</v>
      </c>
      <c r="J164" s="269">
        <v>12686.1</v>
      </c>
      <c r="K164" s="269"/>
      <c r="L164" s="354"/>
      <c r="M164" s="375">
        <v>13019</v>
      </c>
      <c r="N164" s="77">
        <v>13019</v>
      </c>
      <c r="O164" s="404" t="s">
        <v>123</v>
      </c>
      <c r="P164" s="123">
        <v>116</v>
      </c>
      <c r="Q164" s="123">
        <v>116</v>
      </c>
      <c r="R164" s="124">
        <v>116</v>
      </c>
    </row>
    <row r="165" spans="1:23" ht="15" customHeight="1" x14ac:dyDescent="0.2">
      <c r="A165" s="395"/>
      <c r="B165" s="396"/>
      <c r="C165" s="397"/>
      <c r="D165" s="119" t="s">
        <v>119</v>
      </c>
      <c r="E165" s="1323"/>
      <c r="F165" s="1326"/>
      <c r="G165" s="1329"/>
      <c r="H165" s="372"/>
      <c r="I165" s="247"/>
      <c r="J165" s="220"/>
      <c r="K165" s="220"/>
      <c r="L165" s="244"/>
      <c r="M165" s="379"/>
      <c r="N165" s="371"/>
      <c r="O165" s="391"/>
      <c r="P165" s="29"/>
      <c r="Q165" s="29"/>
      <c r="R165" s="143"/>
    </row>
    <row r="166" spans="1:23" ht="16.5" customHeight="1" x14ac:dyDescent="0.2">
      <c r="A166" s="395"/>
      <c r="B166" s="396"/>
      <c r="C166" s="397"/>
      <c r="D166" s="398" t="s">
        <v>120</v>
      </c>
      <c r="E166" s="1323"/>
      <c r="F166" s="1326"/>
      <c r="G166" s="1329"/>
      <c r="H166" s="372"/>
      <c r="I166" s="247"/>
      <c r="J166" s="220"/>
      <c r="K166" s="220"/>
      <c r="L166" s="244"/>
      <c r="M166" s="379"/>
      <c r="N166" s="371"/>
      <c r="O166" s="391"/>
      <c r="P166" s="29"/>
      <c r="Q166" s="29"/>
      <c r="R166" s="143"/>
    </row>
    <row r="167" spans="1:23" ht="15.75" customHeight="1" x14ac:dyDescent="0.2">
      <c r="A167" s="395"/>
      <c r="B167" s="396"/>
      <c r="C167" s="397"/>
      <c r="D167" s="119" t="s">
        <v>121</v>
      </c>
      <c r="E167" s="1323"/>
      <c r="F167" s="1326"/>
      <c r="G167" s="1329"/>
      <c r="H167" s="372"/>
      <c r="I167" s="247"/>
      <c r="J167" s="220"/>
      <c r="K167" s="220"/>
      <c r="L167" s="244"/>
      <c r="M167" s="379"/>
      <c r="N167" s="371"/>
      <c r="O167" s="391"/>
      <c r="P167" s="29"/>
      <c r="Q167" s="29"/>
      <c r="R167" s="143"/>
    </row>
    <row r="168" spans="1:23" s="50" customFormat="1" ht="15.75" customHeight="1" x14ac:dyDescent="0.2">
      <c r="A168" s="393"/>
      <c r="B168" s="399"/>
      <c r="C168" s="68"/>
      <c r="D168" s="119" t="s">
        <v>122</v>
      </c>
      <c r="E168" s="1323"/>
      <c r="F168" s="1326"/>
      <c r="G168" s="1329"/>
      <c r="H168" s="14"/>
      <c r="I168" s="380"/>
      <c r="J168" s="381"/>
      <c r="K168" s="382"/>
      <c r="L168" s="383"/>
      <c r="M168" s="379"/>
      <c r="N168" s="371"/>
      <c r="O168" s="391"/>
      <c r="P168" s="127"/>
      <c r="Q168" s="128"/>
      <c r="R168" s="131"/>
    </row>
    <row r="169" spans="1:23" x14ac:dyDescent="0.2">
      <c r="A169" s="1411"/>
      <c r="B169" s="1413"/>
      <c r="C169" s="1415"/>
      <c r="D169" s="1216" t="s">
        <v>118</v>
      </c>
      <c r="E169" s="1323"/>
      <c r="F169" s="1326"/>
      <c r="G169" s="1329"/>
      <c r="H169" s="376"/>
      <c r="I169" s="216"/>
      <c r="J169" s="217"/>
      <c r="K169" s="217"/>
      <c r="L169" s="233"/>
      <c r="M169" s="377"/>
      <c r="N169" s="378"/>
      <c r="O169" s="391"/>
      <c r="P169" s="29"/>
      <c r="Q169" s="29"/>
      <c r="R169" s="143"/>
    </row>
    <row r="170" spans="1:23" ht="13.5" thickBot="1" x14ac:dyDescent="0.25">
      <c r="A170" s="1412"/>
      <c r="B170" s="1414"/>
      <c r="C170" s="1372"/>
      <c r="D170" s="1416"/>
      <c r="E170" s="1324"/>
      <c r="F170" s="1327"/>
      <c r="G170" s="1330"/>
      <c r="H170" s="285" t="s">
        <v>10</v>
      </c>
      <c r="I170" s="271">
        <f t="shared" ref="I170:N170" si="17">SUM(I164:I169)</f>
        <v>12686.1</v>
      </c>
      <c r="J170" s="271">
        <f>SUM(J164:J169)</f>
        <v>12686.1</v>
      </c>
      <c r="K170" s="271">
        <f t="shared" si="17"/>
        <v>0</v>
      </c>
      <c r="L170" s="272">
        <f t="shared" si="17"/>
        <v>0</v>
      </c>
      <c r="M170" s="286">
        <f>SUM(M164:M169)</f>
        <v>13019</v>
      </c>
      <c r="N170" s="288">
        <f t="shared" si="17"/>
        <v>13019</v>
      </c>
      <c r="O170" s="26"/>
      <c r="P170" s="406"/>
      <c r="Q170" s="31"/>
      <c r="R170" s="408"/>
      <c r="U170" s="11"/>
    </row>
    <row r="171" spans="1:23" ht="12.75" customHeight="1" x14ac:dyDescent="0.2">
      <c r="A171" s="1234" t="s">
        <v>9</v>
      </c>
      <c r="B171" s="1297" t="s">
        <v>53</v>
      </c>
      <c r="C171" s="1371" t="s">
        <v>11</v>
      </c>
      <c r="D171" s="1259" t="s">
        <v>155</v>
      </c>
      <c r="E171" s="1271"/>
      <c r="F171" s="1315" t="s">
        <v>53</v>
      </c>
      <c r="G171" s="1233" t="s">
        <v>89</v>
      </c>
      <c r="H171" s="23" t="s">
        <v>35</v>
      </c>
      <c r="I171" s="234">
        <f>J171+L171</f>
        <v>39.299999999999997</v>
      </c>
      <c r="J171" s="223">
        <v>39.299999999999997</v>
      </c>
      <c r="K171" s="223"/>
      <c r="L171" s="235"/>
      <c r="M171" s="121">
        <v>56.9</v>
      </c>
      <c r="N171" s="49">
        <v>0</v>
      </c>
      <c r="O171" s="1280" t="s">
        <v>156</v>
      </c>
      <c r="P171" s="405">
        <v>1</v>
      </c>
      <c r="Q171" s="405"/>
      <c r="R171" s="407"/>
      <c r="U171" s="11"/>
    </row>
    <row r="172" spans="1:23" x14ac:dyDescent="0.2">
      <c r="A172" s="1178"/>
      <c r="B172" s="1298"/>
      <c r="C172" s="1415"/>
      <c r="D172" s="1213"/>
      <c r="E172" s="1272"/>
      <c r="F172" s="1408"/>
      <c r="G172" s="1171"/>
      <c r="H172" s="144"/>
      <c r="I172" s="232"/>
      <c r="J172" s="225"/>
      <c r="K172" s="225"/>
      <c r="L172" s="245"/>
      <c r="M172" s="80"/>
      <c r="N172" s="21"/>
      <c r="O172" s="1409"/>
      <c r="P172" s="29"/>
      <c r="Q172" s="30"/>
      <c r="R172" s="143"/>
      <c r="U172" s="11"/>
    </row>
    <row r="173" spans="1:23" ht="13.5" thickBot="1" x14ac:dyDescent="0.25">
      <c r="A173" s="1256"/>
      <c r="B173" s="1299"/>
      <c r="C173" s="1372"/>
      <c r="D173" s="1260"/>
      <c r="E173" s="1314"/>
      <c r="F173" s="1316"/>
      <c r="G173" s="1254"/>
      <c r="H173" s="285" t="s">
        <v>10</v>
      </c>
      <c r="I173" s="237">
        <f t="shared" ref="I173:N173" si="18">I171</f>
        <v>39.299999999999997</v>
      </c>
      <c r="J173" s="243">
        <f t="shared" si="18"/>
        <v>39.299999999999997</v>
      </c>
      <c r="K173" s="243">
        <f t="shared" si="18"/>
        <v>0</v>
      </c>
      <c r="L173" s="246">
        <f t="shared" si="18"/>
        <v>0</v>
      </c>
      <c r="M173" s="248">
        <f t="shared" si="18"/>
        <v>56.9</v>
      </c>
      <c r="N173" s="280">
        <f t="shared" si="18"/>
        <v>0</v>
      </c>
      <c r="O173" s="26"/>
      <c r="P173" s="406"/>
      <c r="Q173" s="31"/>
      <c r="R173" s="408"/>
      <c r="U173" s="11"/>
    </row>
    <row r="174" spans="1:23" s="50" customFormat="1" ht="12.75" customHeight="1" x14ac:dyDescent="0.2">
      <c r="A174" s="1234" t="s">
        <v>9</v>
      </c>
      <c r="B174" s="162" t="s">
        <v>53</v>
      </c>
      <c r="C174" s="163" t="s">
        <v>37</v>
      </c>
      <c r="D174" s="1259" t="s">
        <v>166</v>
      </c>
      <c r="E174" s="164"/>
      <c r="F174" s="165" t="s">
        <v>40</v>
      </c>
      <c r="G174" s="166">
        <v>6</v>
      </c>
      <c r="H174" s="150" t="s">
        <v>35</v>
      </c>
      <c r="I174" s="453">
        <f>J174</f>
        <v>3.5</v>
      </c>
      <c r="J174" s="454">
        <v>3.5</v>
      </c>
      <c r="K174" s="454"/>
      <c r="L174" s="455"/>
      <c r="M174" s="151"/>
      <c r="N174" s="152"/>
      <c r="O174" s="1369" t="s">
        <v>183</v>
      </c>
      <c r="P174" s="205">
        <v>100</v>
      </c>
      <c r="Q174" s="153"/>
      <c r="R174" s="154"/>
    </row>
    <row r="175" spans="1:23" s="50" customFormat="1" x14ac:dyDescent="0.2">
      <c r="A175" s="1178"/>
      <c r="B175" s="148"/>
      <c r="C175" s="149"/>
      <c r="D175" s="1213"/>
      <c r="E175" s="155"/>
      <c r="G175" s="156"/>
      <c r="H175" s="157"/>
      <c r="I175" s="456"/>
      <c r="J175" s="457"/>
      <c r="K175" s="457"/>
      <c r="L175" s="458"/>
      <c r="M175" s="151"/>
      <c r="N175" s="152"/>
      <c r="O175" s="1410"/>
      <c r="P175" s="158"/>
      <c r="Q175" s="158"/>
      <c r="R175" s="159"/>
    </row>
    <row r="176" spans="1:23" s="50" customFormat="1" ht="13.5" thickBot="1" x14ac:dyDescent="0.25">
      <c r="A176" s="1256"/>
      <c r="B176" s="167"/>
      <c r="C176" s="168"/>
      <c r="D176" s="1260"/>
      <c r="E176" s="169"/>
      <c r="F176" s="170"/>
      <c r="G176" s="171"/>
      <c r="H176" s="290" t="s">
        <v>10</v>
      </c>
      <c r="I176" s="459">
        <f>I174</f>
        <v>3.5</v>
      </c>
      <c r="J176" s="459">
        <f>J174</f>
        <v>3.5</v>
      </c>
      <c r="K176" s="460"/>
      <c r="L176" s="461">
        <f>SUM(L174:L175)</f>
        <v>0</v>
      </c>
      <c r="M176" s="291">
        <f>SUM(M174:M175)</f>
        <v>0</v>
      </c>
      <c r="N176" s="292">
        <f>SUM(N174:N175)</f>
        <v>0</v>
      </c>
      <c r="O176" s="1410"/>
      <c r="P176" s="206"/>
      <c r="Q176" s="160"/>
      <c r="R176" s="161"/>
    </row>
    <row r="177" spans="1:40" ht="13.5" thickBot="1" x14ac:dyDescent="0.25">
      <c r="A177" s="394" t="s">
        <v>9</v>
      </c>
      <c r="B177" s="400" t="s">
        <v>53</v>
      </c>
      <c r="C177" s="1382" t="s">
        <v>12</v>
      </c>
      <c r="D177" s="1383"/>
      <c r="E177" s="1383"/>
      <c r="F177" s="1383"/>
      <c r="G177" s="1383"/>
      <c r="H177" s="1318"/>
      <c r="I177" s="175">
        <f t="shared" ref="I177:N177" si="19">I173+I170+I176</f>
        <v>12728.9</v>
      </c>
      <c r="J177" s="22">
        <f t="shared" si="19"/>
        <v>12728.9</v>
      </c>
      <c r="K177" s="22">
        <f t="shared" si="19"/>
        <v>0</v>
      </c>
      <c r="L177" s="176">
        <f t="shared" si="19"/>
        <v>0</v>
      </c>
      <c r="M177" s="448">
        <f>M173+M170+M176</f>
        <v>13075.9</v>
      </c>
      <c r="N177" s="448">
        <f t="shared" si="19"/>
        <v>13019</v>
      </c>
      <c r="O177" s="1373"/>
      <c r="P177" s="1374"/>
      <c r="Q177" s="1374"/>
      <c r="R177" s="1375"/>
    </row>
    <row r="178" spans="1:40" ht="27.75" customHeight="1" thickBot="1" x14ac:dyDescent="0.25">
      <c r="A178" s="97" t="s">
        <v>9</v>
      </c>
      <c r="B178" s="1387" t="s">
        <v>13</v>
      </c>
      <c r="C178" s="1388"/>
      <c r="D178" s="1388"/>
      <c r="E178" s="1388"/>
      <c r="F178" s="1388"/>
      <c r="G178" s="1388"/>
      <c r="H178" s="1389"/>
      <c r="I178" s="450">
        <v>34965.800000000003</v>
      </c>
      <c r="J178" s="561" t="s">
        <v>215</v>
      </c>
      <c r="K178" s="449">
        <f>SUM(K110,K136,K150,K162,K177)</f>
        <v>742.7</v>
      </c>
      <c r="L178" s="562" t="s">
        <v>216</v>
      </c>
      <c r="M178" s="563" t="s">
        <v>217</v>
      </c>
      <c r="N178" s="99">
        <f>SUM(N110,N136,N150,N162,N177)</f>
        <v>37729.699999999997</v>
      </c>
      <c r="O178" s="1376"/>
      <c r="P178" s="1377"/>
      <c r="Q178" s="1377"/>
      <c r="R178" s="1378"/>
    </row>
    <row r="179" spans="1:40" ht="32.25" customHeight="1" thickBot="1" x14ac:dyDescent="0.25">
      <c r="A179" s="100" t="s">
        <v>54</v>
      </c>
      <c r="B179" s="1403" t="s">
        <v>127</v>
      </c>
      <c r="C179" s="1404"/>
      <c r="D179" s="1404"/>
      <c r="E179" s="1404"/>
      <c r="F179" s="1404"/>
      <c r="G179" s="1404"/>
      <c r="H179" s="1404"/>
      <c r="I179" s="289">
        <f>SUM(I178)</f>
        <v>34965.800000000003</v>
      </c>
      <c r="J179" s="567" t="s">
        <v>215</v>
      </c>
      <c r="K179" s="564">
        <f>SUM(K178)</f>
        <v>742.7</v>
      </c>
      <c r="L179" s="568" t="s">
        <v>216</v>
      </c>
      <c r="M179" s="565" t="s">
        <v>217</v>
      </c>
      <c r="N179" s="566">
        <f>SUM(N178)</f>
        <v>37729.699999999997</v>
      </c>
      <c r="O179" s="1405"/>
      <c r="P179" s="1406"/>
      <c r="Q179" s="1406"/>
      <c r="R179" s="1407"/>
    </row>
    <row r="180" spans="1:40" s="20" customFormat="1" ht="19.5" customHeight="1" x14ac:dyDescent="0.2">
      <c r="A180" s="1358"/>
      <c r="B180" s="1358"/>
      <c r="C180" s="1358"/>
      <c r="D180" s="1358"/>
      <c r="E180" s="1358"/>
      <c r="F180" s="1358"/>
      <c r="G180" s="1358"/>
      <c r="H180" s="1358"/>
      <c r="I180" s="1358"/>
      <c r="J180" s="1358"/>
      <c r="K180" s="1358"/>
      <c r="L180" s="1358"/>
      <c r="M180" s="1358"/>
      <c r="N180" s="1358"/>
      <c r="O180" s="1358"/>
      <c r="P180" s="1358"/>
      <c r="Q180" s="1358"/>
      <c r="R180" s="1358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 s="20" customFormat="1" ht="14.25" customHeight="1" x14ac:dyDescent="0.2">
      <c r="A181" s="1358"/>
      <c r="B181" s="1358"/>
      <c r="C181" s="1358"/>
      <c r="D181" s="1358"/>
      <c r="E181" s="1358"/>
      <c r="F181" s="1358"/>
      <c r="G181" s="1358"/>
      <c r="H181" s="1358"/>
      <c r="I181" s="1358"/>
      <c r="J181" s="1358"/>
      <c r="K181" s="1358"/>
      <c r="L181" s="1358"/>
      <c r="M181" s="60"/>
      <c r="N181" s="60"/>
      <c r="O181" s="60"/>
      <c r="P181" s="60"/>
      <c r="Q181" s="60"/>
      <c r="R181" s="60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 x14ac:dyDescent="0.2">
      <c r="I182" s="55"/>
      <c r="J182" s="293"/>
      <c r="K182" s="293"/>
      <c r="L182" s="293"/>
      <c r="M182" s="293"/>
      <c r="N182" s="55"/>
      <c r="O182" s="78"/>
      <c r="P182" s="3"/>
      <c r="Q182" s="3"/>
      <c r="R182" s="3"/>
    </row>
    <row r="183" spans="1:40" x14ac:dyDescent="0.2">
      <c r="I183" s="451"/>
      <c r="J183" s="452"/>
      <c r="K183" s="78"/>
      <c r="P183" s="3"/>
      <c r="Q183" s="3"/>
      <c r="R183" s="3"/>
    </row>
    <row r="184" spans="1:40" x14ac:dyDescent="0.2">
      <c r="J184" s="293"/>
      <c r="M184" s="384"/>
      <c r="P184" s="3"/>
      <c r="Q184" s="3"/>
      <c r="R184" s="3"/>
    </row>
  </sheetData>
  <mergeCells count="396">
    <mergeCell ref="D30:D31"/>
    <mergeCell ref="O30:O31"/>
    <mergeCell ref="E30:E31"/>
    <mergeCell ref="P13:P14"/>
    <mergeCell ref="Q13:Q14"/>
    <mergeCell ref="R13:R14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I7:I8"/>
    <mergeCell ref="J7:K7"/>
    <mergeCell ref="L7:L8"/>
    <mergeCell ref="O7:O8"/>
    <mergeCell ref="P7:R7"/>
    <mergeCell ref="E19:E25"/>
    <mergeCell ref="E15:E16"/>
    <mergeCell ref="E17:E18"/>
    <mergeCell ref="F17:F18"/>
    <mergeCell ref="G17:G18"/>
    <mergeCell ref="A9:R9"/>
    <mergeCell ref="I6:L6"/>
    <mergeCell ref="M6:M8"/>
    <mergeCell ref="N6:N8"/>
    <mergeCell ref="O6:R6"/>
    <mergeCell ref="F6:F8"/>
    <mergeCell ref="G6:G8"/>
    <mergeCell ref="H6:H8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F33:F34"/>
    <mergeCell ref="D26:D27"/>
    <mergeCell ref="E26:E27"/>
    <mergeCell ref="D28:D29"/>
    <mergeCell ref="E28:E29"/>
    <mergeCell ref="F15:F16"/>
    <mergeCell ref="G15:G16"/>
    <mergeCell ref="O15:O16"/>
    <mergeCell ref="A17:A18"/>
    <mergeCell ref="B17:B18"/>
    <mergeCell ref="C17:C18"/>
    <mergeCell ref="D17:D18"/>
    <mergeCell ref="O17:O18"/>
    <mergeCell ref="F19:F25"/>
    <mergeCell ref="G19:G25"/>
    <mergeCell ref="O19:O20"/>
    <mergeCell ref="A15:A16"/>
    <mergeCell ref="B15:B16"/>
    <mergeCell ref="C15:C16"/>
    <mergeCell ref="D15:D16"/>
    <mergeCell ref="A19:A25"/>
    <mergeCell ref="B19:B25"/>
    <mergeCell ref="C19:C25"/>
    <mergeCell ref="D19:D25"/>
    <mergeCell ref="O37:O38"/>
    <mergeCell ref="P37:P38"/>
    <mergeCell ref="Q37:Q38"/>
    <mergeCell ref="R37:R38"/>
    <mergeCell ref="A39:A41"/>
    <mergeCell ref="B39:B41"/>
    <mergeCell ref="C39:C41"/>
    <mergeCell ref="D39:D41"/>
    <mergeCell ref="G33:G34"/>
    <mergeCell ref="A35:A38"/>
    <mergeCell ref="B35:B38"/>
    <mergeCell ref="C35:C38"/>
    <mergeCell ref="D35:D38"/>
    <mergeCell ref="E35:E38"/>
    <mergeCell ref="F35:F38"/>
    <mergeCell ref="G35:G38"/>
    <mergeCell ref="P40:P41"/>
    <mergeCell ref="Q40:Q41"/>
    <mergeCell ref="R40:R41"/>
    <mergeCell ref="A33:A34"/>
    <mergeCell ref="B33:B34"/>
    <mergeCell ref="C33:C34"/>
    <mergeCell ref="D33:D34"/>
    <mergeCell ref="E33:E34"/>
    <mergeCell ref="D42:D44"/>
    <mergeCell ref="E42:E44"/>
    <mergeCell ref="F42:F44"/>
    <mergeCell ref="G42:G44"/>
    <mergeCell ref="O43:O44"/>
    <mergeCell ref="E39:E41"/>
    <mergeCell ref="F39:F41"/>
    <mergeCell ref="G39:G41"/>
    <mergeCell ref="O40:O41"/>
    <mergeCell ref="F45:F46"/>
    <mergeCell ref="G45:G46"/>
    <mergeCell ref="A47:A49"/>
    <mergeCell ref="B47:B49"/>
    <mergeCell ref="C47:C49"/>
    <mergeCell ref="D47:D49"/>
    <mergeCell ref="F47:F49"/>
    <mergeCell ref="A45:A46"/>
    <mergeCell ref="B45:B46"/>
    <mergeCell ref="C45:C46"/>
    <mergeCell ref="D45:D46"/>
    <mergeCell ref="E45:E49"/>
    <mergeCell ref="G47:G49"/>
    <mergeCell ref="O48:O49"/>
    <mergeCell ref="A50:A51"/>
    <mergeCell ref="B50:B51"/>
    <mergeCell ref="C50:C51"/>
    <mergeCell ref="D50:D51"/>
    <mergeCell ref="E50:E51"/>
    <mergeCell ref="F50:F51"/>
    <mergeCell ref="G50:G51"/>
    <mergeCell ref="O52:O53"/>
    <mergeCell ref="D54:D56"/>
    <mergeCell ref="O54:O55"/>
    <mergeCell ref="O59:O60"/>
    <mergeCell ref="D60:D61"/>
    <mergeCell ref="O50:O51"/>
    <mergeCell ref="A52:A53"/>
    <mergeCell ref="B52:B53"/>
    <mergeCell ref="C52:C53"/>
    <mergeCell ref="D52:D53"/>
    <mergeCell ref="E52:E53"/>
    <mergeCell ref="F52:F53"/>
    <mergeCell ref="G52:G53"/>
    <mergeCell ref="F62:F63"/>
    <mergeCell ref="G62:G63"/>
    <mergeCell ref="O62:O63"/>
    <mergeCell ref="P62:P63"/>
    <mergeCell ref="Q62:Q63"/>
    <mergeCell ref="R62:R63"/>
    <mergeCell ref="A62:A63"/>
    <mergeCell ref="B62:B63"/>
    <mergeCell ref="C62:C63"/>
    <mergeCell ref="D62:D63"/>
    <mergeCell ref="E62:E63"/>
    <mergeCell ref="R64:R65"/>
    <mergeCell ref="A67:A70"/>
    <mergeCell ref="B67:B70"/>
    <mergeCell ref="C67:C70"/>
    <mergeCell ref="D67:D70"/>
    <mergeCell ref="E67:E70"/>
    <mergeCell ref="F67:F70"/>
    <mergeCell ref="G67:G70"/>
    <mergeCell ref="F64:F66"/>
    <mergeCell ref="G64:G66"/>
    <mergeCell ref="O64:O65"/>
    <mergeCell ref="P64:P65"/>
    <mergeCell ref="Q64:Q65"/>
    <mergeCell ref="A64:A66"/>
    <mergeCell ref="B64:B66"/>
    <mergeCell ref="C64:C66"/>
    <mergeCell ref="D64:D66"/>
    <mergeCell ref="E64:E66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76:A77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A78:A81"/>
    <mergeCell ref="B78:B81"/>
    <mergeCell ref="C78:C81"/>
    <mergeCell ref="D78:D81"/>
    <mergeCell ref="E78:E81"/>
    <mergeCell ref="B76:B77"/>
    <mergeCell ref="C76:C77"/>
    <mergeCell ref="D76:D77"/>
    <mergeCell ref="E76:E77"/>
    <mergeCell ref="F76:F77"/>
    <mergeCell ref="P82:P83"/>
    <mergeCell ref="Q82:Q83"/>
    <mergeCell ref="R82:R83"/>
    <mergeCell ref="O84:O85"/>
    <mergeCell ref="F78:F81"/>
    <mergeCell ref="G78:G81"/>
    <mergeCell ref="O78:O79"/>
    <mergeCell ref="A82:A87"/>
    <mergeCell ref="B82:B87"/>
    <mergeCell ref="C82:C87"/>
    <mergeCell ref="D82:D87"/>
    <mergeCell ref="E82:E83"/>
    <mergeCell ref="O86:O87"/>
    <mergeCell ref="A88:A90"/>
    <mergeCell ref="B88:B90"/>
    <mergeCell ref="C88:C90"/>
    <mergeCell ref="D88:D90"/>
    <mergeCell ref="E88:E90"/>
    <mergeCell ref="F88:F90"/>
    <mergeCell ref="G88:G89"/>
    <mergeCell ref="F82:F87"/>
    <mergeCell ref="O82:O83"/>
    <mergeCell ref="O91:O93"/>
    <mergeCell ref="D95:D96"/>
    <mergeCell ref="O95:O96"/>
    <mergeCell ref="A91:A94"/>
    <mergeCell ref="B91:B94"/>
    <mergeCell ref="C91:C94"/>
    <mergeCell ref="D91:D94"/>
    <mergeCell ref="E91:E94"/>
    <mergeCell ref="F91:F94"/>
    <mergeCell ref="G91:G94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A102:A105"/>
    <mergeCell ref="B102:B105"/>
    <mergeCell ref="C102:C105"/>
    <mergeCell ref="D102:D105"/>
    <mergeCell ref="E102:E105"/>
    <mergeCell ref="C110:H110"/>
    <mergeCell ref="C111:R111"/>
    <mergeCell ref="A112:A115"/>
    <mergeCell ref="B112:B115"/>
    <mergeCell ref="C112:C115"/>
    <mergeCell ref="D112:D115"/>
    <mergeCell ref="E112:E115"/>
    <mergeCell ref="E106:E109"/>
    <mergeCell ref="F106:F109"/>
    <mergeCell ref="G106:G109"/>
    <mergeCell ref="O106:O107"/>
    <mergeCell ref="O108:O109"/>
    <mergeCell ref="F116:F118"/>
    <mergeCell ref="G116:G118"/>
    <mergeCell ref="O116:O118"/>
    <mergeCell ref="A119:A123"/>
    <mergeCell ref="B119:B123"/>
    <mergeCell ref="C119:C123"/>
    <mergeCell ref="D119:D123"/>
    <mergeCell ref="E119:E123"/>
    <mergeCell ref="F112:F115"/>
    <mergeCell ref="G112:G115"/>
    <mergeCell ref="O112:O114"/>
    <mergeCell ref="A116:A118"/>
    <mergeCell ref="B116:B118"/>
    <mergeCell ref="C116:C118"/>
    <mergeCell ref="D116:D118"/>
    <mergeCell ref="E116:E118"/>
    <mergeCell ref="F119:F123"/>
    <mergeCell ref="G119:G123"/>
    <mergeCell ref="O119:O120"/>
    <mergeCell ref="O121:O122"/>
    <mergeCell ref="A124:A126"/>
    <mergeCell ref="B124:B126"/>
    <mergeCell ref="C124:C126"/>
    <mergeCell ref="D124:D126"/>
    <mergeCell ref="E127:E129"/>
    <mergeCell ref="F127:F129"/>
    <mergeCell ref="G127:G129"/>
    <mergeCell ref="O127:O129"/>
    <mergeCell ref="P127:P128"/>
    <mergeCell ref="E124:E126"/>
    <mergeCell ref="F124:F126"/>
    <mergeCell ref="G124:G126"/>
    <mergeCell ref="O124:O125"/>
    <mergeCell ref="A127:A129"/>
    <mergeCell ref="B127:B129"/>
    <mergeCell ref="C127:C129"/>
    <mergeCell ref="D127:D129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0:A132"/>
    <mergeCell ref="B130:B132"/>
    <mergeCell ref="C130:C132"/>
    <mergeCell ref="D130:D132"/>
    <mergeCell ref="E130:E132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G142:G144"/>
    <mergeCell ref="O142:O143"/>
    <mergeCell ref="A145:A147"/>
    <mergeCell ref="B145:B147"/>
    <mergeCell ref="C145:C147"/>
    <mergeCell ref="D145:D147"/>
    <mergeCell ref="E145:E147"/>
    <mergeCell ref="F145:F147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G148:G149"/>
    <mergeCell ref="O148:O149"/>
    <mergeCell ref="P148:P149"/>
    <mergeCell ref="Q148:Q149"/>
    <mergeCell ref="R148:R149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C150:H150"/>
    <mergeCell ref="O150:R150"/>
    <mergeCell ref="C151:R151"/>
    <mergeCell ref="A153:A155"/>
    <mergeCell ref="B153:B155"/>
    <mergeCell ref="C153:C155"/>
    <mergeCell ref="D153:D155"/>
    <mergeCell ref="E153:E155"/>
    <mergeCell ref="F153:F155"/>
    <mergeCell ref="G159:G161"/>
    <mergeCell ref="C162:H162"/>
    <mergeCell ref="C163:R163"/>
    <mergeCell ref="G156:G157"/>
    <mergeCell ref="O156:O157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B171:B173"/>
    <mergeCell ref="C171:C173"/>
    <mergeCell ref="D171:D173"/>
    <mergeCell ref="A159:A161"/>
    <mergeCell ref="B159:B161"/>
    <mergeCell ref="C159:C161"/>
    <mergeCell ref="D159:D161"/>
    <mergeCell ref="E159:E161"/>
    <mergeCell ref="F159:F161"/>
    <mergeCell ref="A180:R180"/>
    <mergeCell ref="A181:L181"/>
    <mergeCell ref="O1:R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E164:E170"/>
    <mergeCell ref="F164:F170"/>
    <mergeCell ref="G164:G170"/>
    <mergeCell ref="A174:A176"/>
    <mergeCell ref="D174:D176"/>
    <mergeCell ref="O174:O176"/>
    <mergeCell ref="A169:A170"/>
    <mergeCell ref="B169:B170"/>
    <mergeCell ref="C169:C170"/>
    <mergeCell ref="D169:D170"/>
    <mergeCell ref="A171:A1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7" man="1"/>
    <brk id="49" max="17" man="1"/>
    <brk id="110" max="17" man="1"/>
    <brk id="129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0"/>
  <sheetViews>
    <sheetView view="pageBreakPreview" zoomScaleNormal="100" zoomScaleSheetLayoutView="100" workbookViewId="0">
      <selection activeCell="D95" sqref="D95"/>
    </sheetView>
  </sheetViews>
  <sheetFormatPr defaultRowHeight="12.75" x14ac:dyDescent="0.2"/>
  <cols>
    <col min="1" max="3" width="2.7109375" style="8" customWidth="1"/>
    <col min="4" max="4" width="37.42578125" style="8" customWidth="1"/>
    <col min="5" max="5" width="2.7109375" style="45" customWidth="1"/>
    <col min="6" max="6" width="2.7109375" style="8" customWidth="1"/>
    <col min="7" max="7" width="2.7109375" style="62" customWidth="1"/>
    <col min="8" max="8" width="7" style="88" customWidth="1"/>
    <col min="9" max="9" width="8.5703125" style="88" customWidth="1"/>
    <col min="10" max="10" width="7.42578125" style="88" customWidth="1"/>
    <col min="11" max="11" width="6.140625" style="88" customWidth="1"/>
    <col min="12" max="12" width="6.7109375" style="88" customWidth="1"/>
    <col min="13" max="13" width="8.5703125" style="88" customWidth="1"/>
    <col min="14" max="14" width="7.42578125" style="88" customWidth="1"/>
    <col min="15" max="15" width="6.140625" style="88" customWidth="1"/>
    <col min="16" max="16" width="6.7109375" style="88" customWidth="1"/>
    <col min="17" max="18" width="7.42578125" style="88" customWidth="1"/>
    <col min="19" max="19" width="6.140625" style="88" customWidth="1"/>
    <col min="20" max="20" width="6.28515625" style="88" customWidth="1"/>
    <col min="21" max="16384" width="9.140625" style="3"/>
  </cols>
  <sheetData>
    <row r="1" spans="1:21" ht="15" customHeight="1" x14ac:dyDescent="0.2">
      <c r="Q1" s="1550" t="s">
        <v>218</v>
      </c>
      <c r="R1" s="1550"/>
      <c r="S1" s="1550"/>
      <c r="T1" s="1550"/>
    </row>
    <row r="2" spans="1:21" ht="15.75" customHeight="1" x14ac:dyDescent="0.2">
      <c r="A2" s="1183" t="s">
        <v>200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  <c r="O2" s="1183"/>
      <c r="P2" s="1183"/>
      <c r="Q2" s="1183"/>
      <c r="R2" s="1183"/>
      <c r="S2" s="1183"/>
      <c r="T2" s="1183"/>
    </row>
    <row r="3" spans="1:21" ht="15.75" customHeight="1" x14ac:dyDescent="0.2">
      <c r="A3" s="1184" t="s">
        <v>36</v>
      </c>
      <c r="B3" s="1184"/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4"/>
      <c r="P3" s="1184"/>
      <c r="Q3" s="1184"/>
      <c r="R3" s="1184"/>
      <c r="S3" s="1184"/>
      <c r="T3" s="1184"/>
    </row>
    <row r="4" spans="1:21" ht="15.75" x14ac:dyDescent="0.2">
      <c r="A4" s="1185" t="s">
        <v>23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  <c r="Q4" s="1185"/>
      <c r="R4" s="1185"/>
      <c r="S4" s="1185"/>
      <c r="T4" s="1185"/>
      <c r="U4" s="1"/>
    </row>
    <row r="5" spans="1:21" ht="13.5" customHeight="1" thickBot="1" x14ac:dyDescent="0.25"/>
    <row r="6" spans="1:21" ht="34.5" customHeight="1" x14ac:dyDescent="0.2">
      <c r="A6" s="1187" t="s">
        <v>24</v>
      </c>
      <c r="B6" s="1190" t="s">
        <v>1</v>
      </c>
      <c r="C6" s="1190" t="s">
        <v>2</v>
      </c>
      <c r="D6" s="1554" t="s">
        <v>16</v>
      </c>
      <c r="E6" s="1187" t="s">
        <v>3</v>
      </c>
      <c r="F6" s="1199" t="s">
        <v>187</v>
      </c>
      <c r="G6" s="1551" t="s">
        <v>4</v>
      </c>
      <c r="H6" s="1155" t="s">
        <v>5</v>
      </c>
      <c r="I6" s="1158" t="s">
        <v>139</v>
      </c>
      <c r="J6" s="1159"/>
      <c r="K6" s="1159"/>
      <c r="L6" s="1160"/>
      <c r="M6" s="1158" t="s">
        <v>230</v>
      </c>
      <c r="N6" s="1159"/>
      <c r="O6" s="1159"/>
      <c r="P6" s="1160"/>
      <c r="Q6" s="1158" t="s">
        <v>224</v>
      </c>
      <c r="R6" s="1159"/>
      <c r="S6" s="1159"/>
      <c r="T6" s="1160"/>
    </row>
    <row r="7" spans="1:21" ht="26.25" customHeight="1" x14ac:dyDescent="0.2">
      <c r="A7" s="1188"/>
      <c r="B7" s="1191"/>
      <c r="C7" s="1191"/>
      <c r="D7" s="1555"/>
      <c r="E7" s="1188"/>
      <c r="F7" s="1200"/>
      <c r="G7" s="1552"/>
      <c r="H7" s="1156"/>
      <c r="I7" s="1208" t="s">
        <v>6</v>
      </c>
      <c r="J7" s="1202" t="s">
        <v>7</v>
      </c>
      <c r="K7" s="1209"/>
      <c r="L7" s="1166" t="s">
        <v>22</v>
      </c>
      <c r="M7" s="1208" t="s">
        <v>6</v>
      </c>
      <c r="N7" s="1202" t="s">
        <v>7</v>
      </c>
      <c r="O7" s="1209"/>
      <c r="P7" s="1543" t="s">
        <v>22</v>
      </c>
      <c r="Q7" s="1208" t="s">
        <v>6</v>
      </c>
      <c r="R7" s="1202" t="s">
        <v>7</v>
      </c>
      <c r="S7" s="1209"/>
      <c r="T7" s="1543" t="s">
        <v>22</v>
      </c>
    </row>
    <row r="8" spans="1:21" ht="96" customHeight="1" thickBot="1" x14ac:dyDescent="0.25">
      <c r="A8" s="1189"/>
      <c r="B8" s="1192"/>
      <c r="C8" s="1192"/>
      <c r="D8" s="1556"/>
      <c r="E8" s="1189"/>
      <c r="F8" s="1201"/>
      <c r="G8" s="1553"/>
      <c r="H8" s="1157"/>
      <c r="I8" s="1189"/>
      <c r="J8" s="5" t="s">
        <v>6</v>
      </c>
      <c r="K8" s="4" t="s">
        <v>17</v>
      </c>
      <c r="L8" s="1167"/>
      <c r="M8" s="1189"/>
      <c r="N8" s="5" t="s">
        <v>6</v>
      </c>
      <c r="O8" s="4" t="s">
        <v>17</v>
      </c>
      <c r="P8" s="1544"/>
      <c r="Q8" s="1189"/>
      <c r="R8" s="5" t="s">
        <v>6</v>
      </c>
      <c r="S8" s="4" t="s">
        <v>17</v>
      </c>
      <c r="T8" s="1544"/>
    </row>
    <row r="9" spans="1:21" s="28" customFormat="1" ht="12.75" customHeight="1" x14ac:dyDescent="0.2">
      <c r="A9" s="1140" t="s">
        <v>133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1"/>
      <c r="S9" s="1141"/>
      <c r="T9" s="1142"/>
    </row>
    <row r="10" spans="1:21" s="28" customFormat="1" ht="12.75" customHeight="1" x14ac:dyDescent="0.2">
      <c r="A10" s="1143" t="s">
        <v>84</v>
      </c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4"/>
      <c r="S10" s="1144"/>
      <c r="T10" s="1145"/>
    </row>
    <row r="11" spans="1:21" ht="14.25" customHeight="1" x14ac:dyDescent="0.2">
      <c r="A11" s="95" t="s">
        <v>9</v>
      </c>
      <c r="B11" s="1146" t="s">
        <v>134</v>
      </c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8"/>
    </row>
    <row r="12" spans="1:21" ht="15.75" customHeight="1" thickBot="1" x14ac:dyDescent="0.25">
      <c r="A12" s="1108" t="s">
        <v>9</v>
      </c>
      <c r="B12" s="1109" t="s">
        <v>9</v>
      </c>
      <c r="C12" s="1547" t="s">
        <v>69</v>
      </c>
      <c r="D12" s="1548"/>
      <c r="E12" s="1548"/>
      <c r="F12" s="1548"/>
      <c r="G12" s="1548"/>
      <c r="H12" s="1548"/>
      <c r="I12" s="1548"/>
      <c r="J12" s="1548"/>
      <c r="K12" s="1548"/>
      <c r="L12" s="1548"/>
      <c r="M12" s="1548"/>
      <c r="N12" s="1548"/>
      <c r="O12" s="1548"/>
      <c r="P12" s="1548"/>
      <c r="Q12" s="1548"/>
      <c r="R12" s="1548"/>
      <c r="S12" s="1548"/>
      <c r="T12" s="1549"/>
    </row>
    <row r="13" spans="1:21" ht="12.75" customHeight="1" x14ac:dyDescent="0.2">
      <c r="A13" s="1178" t="s">
        <v>9</v>
      </c>
      <c r="B13" s="1298" t="s">
        <v>9</v>
      </c>
      <c r="C13" s="1180" t="s">
        <v>9</v>
      </c>
      <c r="D13" s="1540" t="s">
        <v>111</v>
      </c>
      <c r="E13" s="1218"/>
      <c r="F13" s="1408" t="s">
        <v>43</v>
      </c>
      <c r="G13" s="1171" t="s">
        <v>39</v>
      </c>
      <c r="H13" s="133" t="s">
        <v>35</v>
      </c>
      <c r="I13" s="634">
        <f>J13+L13</f>
        <v>657.1</v>
      </c>
      <c r="J13" s="635">
        <f>949.7-99.9+27.4-370</f>
        <v>507.20000000000005</v>
      </c>
      <c r="K13" s="635"/>
      <c r="L13" s="383">
        <f>30+99.9+50-30</f>
        <v>149.9</v>
      </c>
      <c r="M13" s="636">
        <f>N13+P13</f>
        <v>657.1</v>
      </c>
      <c r="N13" s="637">
        <f>949.7-99.9+27.4-370</f>
        <v>507.20000000000005</v>
      </c>
      <c r="O13" s="637"/>
      <c r="P13" s="617">
        <f>30+99.9+50-30</f>
        <v>149.9</v>
      </c>
      <c r="Q13" s="1129">
        <f>M13-I13</f>
        <v>0</v>
      </c>
      <c r="R13" s="668">
        <f t="shared" ref="R13:T13" si="0">N13-J13</f>
        <v>0</v>
      </c>
      <c r="S13" s="668">
        <f t="shared" si="0"/>
        <v>0</v>
      </c>
      <c r="T13" s="667">
        <f t="shared" si="0"/>
        <v>0</v>
      </c>
    </row>
    <row r="14" spans="1:21" ht="12.75" customHeight="1" x14ac:dyDescent="0.2">
      <c r="A14" s="1178"/>
      <c r="B14" s="1298"/>
      <c r="C14" s="1180"/>
      <c r="D14" s="1240"/>
      <c r="E14" s="1218"/>
      <c r="F14" s="1408"/>
      <c r="G14" s="1171"/>
      <c r="H14" s="133"/>
      <c r="I14" s="634"/>
      <c r="J14" s="635"/>
      <c r="K14" s="635"/>
      <c r="L14" s="383"/>
      <c r="M14" s="636"/>
      <c r="N14" s="637"/>
      <c r="O14" s="637"/>
      <c r="P14" s="617"/>
      <c r="Q14" s="636"/>
      <c r="R14" s="637"/>
      <c r="S14" s="637"/>
      <c r="T14" s="617"/>
    </row>
    <row r="15" spans="1:21" ht="12.75" customHeight="1" x14ac:dyDescent="0.2">
      <c r="A15" s="1035"/>
      <c r="B15" s="1041"/>
      <c r="C15" s="1051"/>
      <c r="D15" s="1053" t="s">
        <v>45</v>
      </c>
      <c r="E15" s="1037"/>
      <c r="F15" s="1038"/>
      <c r="G15" s="1039"/>
      <c r="H15" s="133"/>
      <c r="I15" s="634"/>
      <c r="J15" s="635"/>
      <c r="K15" s="635"/>
      <c r="L15" s="383"/>
      <c r="M15" s="636"/>
      <c r="N15" s="637"/>
      <c r="O15" s="637"/>
      <c r="P15" s="617"/>
      <c r="Q15" s="636"/>
      <c r="R15" s="637"/>
      <c r="S15" s="637"/>
      <c r="T15" s="617"/>
    </row>
    <row r="16" spans="1:21" ht="12.75" customHeight="1" x14ac:dyDescent="0.2">
      <c r="A16" s="1035"/>
      <c r="B16" s="1041"/>
      <c r="C16" s="1051"/>
      <c r="D16" s="117" t="s">
        <v>46</v>
      </c>
      <c r="E16" s="1052"/>
      <c r="F16" s="1043"/>
      <c r="G16" s="1039"/>
      <c r="H16" s="314"/>
      <c r="I16" s="634"/>
      <c r="J16" s="635"/>
      <c r="K16" s="635"/>
      <c r="L16" s="383"/>
      <c r="M16" s="636"/>
      <c r="N16" s="637"/>
      <c r="O16" s="637"/>
      <c r="P16" s="617"/>
      <c r="Q16" s="636"/>
      <c r="R16" s="637"/>
      <c r="S16" s="637"/>
      <c r="T16" s="617"/>
    </row>
    <row r="17" spans="1:24" ht="12.75" customHeight="1" x14ac:dyDescent="0.2">
      <c r="A17" s="1178"/>
      <c r="B17" s="1298"/>
      <c r="C17" s="1180"/>
      <c r="D17" s="1164" t="s">
        <v>47</v>
      </c>
      <c r="E17" s="1218"/>
      <c r="F17" s="1220"/>
      <c r="G17" s="1171"/>
      <c r="H17" s="624"/>
      <c r="I17" s="642"/>
      <c r="J17" s="643"/>
      <c r="K17" s="643"/>
      <c r="L17" s="644"/>
      <c r="M17" s="645"/>
      <c r="N17" s="646"/>
      <c r="O17" s="646"/>
      <c r="P17" s="647"/>
      <c r="Q17" s="645"/>
      <c r="R17" s="646"/>
      <c r="S17" s="646"/>
      <c r="T17" s="647"/>
    </row>
    <row r="18" spans="1:24" ht="18" customHeight="1" x14ac:dyDescent="0.2">
      <c r="A18" s="1178"/>
      <c r="B18" s="1298"/>
      <c r="C18" s="1180"/>
      <c r="D18" s="1241"/>
      <c r="E18" s="1219"/>
      <c r="F18" s="1220"/>
      <c r="G18" s="1171"/>
      <c r="H18" s="623" t="s">
        <v>129</v>
      </c>
      <c r="I18" s="648">
        <f>J18+L18</f>
        <v>171.5</v>
      </c>
      <c r="J18" s="649">
        <v>133.69999999999999</v>
      </c>
      <c r="K18" s="649"/>
      <c r="L18" s="650">
        <v>37.799999999999997</v>
      </c>
      <c r="M18" s="651">
        <f>N18+P18</f>
        <v>171.5</v>
      </c>
      <c r="N18" s="652">
        <v>133.69999999999999</v>
      </c>
      <c r="O18" s="652"/>
      <c r="P18" s="653">
        <v>37.799999999999997</v>
      </c>
      <c r="Q18" s="651"/>
      <c r="R18" s="652"/>
      <c r="S18" s="652"/>
      <c r="T18" s="653"/>
    </row>
    <row r="19" spans="1:24" ht="27.75" customHeight="1" x14ac:dyDescent="0.2">
      <c r="A19" s="92"/>
      <c r="B19" s="1041"/>
      <c r="C19" s="1051"/>
      <c r="D19" s="1222" t="s">
        <v>238</v>
      </c>
      <c r="E19" s="1224"/>
      <c r="F19" s="1043"/>
      <c r="G19" s="82"/>
      <c r="H19" s="416" t="s">
        <v>35</v>
      </c>
      <c r="I19" s="642">
        <f>J19+L19</f>
        <v>391.5</v>
      </c>
      <c r="J19" s="643">
        <v>19</v>
      </c>
      <c r="K19" s="658"/>
      <c r="L19" s="644">
        <v>372.5</v>
      </c>
      <c r="M19" s="645">
        <f>N19+P19</f>
        <v>391.5</v>
      </c>
      <c r="N19" s="646">
        <v>19</v>
      </c>
      <c r="O19" s="660"/>
      <c r="P19" s="647">
        <v>372.5</v>
      </c>
      <c r="Q19" s="989"/>
      <c r="R19" s="646"/>
      <c r="S19" s="646"/>
      <c r="T19" s="776"/>
      <c r="X19" s="12"/>
    </row>
    <row r="20" spans="1:24" ht="20.25" customHeight="1" x14ac:dyDescent="0.2">
      <c r="A20" s="92"/>
      <c r="B20" s="1041"/>
      <c r="C20" s="1051"/>
      <c r="D20" s="1223"/>
      <c r="E20" s="1218"/>
      <c r="F20" s="1043"/>
      <c r="G20" s="82"/>
      <c r="H20" s="329"/>
      <c r="I20" s="634"/>
      <c r="J20" s="635"/>
      <c r="K20" s="638"/>
      <c r="L20" s="383"/>
      <c r="M20" s="636"/>
      <c r="N20" s="637"/>
      <c r="O20" s="640"/>
      <c r="P20" s="617"/>
      <c r="Q20" s="636"/>
      <c r="R20" s="637"/>
      <c r="S20" s="637"/>
      <c r="T20" s="617"/>
      <c r="X20" s="12"/>
    </row>
    <row r="21" spans="1:24" ht="24" customHeight="1" x14ac:dyDescent="0.2">
      <c r="A21" s="92"/>
      <c r="B21" s="1041"/>
      <c r="C21" s="1051"/>
      <c r="D21" s="1545"/>
      <c r="E21" s="1218"/>
      <c r="F21" s="1043"/>
      <c r="G21" s="82"/>
      <c r="H21" s="412" t="s">
        <v>35</v>
      </c>
      <c r="I21" s="648"/>
      <c r="J21" s="649"/>
      <c r="K21" s="655"/>
      <c r="L21" s="650"/>
      <c r="M21" s="651"/>
      <c r="N21" s="652"/>
      <c r="O21" s="656"/>
      <c r="P21" s="653"/>
      <c r="Q21" s="654"/>
      <c r="R21" s="652"/>
      <c r="S21" s="656"/>
      <c r="T21" s="653"/>
      <c r="X21" s="12"/>
    </row>
    <row r="22" spans="1:24" ht="18" customHeight="1" x14ac:dyDescent="0.2">
      <c r="A22" s="92"/>
      <c r="B22" s="1041"/>
      <c r="C22" s="1051"/>
      <c r="D22" s="1222" t="s">
        <v>235</v>
      </c>
      <c r="E22" s="1052"/>
      <c r="F22" s="1043"/>
      <c r="G22" s="82"/>
      <c r="H22" s="329" t="s">
        <v>35</v>
      </c>
      <c r="I22" s="634">
        <f>J22</f>
        <v>8.5</v>
      </c>
      <c r="J22" s="635">
        <v>8.5</v>
      </c>
      <c r="K22" s="638"/>
      <c r="L22" s="383"/>
      <c r="M22" s="636">
        <f>N22</f>
        <v>8.5</v>
      </c>
      <c r="N22" s="738">
        <v>8.5</v>
      </c>
      <c r="O22" s="1004"/>
      <c r="P22" s="746"/>
      <c r="Q22" s="1059"/>
      <c r="R22" s="738"/>
      <c r="S22" s="1004"/>
      <c r="T22" s="617"/>
      <c r="X22" s="12"/>
    </row>
    <row r="23" spans="1:24" ht="13.5" customHeight="1" x14ac:dyDescent="0.2">
      <c r="A23" s="92"/>
      <c r="B23" s="1041"/>
      <c r="C23" s="1051"/>
      <c r="D23" s="1165"/>
      <c r="E23" s="1055"/>
      <c r="F23" s="1043"/>
      <c r="G23" s="82"/>
      <c r="H23" s="329"/>
      <c r="I23" s="634"/>
      <c r="J23" s="635"/>
      <c r="K23" s="638"/>
      <c r="L23" s="383"/>
      <c r="M23" s="636"/>
      <c r="N23" s="637"/>
      <c r="O23" s="640"/>
      <c r="P23" s="617"/>
      <c r="Q23" s="636"/>
      <c r="R23" s="637"/>
      <c r="S23" s="640"/>
      <c r="T23" s="617"/>
      <c r="X23" s="12"/>
    </row>
    <row r="24" spans="1:24" ht="18" customHeight="1" x14ac:dyDescent="0.2">
      <c r="A24" s="92"/>
      <c r="B24" s="1041"/>
      <c r="C24" s="1051"/>
      <c r="D24" s="1164" t="s">
        <v>188</v>
      </c>
      <c r="E24" s="1214" t="s">
        <v>169</v>
      </c>
      <c r="F24" s="1043"/>
      <c r="G24" s="82"/>
      <c r="H24" s="416" t="s">
        <v>93</v>
      </c>
      <c r="I24" s="642">
        <f>J24</f>
        <v>150</v>
      </c>
      <c r="J24" s="643">
        <v>150</v>
      </c>
      <c r="K24" s="658"/>
      <c r="L24" s="659"/>
      <c r="M24" s="645">
        <f>N24</f>
        <v>150</v>
      </c>
      <c r="N24" s="646">
        <v>150</v>
      </c>
      <c r="O24" s="660"/>
      <c r="P24" s="661"/>
      <c r="Q24" s="645"/>
      <c r="R24" s="646"/>
      <c r="S24" s="660"/>
      <c r="T24" s="661"/>
      <c r="X24" s="12"/>
    </row>
    <row r="25" spans="1:24" ht="16.5" customHeight="1" x14ac:dyDescent="0.2">
      <c r="A25" s="92"/>
      <c r="B25" s="1041"/>
      <c r="C25" s="1051"/>
      <c r="D25" s="1241"/>
      <c r="E25" s="1546"/>
      <c r="F25" s="1043"/>
      <c r="G25" s="82"/>
      <c r="H25" s="321"/>
      <c r="I25" s="669"/>
      <c r="J25" s="638"/>
      <c r="K25" s="638"/>
      <c r="L25" s="639"/>
      <c r="M25" s="670"/>
      <c r="N25" s="640"/>
      <c r="O25" s="640"/>
      <c r="P25" s="641"/>
      <c r="Q25" s="670"/>
      <c r="R25" s="640"/>
      <c r="S25" s="640"/>
      <c r="T25" s="641"/>
      <c r="X25" s="12"/>
    </row>
    <row r="26" spans="1:24" ht="12.75" customHeight="1" x14ac:dyDescent="0.2">
      <c r="A26" s="92"/>
      <c r="B26" s="1041"/>
      <c r="C26" s="1051"/>
      <c r="D26" s="1164" t="s">
        <v>208</v>
      </c>
      <c r="E26" s="1541" t="s">
        <v>210</v>
      </c>
      <c r="F26" s="1036"/>
      <c r="G26" s="773" t="s">
        <v>89</v>
      </c>
      <c r="H26" s="416" t="s">
        <v>35</v>
      </c>
      <c r="I26" s="642">
        <f>L26</f>
        <v>200</v>
      </c>
      <c r="J26" s="643"/>
      <c r="K26" s="658"/>
      <c r="L26" s="644">
        <v>200</v>
      </c>
      <c r="M26" s="645">
        <f>P26</f>
        <v>200</v>
      </c>
      <c r="N26" s="646"/>
      <c r="O26" s="660"/>
      <c r="P26" s="647">
        <v>200</v>
      </c>
      <c r="Q26" s="645"/>
      <c r="R26" s="646"/>
      <c r="S26" s="660"/>
      <c r="T26" s="647"/>
      <c r="X26" s="12"/>
    </row>
    <row r="27" spans="1:24" x14ac:dyDescent="0.2">
      <c r="A27" s="92"/>
      <c r="B27" s="1041"/>
      <c r="C27" s="1051"/>
      <c r="D27" s="1213"/>
      <c r="E27" s="1480"/>
      <c r="F27" s="1036"/>
      <c r="G27" s="82"/>
      <c r="H27" s="321"/>
      <c r="I27" s="669"/>
      <c r="J27" s="638"/>
      <c r="K27" s="638"/>
      <c r="L27" s="639"/>
      <c r="M27" s="670"/>
      <c r="N27" s="640"/>
      <c r="O27" s="640"/>
      <c r="P27" s="641"/>
      <c r="Q27" s="670"/>
      <c r="R27" s="640"/>
      <c r="S27" s="640"/>
      <c r="T27" s="641"/>
      <c r="X27" s="12"/>
    </row>
    <row r="28" spans="1:24" ht="18.75" customHeight="1" thickBot="1" x14ac:dyDescent="0.25">
      <c r="A28" s="1029"/>
      <c r="B28" s="1047"/>
      <c r="C28" s="1048"/>
      <c r="D28" s="1057"/>
      <c r="E28" s="1542"/>
      <c r="F28" s="1050"/>
      <c r="G28" s="1028"/>
      <c r="H28" s="279" t="s">
        <v>10</v>
      </c>
      <c r="I28" s="671">
        <f t="shared" ref="I28:P28" si="1">SUM(I13:I27)</f>
        <v>1578.6</v>
      </c>
      <c r="J28" s="671">
        <f t="shared" si="1"/>
        <v>818.40000000000009</v>
      </c>
      <c r="K28" s="671">
        <f t="shared" si="1"/>
        <v>0</v>
      </c>
      <c r="L28" s="671">
        <f t="shared" si="1"/>
        <v>760.2</v>
      </c>
      <c r="M28" s="671">
        <f>SUM(M13:M27)</f>
        <v>1578.6</v>
      </c>
      <c r="N28" s="671">
        <f t="shared" si="1"/>
        <v>818.40000000000009</v>
      </c>
      <c r="O28" s="671">
        <f t="shared" si="1"/>
        <v>0</v>
      </c>
      <c r="P28" s="671">
        <f t="shared" si="1"/>
        <v>760.2</v>
      </c>
      <c r="Q28" s="726"/>
      <c r="R28" s="713"/>
      <c r="S28" s="713"/>
      <c r="T28" s="777"/>
      <c r="X28" s="12"/>
    </row>
    <row r="29" spans="1:24" ht="12.75" customHeight="1" x14ac:dyDescent="0.2">
      <c r="A29" s="1234" t="s">
        <v>9</v>
      </c>
      <c r="B29" s="1297" t="s">
        <v>9</v>
      </c>
      <c r="C29" s="1236" t="s">
        <v>11</v>
      </c>
      <c r="D29" s="1239" t="s">
        <v>113</v>
      </c>
      <c r="E29" s="1237"/>
      <c r="F29" s="1238" t="s">
        <v>53</v>
      </c>
      <c r="G29" s="1233" t="s">
        <v>39</v>
      </c>
      <c r="H29" s="342" t="s">
        <v>35</v>
      </c>
      <c r="I29" s="662">
        <f>J29+L29</f>
        <v>6196.5000000000009</v>
      </c>
      <c r="J29" s="663">
        <f>6405.6-49.3-70.9-27.4-65.3</f>
        <v>6192.7000000000007</v>
      </c>
      <c r="K29" s="663"/>
      <c r="L29" s="673">
        <f>4.5-0.7</f>
        <v>3.8</v>
      </c>
      <c r="M29" s="665">
        <f>N29+P29</f>
        <v>6206.5000000000009</v>
      </c>
      <c r="N29" s="666">
        <f>6405.6-49.3-70.9-27.4-65.3+10</f>
        <v>6202.7000000000007</v>
      </c>
      <c r="O29" s="666"/>
      <c r="P29" s="668">
        <f>4.5-0.7</f>
        <v>3.8</v>
      </c>
      <c r="Q29" s="1072">
        <f>M29-I29</f>
        <v>10</v>
      </c>
      <c r="R29" s="1073">
        <f>N29-J29</f>
        <v>10</v>
      </c>
      <c r="S29" s="714"/>
      <c r="T29" s="715"/>
    </row>
    <row r="30" spans="1:24" ht="12.75" customHeight="1" x14ac:dyDescent="0.2">
      <c r="A30" s="1178"/>
      <c r="B30" s="1298"/>
      <c r="C30" s="1180"/>
      <c r="D30" s="1240"/>
      <c r="E30" s="1218"/>
      <c r="F30" s="1220"/>
      <c r="G30" s="1171"/>
      <c r="H30" s="618" t="s">
        <v>60</v>
      </c>
      <c r="I30" s="725">
        <f>J30+L30</f>
        <v>3.5</v>
      </c>
      <c r="J30" s="675">
        <v>3.5</v>
      </c>
      <c r="K30" s="675"/>
      <c r="L30" s="748"/>
      <c r="M30" s="677">
        <f>N30+P30</f>
        <v>3.5</v>
      </c>
      <c r="N30" s="678">
        <v>3.5</v>
      </c>
      <c r="O30" s="678"/>
      <c r="P30" s="981"/>
      <c r="Q30" s="1013"/>
      <c r="R30" s="1007"/>
      <c r="S30" s="678"/>
      <c r="T30" s="679"/>
    </row>
    <row r="31" spans="1:24" ht="12.75" customHeight="1" x14ac:dyDescent="0.2">
      <c r="A31" s="1178"/>
      <c r="B31" s="1298"/>
      <c r="C31" s="1180"/>
      <c r="D31" s="1164" t="s">
        <v>189</v>
      </c>
      <c r="E31" s="1218"/>
      <c r="F31" s="1220"/>
      <c r="G31" s="1171"/>
      <c r="H31" s="10" t="s">
        <v>129</v>
      </c>
      <c r="I31" s="642">
        <f>J31+L31</f>
        <v>583.20000000000005</v>
      </c>
      <c r="J31" s="643">
        <v>583.20000000000005</v>
      </c>
      <c r="K31" s="643"/>
      <c r="L31" s="644"/>
      <c r="M31" s="645">
        <f>N31+P31</f>
        <v>583.20000000000005</v>
      </c>
      <c r="N31" s="646">
        <v>583.20000000000005</v>
      </c>
      <c r="O31" s="646"/>
      <c r="P31" s="683"/>
      <c r="Q31" s="1074"/>
      <c r="R31" s="1075"/>
      <c r="S31" s="646"/>
      <c r="T31" s="647"/>
    </row>
    <row r="32" spans="1:24" x14ac:dyDescent="0.2">
      <c r="A32" s="1178"/>
      <c r="B32" s="1298"/>
      <c r="C32" s="1180"/>
      <c r="D32" s="1213"/>
      <c r="E32" s="1218"/>
      <c r="F32" s="1220"/>
      <c r="G32" s="1171"/>
      <c r="H32" s="335"/>
      <c r="I32" s="634"/>
      <c r="J32" s="635"/>
      <c r="K32" s="635"/>
      <c r="L32" s="383"/>
      <c r="M32" s="636"/>
      <c r="N32" s="637"/>
      <c r="O32" s="637"/>
      <c r="P32" s="627"/>
      <c r="Q32" s="711"/>
      <c r="R32" s="707"/>
      <c r="S32" s="637"/>
      <c r="T32" s="617"/>
    </row>
    <row r="33" spans="1:21" ht="12.75" customHeight="1" x14ac:dyDescent="0.2">
      <c r="A33" s="1178"/>
      <c r="B33" s="1298"/>
      <c r="C33" s="1180"/>
      <c r="D33" s="1241"/>
      <c r="E33" s="1219"/>
      <c r="F33" s="1221"/>
      <c r="G33" s="1210"/>
      <c r="H33" s="335"/>
      <c r="I33" s="634"/>
      <c r="J33" s="635"/>
      <c r="K33" s="635"/>
      <c r="L33" s="383"/>
      <c r="M33" s="636"/>
      <c r="N33" s="637"/>
      <c r="O33" s="637"/>
      <c r="P33" s="627"/>
      <c r="Q33" s="711"/>
      <c r="R33" s="707"/>
      <c r="S33" s="637"/>
      <c r="T33" s="617"/>
    </row>
    <row r="34" spans="1:21" ht="12.75" customHeight="1" x14ac:dyDescent="0.2">
      <c r="A34" s="1178"/>
      <c r="B34" s="1298"/>
      <c r="C34" s="1180"/>
      <c r="D34" s="1164" t="s">
        <v>55</v>
      </c>
      <c r="E34" s="1224"/>
      <c r="F34" s="1473"/>
      <c r="G34" s="1474"/>
      <c r="H34" s="624"/>
      <c r="I34" s="642"/>
      <c r="J34" s="643"/>
      <c r="K34" s="643"/>
      <c r="L34" s="644"/>
      <c r="M34" s="645"/>
      <c r="N34" s="646"/>
      <c r="O34" s="646"/>
      <c r="P34" s="683"/>
      <c r="Q34" s="1074"/>
      <c r="R34" s="1076"/>
      <c r="S34" s="646"/>
      <c r="T34" s="647"/>
    </row>
    <row r="35" spans="1:21" ht="12.75" customHeight="1" x14ac:dyDescent="0.2">
      <c r="A35" s="1178"/>
      <c r="B35" s="1298"/>
      <c r="C35" s="1180"/>
      <c r="D35" s="1241"/>
      <c r="E35" s="1219"/>
      <c r="F35" s="1221"/>
      <c r="G35" s="1210"/>
      <c r="H35" s="855"/>
      <c r="I35" s="648"/>
      <c r="J35" s="649"/>
      <c r="K35" s="649"/>
      <c r="L35" s="650"/>
      <c r="M35" s="651"/>
      <c r="N35" s="652"/>
      <c r="O35" s="652"/>
      <c r="P35" s="693"/>
      <c r="Q35" s="712"/>
      <c r="R35" s="710"/>
      <c r="S35" s="652"/>
      <c r="T35" s="653"/>
    </row>
    <row r="36" spans="1:21" ht="15.75" customHeight="1" x14ac:dyDescent="0.2">
      <c r="A36" s="1035"/>
      <c r="B36" s="1041"/>
      <c r="C36" s="1051"/>
      <c r="D36" s="1164" t="s">
        <v>98</v>
      </c>
      <c r="E36" s="1224"/>
      <c r="F36" s="1473"/>
      <c r="G36" s="1474"/>
      <c r="H36" s="144" t="s">
        <v>35</v>
      </c>
      <c r="I36" s="648">
        <f>J36+L36</f>
        <v>185.4</v>
      </c>
      <c r="J36" s="649">
        <f>114.5+70.9</f>
        <v>185.4</v>
      </c>
      <c r="K36" s="649"/>
      <c r="L36" s="650"/>
      <c r="M36" s="651">
        <f>N36+P36</f>
        <v>185.4</v>
      </c>
      <c r="N36" s="652">
        <f>114.5+70.9</f>
        <v>185.4</v>
      </c>
      <c r="O36" s="652"/>
      <c r="P36" s="693"/>
      <c r="Q36" s="712"/>
      <c r="R36" s="710"/>
      <c r="S36" s="652"/>
      <c r="T36" s="653"/>
      <c r="U36" s="86"/>
    </row>
    <row r="37" spans="1:21" ht="15.75" customHeight="1" x14ac:dyDescent="0.2">
      <c r="A37" s="1035"/>
      <c r="B37" s="1041"/>
      <c r="C37" s="1051"/>
      <c r="D37" s="1213"/>
      <c r="E37" s="1218"/>
      <c r="F37" s="1220"/>
      <c r="G37" s="1171"/>
      <c r="H37" s="23" t="s">
        <v>179</v>
      </c>
      <c r="I37" s="725">
        <f>J37+L37</f>
        <v>15</v>
      </c>
      <c r="J37" s="675">
        <v>15</v>
      </c>
      <c r="K37" s="675"/>
      <c r="L37" s="748"/>
      <c r="M37" s="677">
        <f>N37+P37</f>
        <v>15</v>
      </c>
      <c r="N37" s="678">
        <v>15</v>
      </c>
      <c r="O37" s="678"/>
      <c r="P37" s="981"/>
      <c r="Q37" s="1013"/>
      <c r="R37" s="1007"/>
      <c r="S37" s="678"/>
      <c r="T37" s="679"/>
    </row>
    <row r="38" spans="1:21" ht="13.5" customHeight="1" thickBot="1" x14ac:dyDescent="0.25">
      <c r="A38" s="96"/>
      <c r="B38" s="1047"/>
      <c r="C38" s="1048"/>
      <c r="D38" s="1260"/>
      <c r="E38" s="1261"/>
      <c r="F38" s="1262"/>
      <c r="G38" s="1254"/>
      <c r="H38" s="282" t="s">
        <v>10</v>
      </c>
      <c r="I38" s="726">
        <f t="shared" ref="I38:L38" si="2">I36+I30+I29+I37+I31</f>
        <v>6983.6</v>
      </c>
      <c r="J38" s="726">
        <f t="shared" si="2"/>
        <v>6979.8</v>
      </c>
      <c r="K38" s="726">
        <f t="shared" si="2"/>
        <v>0</v>
      </c>
      <c r="L38" s="726">
        <f t="shared" si="2"/>
        <v>3.8</v>
      </c>
      <c r="M38" s="726">
        <f t="shared" ref="M38:P38" si="3">M36+M30+M29+M37+M31</f>
        <v>6993.6</v>
      </c>
      <c r="N38" s="726">
        <f t="shared" si="3"/>
        <v>6989.8</v>
      </c>
      <c r="O38" s="726">
        <f t="shared" si="3"/>
        <v>0</v>
      </c>
      <c r="P38" s="671">
        <f t="shared" si="3"/>
        <v>3.8</v>
      </c>
      <c r="Q38" s="979">
        <f>Q29</f>
        <v>10</v>
      </c>
      <c r="R38" s="980">
        <f>R29</f>
        <v>10</v>
      </c>
      <c r="S38" s="713"/>
      <c r="T38" s="777"/>
    </row>
    <row r="39" spans="1:21" ht="12.75" customHeight="1" x14ac:dyDescent="0.2">
      <c r="A39" s="1234" t="s">
        <v>9</v>
      </c>
      <c r="B39" s="1297" t="s">
        <v>9</v>
      </c>
      <c r="C39" s="1236" t="s">
        <v>37</v>
      </c>
      <c r="D39" s="1239" t="s">
        <v>114</v>
      </c>
      <c r="E39" s="1237" t="s">
        <v>168</v>
      </c>
      <c r="F39" s="1238" t="s">
        <v>53</v>
      </c>
      <c r="G39" s="1233" t="s">
        <v>39</v>
      </c>
      <c r="H39" s="13" t="s">
        <v>35</v>
      </c>
      <c r="I39" s="720">
        <f>J39+L39</f>
        <v>1415.2</v>
      </c>
      <c r="J39" s="698">
        <f>1292.2+10+60</f>
        <v>1362.2</v>
      </c>
      <c r="K39" s="698">
        <f>710.7+70.6</f>
        <v>781.30000000000007</v>
      </c>
      <c r="L39" s="699">
        <f>63-10</f>
        <v>53</v>
      </c>
      <c r="M39" s="700">
        <f>N39+P39</f>
        <v>1416.3</v>
      </c>
      <c r="N39" s="701">
        <f>1292.2+10+60+0.3+0.8</f>
        <v>1363.3</v>
      </c>
      <c r="O39" s="701">
        <f>710.7+70.6+0.8</f>
        <v>782.1</v>
      </c>
      <c r="P39" s="739">
        <f>63-10</f>
        <v>53</v>
      </c>
      <c r="Q39" s="712">
        <f>M39-I39</f>
        <v>1.0999999999999091</v>
      </c>
      <c r="R39" s="1066">
        <f>N39-J39</f>
        <v>1.0999999999999091</v>
      </c>
      <c r="S39" s="1066">
        <f>O39-K39</f>
        <v>0.79999999999995453</v>
      </c>
      <c r="T39" s="991"/>
    </row>
    <row r="40" spans="1:21" ht="12.75" customHeight="1" x14ac:dyDescent="0.2">
      <c r="A40" s="1178"/>
      <c r="B40" s="1298"/>
      <c r="C40" s="1180"/>
      <c r="D40" s="1540"/>
      <c r="E40" s="1218"/>
      <c r="F40" s="1220"/>
      <c r="G40" s="1171"/>
      <c r="H40" s="23" t="s">
        <v>60</v>
      </c>
      <c r="I40" s="725">
        <f>J40+L40</f>
        <v>116.2</v>
      </c>
      <c r="J40" s="674">
        <v>116.2</v>
      </c>
      <c r="K40" s="674">
        <v>31.7</v>
      </c>
      <c r="L40" s="775">
        <f>L46+L50</f>
        <v>0</v>
      </c>
      <c r="M40" s="677">
        <f>N40+P40</f>
        <v>116.2</v>
      </c>
      <c r="N40" s="680">
        <v>116.2</v>
      </c>
      <c r="O40" s="680">
        <v>31.7</v>
      </c>
      <c r="P40" s="706">
        <f>P46+P50</f>
        <v>0</v>
      </c>
      <c r="Q40" s="677"/>
      <c r="R40" s="680"/>
      <c r="S40" s="680"/>
      <c r="T40" s="705"/>
    </row>
    <row r="41" spans="1:21" ht="15.75" customHeight="1" x14ac:dyDescent="0.2">
      <c r="A41" s="1035"/>
      <c r="B41" s="1041"/>
      <c r="C41" s="1051"/>
      <c r="D41" s="1240"/>
      <c r="E41" s="1218"/>
      <c r="F41" s="1043"/>
      <c r="G41" s="1039"/>
      <c r="H41" s="10" t="s">
        <v>225</v>
      </c>
      <c r="I41" s="642">
        <f>J41</f>
        <v>1.9</v>
      </c>
      <c r="J41" s="643">
        <v>1.9</v>
      </c>
      <c r="K41" s="643"/>
      <c r="L41" s="644"/>
      <c r="M41" s="645">
        <f>N41</f>
        <v>1.9</v>
      </c>
      <c r="N41" s="646">
        <v>1.9</v>
      </c>
      <c r="O41" s="646"/>
      <c r="P41" s="683"/>
      <c r="Q41" s="645"/>
      <c r="R41" s="717"/>
      <c r="S41" s="717"/>
      <c r="T41" s="776"/>
    </row>
    <row r="42" spans="1:21" ht="12.75" customHeight="1" x14ac:dyDescent="0.2">
      <c r="A42" s="1178"/>
      <c r="B42" s="1298"/>
      <c r="C42" s="1180"/>
      <c r="D42" s="1164" t="s">
        <v>162</v>
      </c>
      <c r="E42" s="1218"/>
      <c r="F42" s="1220"/>
      <c r="G42" s="1171"/>
      <c r="H42" s="14"/>
      <c r="I42" s="634"/>
      <c r="J42" s="635"/>
      <c r="K42" s="635"/>
      <c r="L42" s="383"/>
      <c r="M42" s="636"/>
      <c r="N42" s="637"/>
      <c r="O42" s="637"/>
      <c r="P42" s="627"/>
      <c r="Q42" s="636"/>
      <c r="R42" s="686"/>
      <c r="S42" s="637"/>
      <c r="T42" s="617"/>
    </row>
    <row r="43" spans="1:21" ht="12.75" customHeight="1" x14ac:dyDescent="0.2">
      <c r="A43" s="1178"/>
      <c r="B43" s="1298"/>
      <c r="C43" s="1180"/>
      <c r="D43" s="1213"/>
      <c r="E43" s="1218"/>
      <c r="F43" s="1220"/>
      <c r="G43" s="1171"/>
      <c r="H43" s="14"/>
      <c r="I43" s="684"/>
      <c r="J43" s="635"/>
      <c r="K43" s="635"/>
      <c r="L43" s="685"/>
      <c r="M43" s="636"/>
      <c r="N43" s="637"/>
      <c r="O43" s="637"/>
      <c r="P43" s="627"/>
      <c r="Q43" s="636"/>
      <c r="R43" s="637"/>
      <c r="S43" s="637"/>
      <c r="T43" s="617"/>
    </row>
    <row r="44" spans="1:21" ht="30" customHeight="1" x14ac:dyDescent="0.2">
      <c r="A44" s="1178"/>
      <c r="B44" s="1298"/>
      <c r="C44" s="1180"/>
      <c r="D44" s="1241"/>
      <c r="E44" s="1218"/>
      <c r="F44" s="1220"/>
      <c r="G44" s="1171"/>
      <c r="H44" s="350"/>
      <c r="I44" s="708"/>
      <c r="J44" s="638"/>
      <c r="K44" s="638"/>
      <c r="L44" s="709"/>
      <c r="M44" s="670"/>
      <c r="N44" s="640"/>
      <c r="O44" s="640"/>
      <c r="P44" s="983"/>
      <c r="Q44" s="670"/>
      <c r="R44" s="640"/>
      <c r="S44" s="640"/>
      <c r="T44" s="641"/>
    </row>
    <row r="45" spans="1:21" ht="12.75" customHeight="1" x14ac:dyDescent="0.2">
      <c r="A45" s="1178"/>
      <c r="B45" s="1298"/>
      <c r="C45" s="1180"/>
      <c r="D45" s="1164" t="s">
        <v>58</v>
      </c>
      <c r="E45" s="1218"/>
      <c r="F45" s="1220"/>
      <c r="G45" s="1171"/>
      <c r="H45" s="14"/>
      <c r="I45" s="684"/>
      <c r="J45" s="635"/>
      <c r="K45" s="635"/>
      <c r="L45" s="685"/>
      <c r="M45" s="636"/>
      <c r="N45" s="637"/>
      <c r="O45" s="637"/>
      <c r="P45" s="627"/>
      <c r="Q45" s="636"/>
      <c r="R45" s="637"/>
      <c r="S45" s="637"/>
      <c r="T45" s="617"/>
    </row>
    <row r="46" spans="1:21" ht="12.75" customHeight="1" x14ac:dyDescent="0.2">
      <c r="A46" s="1178"/>
      <c r="B46" s="1298"/>
      <c r="C46" s="1180"/>
      <c r="D46" s="1241"/>
      <c r="E46" s="1218"/>
      <c r="F46" s="1220"/>
      <c r="G46" s="1171"/>
      <c r="H46" s="14"/>
      <c r="I46" s="684"/>
      <c r="J46" s="635"/>
      <c r="K46" s="635"/>
      <c r="L46" s="685"/>
      <c r="M46" s="636"/>
      <c r="N46" s="637"/>
      <c r="O46" s="637"/>
      <c r="P46" s="627"/>
      <c r="Q46" s="636"/>
      <c r="R46" s="637"/>
      <c r="S46" s="637"/>
      <c r="T46" s="617"/>
    </row>
    <row r="47" spans="1:21" ht="12.75" customHeight="1" x14ac:dyDescent="0.2">
      <c r="A47" s="1035"/>
      <c r="B47" s="1041"/>
      <c r="C47" s="1051"/>
      <c r="D47" s="1025" t="s">
        <v>142</v>
      </c>
      <c r="E47" s="1052"/>
      <c r="F47" s="1043"/>
      <c r="G47" s="1039"/>
      <c r="H47" s="14"/>
      <c r="I47" s="684"/>
      <c r="J47" s="635"/>
      <c r="K47" s="635"/>
      <c r="L47" s="685"/>
      <c r="M47" s="636"/>
      <c r="N47" s="637"/>
      <c r="O47" s="637"/>
      <c r="P47" s="627"/>
      <c r="Q47" s="636"/>
      <c r="R47" s="637"/>
      <c r="S47" s="637"/>
      <c r="T47" s="617"/>
    </row>
    <row r="48" spans="1:21" ht="12.75" customHeight="1" x14ac:dyDescent="0.2">
      <c r="A48" s="1035"/>
      <c r="B48" s="1041"/>
      <c r="C48" s="1051"/>
      <c r="D48" s="1164" t="s">
        <v>203</v>
      </c>
      <c r="E48" s="1052"/>
      <c r="F48" s="1043" t="s">
        <v>37</v>
      </c>
      <c r="G48" s="1039"/>
      <c r="H48" s="14"/>
      <c r="I48" s="634"/>
      <c r="J48" s="635"/>
      <c r="K48" s="635"/>
      <c r="L48" s="685"/>
      <c r="M48" s="636"/>
      <c r="N48" s="637"/>
      <c r="O48" s="637"/>
      <c r="P48" s="627"/>
      <c r="Q48" s="636"/>
      <c r="R48" s="637"/>
      <c r="S48" s="637"/>
      <c r="T48" s="617"/>
    </row>
    <row r="49" spans="1:20" x14ac:dyDescent="0.2">
      <c r="A49" s="1035"/>
      <c r="B49" s="1041"/>
      <c r="C49" s="1051"/>
      <c r="D49" s="1213"/>
      <c r="E49" s="1052"/>
      <c r="F49" s="1043"/>
      <c r="G49" s="1039"/>
      <c r="H49" s="14"/>
      <c r="I49" s="634"/>
      <c r="J49" s="635"/>
      <c r="K49" s="635"/>
      <c r="L49" s="685"/>
      <c r="M49" s="636"/>
      <c r="N49" s="637"/>
      <c r="O49" s="637"/>
      <c r="P49" s="627"/>
      <c r="Q49" s="636"/>
      <c r="R49" s="637"/>
      <c r="S49" s="637"/>
      <c r="T49" s="617"/>
    </row>
    <row r="50" spans="1:20" ht="12.75" customHeight="1" x14ac:dyDescent="0.2">
      <c r="A50" s="1035"/>
      <c r="B50" s="1041"/>
      <c r="C50" s="1051"/>
      <c r="D50" s="1241"/>
      <c r="E50" s="1054"/>
      <c r="F50" s="1044"/>
      <c r="G50" s="1045"/>
      <c r="H50" s="144"/>
      <c r="I50" s="648"/>
      <c r="J50" s="649"/>
      <c r="K50" s="649"/>
      <c r="L50" s="691"/>
      <c r="M50" s="651"/>
      <c r="N50" s="652"/>
      <c r="O50" s="652"/>
      <c r="P50" s="693"/>
      <c r="Q50" s="651"/>
      <c r="R50" s="652"/>
      <c r="S50" s="652"/>
      <c r="T50" s="653"/>
    </row>
    <row r="51" spans="1:20" ht="16.5" customHeight="1" x14ac:dyDescent="0.2">
      <c r="A51" s="1035"/>
      <c r="B51" s="1041"/>
      <c r="C51" s="1051"/>
      <c r="D51" s="1042" t="s">
        <v>158</v>
      </c>
      <c r="E51" s="1052"/>
      <c r="F51" s="1043"/>
      <c r="G51" s="1039"/>
      <c r="H51" s="14"/>
      <c r="I51" s="634"/>
      <c r="J51" s="635"/>
      <c r="K51" s="635"/>
      <c r="L51" s="685"/>
      <c r="M51" s="636"/>
      <c r="N51" s="637"/>
      <c r="O51" s="637"/>
      <c r="P51" s="627"/>
      <c r="Q51" s="636"/>
      <c r="R51" s="637"/>
      <c r="S51" s="637"/>
      <c r="T51" s="617"/>
    </row>
    <row r="52" spans="1:20" ht="12.75" customHeight="1" x14ac:dyDescent="0.2">
      <c r="A52" s="1035"/>
      <c r="B52" s="1041"/>
      <c r="C52" s="1051"/>
      <c r="D52" s="117" t="s">
        <v>151</v>
      </c>
      <c r="E52" s="1052"/>
      <c r="F52" s="1043"/>
      <c r="G52" s="1039"/>
      <c r="H52" s="14"/>
      <c r="I52" s="634"/>
      <c r="J52" s="635"/>
      <c r="K52" s="635"/>
      <c r="L52" s="685"/>
      <c r="M52" s="636"/>
      <c r="N52" s="637"/>
      <c r="O52" s="637"/>
      <c r="P52" s="627"/>
      <c r="Q52" s="636"/>
      <c r="R52" s="637"/>
      <c r="S52" s="637"/>
      <c r="T52" s="617"/>
    </row>
    <row r="53" spans="1:20" ht="18" customHeight="1" thickBot="1" x14ac:dyDescent="0.25">
      <c r="A53" s="1029"/>
      <c r="B53" s="1047"/>
      <c r="C53" s="1048"/>
      <c r="D53" s="1026" t="s">
        <v>154</v>
      </c>
      <c r="E53" s="1049"/>
      <c r="F53" s="1050"/>
      <c r="G53" s="1028"/>
      <c r="H53" s="282" t="s">
        <v>10</v>
      </c>
      <c r="I53" s="671">
        <f>SUM(I39:I52)</f>
        <v>1533.3000000000002</v>
      </c>
      <c r="J53" s="671">
        <f>SUM(J39:J52)</f>
        <v>1480.3000000000002</v>
      </c>
      <c r="K53" s="671">
        <f>SUM(K39:K52)</f>
        <v>813.00000000000011</v>
      </c>
      <c r="L53" s="671">
        <f>SUM(L39:L52)</f>
        <v>53</v>
      </c>
      <c r="M53" s="671">
        <f>SUM(M39:M41)</f>
        <v>1534.4</v>
      </c>
      <c r="N53" s="671">
        <f>SUM(N39:N41)</f>
        <v>1481.4</v>
      </c>
      <c r="O53" s="671">
        <f>SUM(O39:O41)</f>
        <v>813.80000000000007</v>
      </c>
      <c r="P53" s="671">
        <f>SUM(P39:P41)</f>
        <v>53</v>
      </c>
      <c r="Q53" s="979">
        <f>Q41+Q39</f>
        <v>1.0999999999999091</v>
      </c>
      <c r="R53" s="980">
        <f>R41+R39</f>
        <v>1.0999999999999091</v>
      </c>
      <c r="S53" s="980">
        <f>S41+S39</f>
        <v>0.79999999999995453</v>
      </c>
      <c r="T53" s="777">
        <f>T41+T39</f>
        <v>0</v>
      </c>
    </row>
    <row r="54" spans="1:20" ht="12.75" customHeight="1" x14ac:dyDescent="0.2">
      <c r="A54" s="1234" t="s">
        <v>9</v>
      </c>
      <c r="B54" s="1297" t="s">
        <v>9</v>
      </c>
      <c r="C54" s="1236" t="s">
        <v>52</v>
      </c>
      <c r="D54" s="1469" t="s">
        <v>115</v>
      </c>
      <c r="E54" s="1237"/>
      <c r="F54" s="1238" t="s">
        <v>40</v>
      </c>
      <c r="G54" s="1233" t="s">
        <v>39</v>
      </c>
      <c r="H54" s="342" t="s">
        <v>35</v>
      </c>
      <c r="I54" s="662">
        <f>J54</f>
        <v>6050.6</v>
      </c>
      <c r="J54" s="672">
        <f>6017.6-391.3+424.3</f>
        <v>6050.6</v>
      </c>
      <c r="K54" s="672">
        <f>K56+K58</f>
        <v>0</v>
      </c>
      <c r="L54" s="1058">
        <f>L56+L58</f>
        <v>0</v>
      </c>
      <c r="M54" s="665">
        <f>N54</f>
        <v>6185.5</v>
      </c>
      <c r="N54" s="714">
        <f>6017.6-391.3+424.3+134.9</f>
        <v>6185.5</v>
      </c>
      <c r="O54" s="714">
        <f>O56+O58</f>
        <v>0</v>
      </c>
      <c r="P54" s="715">
        <f>P56+P58</f>
        <v>0</v>
      </c>
      <c r="Q54" s="1077">
        <f>M54-I54</f>
        <v>134.89999999999964</v>
      </c>
      <c r="R54" s="1077">
        <f>N54-J54</f>
        <v>134.89999999999964</v>
      </c>
      <c r="S54" s="686"/>
      <c r="T54" s="806"/>
    </row>
    <row r="55" spans="1:20" x14ac:dyDescent="0.2">
      <c r="A55" s="1178"/>
      <c r="B55" s="1298"/>
      <c r="C55" s="1180"/>
      <c r="D55" s="1539"/>
      <c r="E55" s="1218"/>
      <c r="F55" s="1220"/>
      <c r="G55" s="1171"/>
      <c r="H55" s="10" t="s">
        <v>129</v>
      </c>
      <c r="I55" s="642">
        <f>J55</f>
        <v>400.9</v>
      </c>
      <c r="J55" s="643">
        <v>400.9</v>
      </c>
      <c r="K55" s="643"/>
      <c r="L55" s="682"/>
      <c r="M55" s="645">
        <f>N55</f>
        <v>400.9</v>
      </c>
      <c r="N55" s="646">
        <v>400.9</v>
      </c>
      <c r="O55" s="646"/>
      <c r="P55" s="647"/>
      <c r="Q55" s="717"/>
      <c r="R55" s="717"/>
      <c r="S55" s="646"/>
      <c r="T55" s="647"/>
    </row>
    <row r="56" spans="1:20" ht="12.75" customHeight="1" x14ac:dyDescent="0.2">
      <c r="A56" s="1178"/>
      <c r="B56" s="1298"/>
      <c r="C56" s="1180"/>
      <c r="D56" s="1164" t="s">
        <v>64</v>
      </c>
      <c r="E56" s="1218"/>
      <c r="F56" s="1220"/>
      <c r="G56" s="1171"/>
      <c r="H56" s="14"/>
      <c r="I56" s="684"/>
      <c r="J56" s="635"/>
      <c r="K56" s="635"/>
      <c r="L56" s="685"/>
      <c r="M56" s="636"/>
      <c r="N56" s="637"/>
      <c r="O56" s="637"/>
      <c r="P56" s="617"/>
      <c r="Q56" s="686"/>
      <c r="R56" s="637"/>
      <c r="S56" s="637"/>
      <c r="T56" s="617"/>
    </row>
    <row r="57" spans="1:20" x14ac:dyDescent="0.2">
      <c r="A57" s="1178"/>
      <c r="B57" s="1298"/>
      <c r="C57" s="1180"/>
      <c r="D57" s="1241"/>
      <c r="E57" s="1218"/>
      <c r="F57" s="1220"/>
      <c r="G57" s="1171"/>
      <c r="H57" s="14"/>
      <c r="I57" s="684"/>
      <c r="J57" s="635"/>
      <c r="K57" s="635"/>
      <c r="L57" s="685"/>
      <c r="M57" s="636"/>
      <c r="N57" s="637"/>
      <c r="O57" s="637"/>
      <c r="P57" s="617"/>
      <c r="Q57" s="686"/>
      <c r="R57" s="637"/>
      <c r="S57" s="637"/>
      <c r="T57" s="617"/>
    </row>
    <row r="58" spans="1:20" ht="12.75" customHeight="1" x14ac:dyDescent="0.2">
      <c r="A58" s="1178"/>
      <c r="B58" s="1298"/>
      <c r="C58" s="1180"/>
      <c r="D58" s="1164" t="s">
        <v>63</v>
      </c>
      <c r="E58" s="1253" t="s">
        <v>182</v>
      </c>
      <c r="F58" s="1220"/>
      <c r="G58" s="1171"/>
      <c r="H58" s="14"/>
      <c r="I58" s="684"/>
      <c r="J58" s="635"/>
      <c r="K58" s="635"/>
      <c r="L58" s="685"/>
      <c r="M58" s="636"/>
      <c r="N58" s="637"/>
      <c r="O58" s="637"/>
      <c r="P58" s="617"/>
      <c r="Q58" s="686"/>
      <c r="R58" s="637"/>
      <c r="S58" s="637"/>
      <c r="T58" s="617"/>
    </row>
    <row r="59" spans="1:20" x14ac:dyDescent="0.2">
      <c r="A59" s="1178"/>
      <c r="B59" s="1298"/>
      <c r="C59" s="1180"/>
      <c r="D59" s="1213"/>
      <c r="E59" s="1253"/>
      <c r="F59" s="1220"/>
      <c r="G59" s="1171"/>
      <c r="H59" s="14"/>
      <c r="I59" s="684"/>
      <c r="J59" s="635"/>
      <c r="K59" s="635"/>
      <c r="L59" s="685"/>
      <c r="M59" s="636"/>
      <c r="N59" s="637"/>
      <c r="O59" s="637"/>
      <c r="P59" s="617"/>
      <c r="Q59" s="686"/>
      <c r="R59" s="637"/>
      <c r="S59" s="637"/>
      <c r="T59" s="617"/>
    </row>
    <row r="60" spans="1:20" ht="12.75" customHeight="1" x14ac:dyDescent="0.2">
      <c r="A60" s="1178"/>
      <c r="B60" s="1298"/>
      <c r="C60" s="1180"/>
      <c r="D60" s="1241"/>
      <c r="E60" s="1253"/>
      <c r="F60" s="1220"/>
      <c r="G60" s="1171"/>
      <c r="H60" s="14"/>
      <c r="I60" s="684"/>
      <c r="J60" s="635"/>
      <c r="K60" s="635"/>
      <c r="L60" s="685"/>
      <c r="M60" s="636"/>
      <c r="N60" s="637"/>
      <c r="O60" s="637"/>
      <c r="P60" s="617"/>
      <c r="Q60" s="686"/>
      <c r="R60" s="637"/>
      <c r="S60" s="637"/>
      <c r="T60" s="617"/>
    </row>
    <row r="61" spans="1:20" ht="12.75" customHeight="1" x14ac:dyDescent="0.2">
      <c r="A61" s="1178"/>
      <c r="B61" s="1298"/>
      <c r="C61" s="1180"/>
      <c r="D61" s="1164" t="s">
        <v>65</v>
      </c>
      <c r="E61" s="1218"/>
      <c r="F61" s="1220"/>
      <c r="G61" s="1171"/>
      <c r="H61" s="14"/>
      <c r="I61" s="684"/>
      <c r="J61" s="635"/>
      <c r="K61" s="635"/>
      <c r="L61" s="685"/>
      <c r="M61" s="636"/>
      <c r="N61" s="637"/>
      <c r="O61" s="637"/>
      <c r="P61" s="617"/>
      <c r="Q61" s="686"/>
      <c r="R61" s="637"/>
      <c r="S61" s="637"/>
      <c r="T61" s="617"/>
    </row>
    <row r="62" spans="1:20" ht="12.75" customHeight="1" x14ac:dyDescent="0.2">
      <c r="A62" s="1178"/>
      <c r="B62" s="1298"/>
      <c r="C62" s="1180"/>
      <c r="D62" s="1241"/>
      <c r="E62" s="1218"/>
      <c r="F62" s="1220"/>
      <c r="G62" s="1171"/>
      <c r="H62" s="373"/>
      <c r="I62" s="687"/>
      <c r="J62" s="655"/>
      <c r="K62" s="655"/>
      <c r="L62" s="688"/>
      <c r="M62" s="689"/>
      <c r="N62" s="656"/>
      <c r="O62" s="656"/>
      <c r="P62" s="657"/>
      <c r="Q62" s="1060"/>
      <c r="R62" s="656"/>
      <c r="S62" s="656"/>
      <c r="T62" s="657"/>
    </row>
    <row r="63" spans="1:20" ht="12.75" customHeight="1" x14ac:dyDescent="0.2">
      <c r="A63" s="1178"/>
      <c r="B63" s="1298"/>
      <c r="C63" s="1180"/>
      <c r="D63" s="1164" t="s">
        <v>66</v>
      </c>
      <c r="E63" s="1218"/>
      <c r="F63" s="1220"/>
      <c r="G63" s="1171"/>
      <c r="H63" s="10" t="s">
        <v>93</v>
      </c>
      <c r="I63" s="681">
        <f>J63</f>
        <v>2038</v>
      </c>
      <c r="J63" s="643">
        <v>2038</v>
      </c>
      <c r="K63" s="643"/>
      <c r="L63" s="682"/>
      <c r="M63" s="645">
        <f>N63</f>
        <v>2038</v>
      </c>
      <c r="N63" s="646">
        <v>2038</v>
      </c>
      <c r="O63" s="646"/>
      <c r="P63" s="647"/>
      <c r="Q63" s="717"/>
      <c r="R63" s="646"/>
      <c r="S63" s="646"/>
      <c r="T63" s="647"/>
    </row>
    <row r="64" spans="1:20" x14ac:dyDescent="0.2">
      <c r="A64" s="1178"/>
      <c r="B64" s="1298"/>
      <c r="C64" s="1180"/>
      <c r="D64" s="1241"/>
      <c r="E64" s="1218"/>
      <c r="F64" s="1220"/>
      <c r="G64" s="1171"/>
      <c r="H64" s="373"/>
      <c r="I64" s="687"/>
      <c r="J64" s="655"/>
      <c r="K64" s="655"/>
      <c r="L64" s="688"/>
      <c r="M64" s="689"/>
      <c r="N64" s="656"/>
      <c r="O64" s="656"/>
      <c r="P64" s="657"/>
      <c r="Q64" s="1060"/>
      <c r="R64" s="656"/>
      <c r="S64" s="656"/>
      <c r="T64" s="657"/>
    </row>
    <row r="65" spans="1:20" ht="25.5" x14ac:dyDescent="0.2">
      <c r="A65" s="1035"/>
      <c r="B65" s="1041"/>
      <c r="C65" s="1051"/>
      <c r="D65" s="117" t="s">
        <v>130</v>
      </c>
      <c r="E65" s="1052"/>
      <c r="F65" s="1043"/>
      <c r="G65" s="1039"/>
      <c r="H65" s="14"/>
      <c r="I65" s="684"/>
      <c r="J65" s="635"/>
      <c r="K65" s="635"/>
      <c r="L65" s="685"/>
      <c r="M65" s="636"/>
      <c r="N65" s="637"/>
      <c r="O65" s="637"/>
      <c r="P65" s="617"/>
      <c r="Q65" s="686"/>
      <c r="R65" s="637"/>
      <c r="S65" s="637"/>
      <c r="T65" s="617"/>
    </row>
    <row r="66" spans="1:20" ht="18.75" customHeight="1" x14ac:dyDescent="0.2">
      <c r="A66" s="1178"/>
      <c r="B66" s="1298"/>
      <c r="C66" s="1180"/>
      <c r="D66" s="1164" t="s">
        <v>131</v>
      </c>
      <c r="E66" s="1218"/>
      <c r="F66" s="1220"/>
      <c r="G66" s="1171"/>
      <c r="H66" s="144"/>
      <c r="I66" s="690"/>
      <c r="J66" s="649"/>
      <c r="K66" s="649"/>
      <c r="L66" s="691"/>
      <c r="M66" s="651"/>
      <c r="N66" s="652"/>
      <c r="O66" s="652"/>
      <c r="P66" s="653"/>
      <c r="Q66" s="692"/>
      <c r="R66" s="652"/>
      <c r="S66" s="652"/>
      <c r="T66" s="653"/>
    </row>
    <row r="67" spans="1:20" ht="13.5" thickBot="1" x14ac:dyDescent="0.25">
      <c r="A67" s="1256"/>
      <c r="B67" s="1299"/>
      <c r="C67" s="1258"/>
      <c r="D67" s="1260"/>
      <c r="E67" s="1261"/>
      <c r="F67" s="1262"/>
      <c r="G67" s="1254"/>
      <c r="H67" s="282" t="s">
        <v>10</v>
      </c>
      <c r="I67" s="694">
        <f>SUM(I54:I66)</f>
        <v>8489.5</v>
      </c>
      <c r="J67" s="694">
        <f>SUM(J54:J66)</f>
        <v>8489.5</v>
      </c>
      <c r="K67" s="694">
        <f>SUM(K54:K66)</f>
        <v>0</v>
      </c>
      <c r="L67" s="694">
        <f>SUM(L54:L66)</f>
        <v>0</v>
      </c>
      <c r="M67" s="726">
        <f t="shared" ref="M67:R67" si="4">M54+M63+M55</f>
        <v>8624.4</v>
      </c>
      <c r="N67" s="726">
        <f t="shared" si="4"/>
        <v>8624.4</v>
      </c>
      <c r="O67" s="726">
        <f t="shared" si="4"/>
        <v>0</v>
      </c>
      <c r="P67" s="726">
        <f t="shared" si="4"/>
        <v>0</v>
      </c>
      <c r="Q67" s="979">
        <f t="shared" si="4"/>
        <v>134.89999999999964</v>
      </c>
      <c r="R67" s="979">
        <f t="shared" si="4"/>
        <v>134.89999999999964</v>
      </c>
      <c r="S67" s="713"/>
      <c r="T67" s="777"/>
    </row>
    <row r="68" spans="1:20" ht="25.5" customHeight="1" x14ac:dyDescent="0.2">
      <c r="A68" s="1234" t="s">
        <v>9</v>
      </c>
      <c r="B68" s="1297" t="s">
        <v>9</v>
      </c>
      <c r="C68" s="1236" t="s">
        <v>53</v>
      </c>
      <c r="D68" s="1259" t="s">
        <v>165</v>
      </c>
      <c r="E68" s="1237"/>
      <c r="F68" s="1238" t="s">
        <v>37</v>
      </c>
      <c r="G68" s="1233" t="s">
        <v>94</v>
      </c>
      <c r="H68" s="13" t="s">
        <v>35</v>
      </c>
      <c r="I68" s="720">
        <f>J68+L68</f>
        <v>610.4</v>
      </c>
      <c r="J68" s="721">
        <v>610.4</v>
      </c>
      <c r="K68" s="721"/>
      <c r="L68" s="722"/>
      <c r="M68" s="700">
        <f>N68+P68</f>
        <v>610.4</v>
      </c>
      <c r="N68" s="723">
        <v>610.4</v>
      </c>
      <c r="O68" s="723"/>
      <c r="P68" s="724"/>
      <c r="Q68" s="701"/>
      <c r="R68" s="723"/>
      <c r="S68" s="723"/>
      <c r="T68" s="724"/>
    </row>
    <row r="69" spans="1:20" ht="25.5" customHeight="1" x14ac:dyDescent="0.2">
      <c r="A69" s="1178"/>
      <c r="B69" s="1298"/>
      <c r="C69" s="1180"/>
      <c r="D69" s="1213"/>
      <c r="E69" s="1218"/>
      <c r="F69" s="1220"/>
      <c r="G69" s="1171"/>
      <c r="H69" s="23"/>
      <c r="I69" s="725">
        <f>J69+L69</f>
        <v>0</v>
      </c>
      <c r="J69" s="635"/>
      <c r="K69" s="635"/>
      <c r="L69" s="685"/>
      <c r="M69" s="677">
        <f>N69+P69</f>
        <v>0</v>
      </c>
      <c r="N69" s="637"/>
      <c r="O69" s="637"/>
      <c r="P69" s="617"/>
      <c r="Q69" s="680"/>
      <c r="R69" s="637"/>
      <c r="S69" s="637"/>
      <c r="T69" s="617"/>
    </row>
    <row r="70" spans="1:20" ht="13.5" customHeight="1" thickBot="1" x14ac:dyDescent="0.25">
      <c r="A70" s="1256"/>
      <c r="B70" s="1299"/>
      <c r="C70" s="1258"/>
      <c r="D70" s="1260"/>
      <c r="E70" s="1261"/>
      <c r="F70" s="1262"/>
      <c r="G70" s="1254"/>
      <c r="H70" s="282" t="s">
        <v>10</v>
      </c>
      <c r="I70" s="726">
        <f t="shared" ref="I70:P70" si="5">SUM(I68:I69)</f>
        <v>610.4</v>
      </c>
      <c r="J70" s="694">
        <f t="shared" si="5"/>
        <v>610.4</v>
      </c>
      <c r="K70" s="694">
        <f t="shared" si="5"/>
        <v>0</v>
      </c>
      <c r="L70" s="695">
        <f t="shared" si="5"/>
        <v>0</v>
      </c>
      <c r="M70" s="696">
        <f t="shared" si="5"/>
        <v>610.4</v>
      </c>
      <c r="N70" s="697">
        <f t="shared" si="5"/>
        <v>610.4</v>
      </c>
      <c r="O70" s="697">
        <f t="shared" si="5"/>
        <v>0</v>
      </c>
      <c r="P70" s="727">
        <f t="shared" si="5"/>
        <v>0</v>
      </c>
      <c r="Q70" s="697"/>
      <c r="R70" s="697"/>
      <c r="S70" s="697"/>
      <c r="T70" s="727"/>
    </row>
    <row r="71" spans="1:20" ht="12.75" customHeight="1" x14ac:dyDescent="0.2">
      <c r="A71" s="1234" t="s">
        <v>9</v>
      </c>
      <c r="B71" s="1297" t="s">
        <v>9</v>
      </c>
      <c r="C71" s="1236" t="s">
        <v>40</v>
      </c>
      <c r="D71" s="1268" t="s">
        <v>152</v>
      </c>
      <c r="E71" s="1271" t="s">
        <v>90</v>
      </c>
      <c r="F71" s="1238" t="s">
        <v>53</v>
      </c>
      <c r="G71" s="1027" t="s">
        <v>89</v>
      </c>
      <c r="H71" s="13" t="s">
        <v>35</v>
      </c>
      <c r="I71" s="698">
        <f>J71+L71</f>
        <v>3.5</v>
      </c>
      <c r="J71" s="721">
        <f>1.9+1.6</f>
        <v>3.5</v>
      </c>
      <c r="K71" s="721"/>
      <c r="L71" s="722"/>
      <c r="M71" s="700">
        <f>N71+P71</f>
        <v>3.5</v>
      </c>
      <c r="N71" s="723">
        <f>1.9+1.6</f>
        <v>3.5</v>
      </c>
      <c r="O71" s="723"/>
      <c r="P71" s="724"/>
      <c r="Q71" s="701"/>
      <c r="R71" s="723"/>
      <c r="S71" s="723"/>
      <c r="T71" s="724"/>
    </row>
    <row r="72" spans="1:20" ht="12.75" customHeight="1" x14ac:dyDescent="0.2">
      <c r="A72" s="1178"/>
      <c r="B72" s="1298"/>
      <c r="C72" s="1180"/>
      <c r="D72" s="1269"/>
      <c r="E72" s="1272"/>
      <c r="F72" s="1220"/>
      <c r="G72" s="1039"/>
      <c r="H72" s="23" t="s">
        <v>87</v>
      </c>
      <c r="I72" s="674">
        <f>J72+L72</f>
        <v>598.79999999999995</v>
      </c>
      <c r="J72" s="649"/>
      <c r="K72" s="649"/>
      <c r="L72" s="691">
        <v>598.79999999999995</v>
      </c>
      <c r="M72" s="677">
        <f>N72+P72</f>
        <v>598.79999999999995</v>
      </c>
      <c r="N72" s="652"/>
      <c r="O72" s="652"/>
      <c r="P72" s="653">
        <v>598.79999999999995</v>
      </c>
      <c r="Q72" s="680"/>
      <c r="R72" s="678"/>
      <c r="S72" s="678"/>
      <c r="T72" s="653"/>
    </row>
    <row r="73" spans="1:20" ht="14.25" customHeight="1" x14ac:dyDescent="0.2">
      <c r="A73" s="1178"/>
      <c r="B73" s="1298"/>
      <c r="C73" s="1180"/>
      <c r="D73" s="1269"/>
      <c r="E73" s="47"/>
      <c r="F73" s="1220"/>
      <c r="G73" s="1056" t="s">
        <v>201</v>
      </c>
      <c r="H73" s="144" t="s">
        <v>91</v>
      </c>
      <c r="I73" s="648">
        <f>J73+L73</f>
        <v>15.5</v>
      </c>
      <c r="J73" s="635">
        <v>15.5</v>
      </c>
      <c r="K73" s="635">
        <v>10</v>
      </c>
      <c r="L73" s="383"/>
      <c r="M73" s="651">
        <f>N73+P73</f>
        <v>15.5</v>
      </c>
      <c r="N73" s="637">
        <v>15.5</v>
      </c>
      <c r="O73" s="1128">
        <v>10</v>
      </c>
      <c r="P73" s="617"/>
      <c r="Q73" s="692"/>
      <c r="R73" s="692"/>
      <c r="S73" s="692"/>
      <c r="T73" s="617"/>
    </row>
    <row r="74" spans="1:20" ht="14.25" customHeight="1" x14ac:dyDescent="0.2">
      <c r="A74" s="1178"/>
      <c r="B74" s="1298"/>
      <c r="C74" s="1180"/>
      <c r="D74" s="1269"/>
      <c r="E74" s="47"/>
      <c r="F74" s="1220"/>
      <c r="G74" s="1039"/>
      <c r="H74" s="23" t="s">
        <v>35</v>
      </c>
      <c r="I74" s="725">
        <f>J74+L74</f>
        <v>0.5</v>
      </c>
      <c r="J74" s="675">
        <v>0.5</v>
      </c>
      <c r="K74" s="675">
        <v>0.3</v>
      </c>
      <c r="L74" s="748"/>
      <c r="M74" s="677">
        <f>N74+P74</f>
        <v>9.1</v>
      </c>
      <c r="N74" s="678">
        <v>9.1</v>
      </c>
      <c r="O74" s="678">
        <v>6.9</v>
      </c>
      <c r="P74" s="679"/>
      <c r="Q74" s="1107">
        <f>M74-I74</f>
        <v>8.6</v>
      </c>
      <c r="R74" s="1107">
        <f>N74-J74</f>
        <v>8.6</v>
      </c>
      <c r="S74" s="680"/>
      <c r="T74" s="679"/>
    </row>
    <row r="75" spans="1:20" ht="14.25" customHeight="1" x14ac:dyDescent="0.2">
      <c r="A75" s="1178"/>
      <c r="B75" s="1298"/>
      <c r="C75" s="1180"/>
      <c r="D75" s="1269"/>
      <c r="E75" s="47"/>
      <c r="F75" s="1220"/>
      <c r="G75" s="1039"/>
      <c r="H75" s="14" t="s">
        <v>129</v>
      </c>
      <c r="I75" s="634">
        <f>J75</f>
        <v>1.3</v>
      </c>
      <c r="J75" s="635">
        <v>1.3</v>
      </c>
      <c r="K75" s="635"/>
      <c r="L75" s="383"/>
      <c r="M75" s="636">
        <f>N75</f>
        <v>1.3</v>
      </c>
      <c r="N75" s="637">
        <v>1.3</v>
      </c>
      <c r="O75" s="637"/>
      <c r="P75" s="617"/>
      <c r="Q75" s="686"/>
      <c r="R75" s="686"/>
      <c r="S75" s="637"/>
      <c r="T75" s="617"/>
    </row>
    <row r="76" spans="1:20" ht="16.5" customHeight="1" thickBot="1" x14ac:dyDescent="0.25">
      <c r="A76" s="1256"/>
      <c r="B76" s="1299"/>
      <c r="C76" s="1258"/>
      <c r="D76" s="1270"/>
      <c r="E76" s="48"/>
      <c r="F76" s="1262"/>
      <c r="G76" s="1028"/>
      <c r="H76" s="282" t="s">
        <v>10</v>
      </c>
      <c r="I76" s="694">
        <f t="shared" ref="I76:S76" si="6">SUM(I71:I75)</f>
        <v>619.59999999999991</v>
      </c>
      <c r="J76" s="694">
        <f t="shared" si="6"/>
        <v>20.8</v>
      </c>
      <c r="K76" s="694">
        <f t="shared" si="6"/>
        <v>10.3</v>
      </c>
      <c r="L76" s="695">
        <f t="shared" si="6"/>
        <v>598.79999999999995</v>
      </c>
      <c r="M76" s="726">
        <f t="shared" si="6"/>
        <v>628.19999999999993</v>
      </c>
      <c r="N76" s="694">
        <f t="shared" si="6"/>
        <v>29.400000000000002</v>
      </c>
      <c r="O76" s="694">
        <f t="shared" si="6"/>
        <v>16.899999999999999</v>
      </c>
      <c r="P76" s="753">
        <f t="shared" si="6"/>
        <v>598.79999999999995</v>
      </c>
      <c r="Q76" s="753">
        <f t="shared" si="6"/>
        <v>8.6</v>
      </c>
      <c r="R76" s="753">
        <f t="shared" si="6"/>
        <v>8.6</v>
      </c>
      <c r="S76" s="753">
        <f t="shared" si="6"/>
        <v>0</v>
      </c>
      <c r="T76" s="753"/>
    </row>
    <row r="77" spans="1:20" ht="12.75" customHeight="1" x14ac:dyDescent="0.2">
      <c r="A77" s="1234" t="s">
        <v>9</v>
      </c>
      <c r="B77" s="1297" t="s">
        <v>9</v>
      </c>
      <c r="C77" s="1236" t="s">
        <v>54</v>
      </c>
      <c r="D77" s="1259" t="s">
        <v>128</v>
      </c>
      <c r="E77" s="1237"/>
      <c r="F77" s="1238" t="s">
        <v>53</v>
      </c>
      <c r="G77" s="1027" t="s">
        <v>39</v>
      </c>
      <c r="H77" s="13" t="s">
        <v>35</v>
      </c>
      <c r="I77" s="720">
        <f>J77+L77</f>
        <v>150</v>
      </c>
      <c r="J77" s="721">
        <v>150</v>
      </c>
      <c r="K77" s="721"/>
      <c r="L77" s="722"/>
      <c r="M77" s="700">
        <f>N77+P77</f>
        <v>250</v>
      </c>
      <c r="N77" s="723">
        <v>250</v>
      </c>
      <c r="O77" s="723"/>
      <c r="P77" s="724"/>
      <c r="Q77" s="703">
        <f>M77-I77</f>
        <v>100</v>
      </c>
      <c r="R77" s="703">
        <f>N77-J77</f>
        <v>100</v>
      </c>
      <c r="S77" s="723"/>
      <c r="T77" s="724"/>
    </row>
    <row r="78" spans="1:20" ht="13.5" thickBot="1" x14ac:dyDescent="0.25">
      <c r="A78" s="1256"/>
      <c r="B78" s="1299"/>
      <c r="C78" s="1258"/>
      <c r="D78" s="1260"/>
      <c r="E78" s="1261"/>
      <c r="F78" s="1262"/>
      <c r="G78" s="1028"/>
      <c r="H78" s="282" t="s">
        <v>10</v>
      </c>
      <c r="I78" s="694">
        <f t="shared" ref="I78:R78" si="7">SUM(I77:I77)</f>
        <v>150</v>
      </c>
      <c r="J78" s="713">
        <f t="shared" si="7"/>
        <v>150</v>
      </c>
      <c r="K78" s="713">
        <f t="shared" si="7"/>
        <v>0</v>
      </c>
      <c r="L78" s="718">
        <f t="shared" si="7"/>
        <v>0</v>
      </c>
      <c r="M78" s="726">
        <f t="shared" si="7"/>
        <v>250</v>
      </c>
      <c r="N78" s="713">
        <f t="shared" si="7"/>
        <v>250</v>
      </c>
      <c r="O78" s="713">
        <f t="shared" si="7"/>
        <v>0</v>
      </c>
      <c r="P78" s="777">
        <f t="shared" si="7"/>
        <v>0</v>
      </c>
      <c r="Q78" s="1078">
        <f t="shared" si="7"/>
        <v>100</v>
      </c>
      <c r="R78" s="1078">
        <f t="shared" si="7"/>
        <v>100</v>
      </c>
      <c r="S78" s="713"/>
      <c r="T78" s="777"/>
    </row>
    <row r="79" spans="1:20" ht="16.5" customHeight="1" x14ac:dyDescent="0.2">
      <c r="A79" s="1234" t="s">
        <v>9</v>
      </c>
      <c r="B79" s="1297" t="s">
        <v>9</v>
      </c>
      <c r="C79" s="1290" t="s">
        <v>43</v>
      </c>
      <c r="D79" s="1268" t="s">
        <v>231</v>
      </c>
      <c r="E79" s="1458" t="s">
        <v>167</v>
      </c>
      <c r="F79" s="1315" t="s">
        <v>52</v>
      </c>
      <c r="G79" s="1233" t="s">
        <v>89</v>
      </c>
      <c r="H79" s="10" t="s">
        <v>91</v>
      </c>
      <c r="I79" s="690">
        <f>J79+L79</f>
        <v>445</v>
      </c>
      <c r="J79" s="643"/>
      <c r="K79" s="643"/>
      <c r="L79" s="682">
        <v>445</v>
      </c>
      <c r="M79" s="651">
        <f>N79+P79</f>
        <v>445</v>
      </c>
      <c r="N79" s="646"/>
      <c r="O79" s="646"/>
      <c r="P79" s="647">
        <v>445</v>
      </c>
      <c r="Q79" s="692"/>
      <c r="R79" s="646"/>
      <c r="S79" s="646"/>
      <c r="T79" s="647"/>
    </row>
    <row r="80" spans="1:20" ht="16.5" customHeight="1" x14ac:dyDescent="0.2">
      <c r="A80" s="1178"/>
      <c r="B80" s="1298"/>
      <c r="C80" s="1275"/>
      <c r="D80" s="1269"/>
      <c r="E80" s="1395"/>
      <c r="F80" s="1408"/>
      <c r="G80" s="1171"/>
      <c r="H80" s="10" t="s">
        <v>35</v>
      </c>
      <c r="I80" s="690">
        <f>L80</f>
        <v>0.1</v>
      </c>
      <c r="J80" s="643"/>
      <c r="K80" s="643"/>
      <c r="L80" s="682">
        <v>0.1</v>
      </c>
      <c r="M80" s="651">
        <f>P80</f>
        <v>0.1</v>
      </c>
      <c r="N80" s="646"/>
      <c r="O80" s="646"/>
      <c r="P80" s="647">
        <v>0.1</v>
      </c>
      <c r="Q80" s="692"/>
      <c r="R80" s="646"/>
      <c r="S80" s="646"/>
      <c r="T80" s="647"/>
    </row>
    <row r="81" spans="1:20" ht="16.5" customHeight="1" x14ac:dyDescent="0.2">
      <c r="A81" s="1178"/>
      <c r="B81" s="1298"/>
      <c r="C81" s="1275"/>
      <c r="D81" s="1269"/>
      <c r="E81" s="1395"/>
      <c r="F81" s="1408"/>
      <c r="G81" s="1171"/>
      <c r="H81" s="10" t="s">
        <v>92</v>
      </c>
      <c r="I81" s="690">
        <f>J81+L81</f>
        <v>93.4</v>
      </c>
      <c r="J81" s="643"/>
      <c r="K81" s="643"/>
      <c r="L81" s="682">
        <v>93.4</v>
      </c>
      <c r="M81" s="651">
        <f>N81+P81</f>
        <v>93.4</v>
      </c>
      <c r="N81" s="646"/>
      <c r="O81" s="646"/>
      <c r="P81" s="647">
        <v>93.4</v>
      </c>
      <c r="Q81" s="692"/>
      <c r="R81" s="646"/>
      <c r="S81" s="646"/>
      <c r="T81" s="647"/>
    </row>
    <row r="82" spans="1:20" ht="13.5" thickBot="1" x14ac:dyDescent="0.25">
      <c r="A82" s="1256"/>
      <c r="B82" s="1299"/>
      <c r="C82" s="1291"/>
      <c r="D82" s="1270"/>
      <c r="E82" s="1396"/>
      <c r="F82" s="1316"/>
      <c r="G82" s="1254"/>
      <c r="H82" s="282" t="s">
        <v>10</v>
      </c>
      <c r="I82" s="694">
        <f t="shared" ref="I82:P82" si="8">SUM(I79:I81)</f>
        <v>538.5</v>
      </c>
      <c r="J82" s="694">
        <f t="shared" si="8"/>
        <v>0</v>
      </c>
      <c r="K82" s="694">
        <f t="shared" si="8"/>
        <v>0</v>
      </c>
      <c r="L82" s="695">
        <f t="shared" si="8"/>
        <v>538.5</v>
      </c>
      <c r="M82" s="726">
        <f t="shared" si="8"/>
        <v>538.5</v>
      </c>
      <c r="N82" s="694">
        <f t="shared" si="8"/>
        <v>0</v>
      </c>
      <c r="O82" s="694">
        <f t="shared" si="8"/>
        <v>0</v>
      </c>
      <c r="P82" s="753">
        <f t="shared" si="8"/>
        <v>538.5</v>
      </c>
      <c r="Q82" s="694"/>
      <c r="R82" s="694"/>
      <c r="S82" s="694"/>
      <c r="T82" s="753"/>
    </row>
    <row r="83" spans="1:20" ht="12.75" customHeight="1" x14ac:dyDescent="0.2">
      <c r="A83" s="366" t="s">
        <v>9</v>
      </c>
      <c r="B83" s="1084" t="s">
        <v>9</v>
      </c>
      <c r="C83" s="1089" t="s">
        <v>159</v>
      </c>
      <c r="D83" s="1268" t="s">
        <v>177</v>
      </c>
      <c r="E83" s="1091"/>
      <c r="F83" s="185"/>
      <c r="G83" s="189"/>
      <c r="H83" s="462" t="s">
        <v>35</v>
      </c>
      <c r="I83" s="720">
        <f>J83+L83</f>
        <v>69.2</v>
      </c>
      <c r="J83" s="721">
        <v>19.2</v>
      </c>
      <c r="K83" s="721"/>
      <c r="L83" s="722">
        <v>50</v>
      </c>
      <c r="M83" s="700">
        <f>N83+P83</f>
        <v>69.2</v>
      </c>
      <c r="N83" s="723">
        <v>19.2</v>
      </c>
      <c r="O83" s="723"/>
      <c r="P83" s="724">
        <v>50</v>
      </c>
      <c r="Q83" s="701"/>
      <c r="R83" s="723"/>
      <c r="S83" s="723"/>
      <c r="T83" s="724"/>
    </row>
    <row r="84" spans="1:20" ht="12.75" customHeight="1" x14ac:dyDescent="0.2">
      <c r="A84" s="92"/>
      <c r="B84" s="1086"/>
      <c r="C84" s="1087"/>
      <c r="D84" s="1533"/>
      <c r="E84" s="1092"/>
      <c r="F84" s="195"/>
      <c r="G84" s="196"/>
      <c r="H84" s="463" t="s">
        <v>87</v>
      </c>
      <c r="I84" s="725"/>
      <c r="J84" s="675"/>
      <c r="K84" s="675"/>
      <c r="L84" s="676"/>
      <c r="M84" s="677"/>
      <c r="N84" s="678"/>
      <c r="O84" s="678"/>
      <c r="P84" s="679"/>
      <c r="Q84" s="680"/>
      <c r="R84" s="678"/>
      <c r="S84" s="678"/>
      <c r="T84" s="679"/>
    </row>
    <row r="85" spans="1:20" ht="25.5" customHeight="1" x14ac:dyDescent="0.2">
      <c r="A85" s="92"/>
      <c r="B85" s="1086"/>
      <c r="C85" s="1087"/>
      <c r="D85" s="1098" t="s">
        <v>176</v>
      </c>
      <c r="E85" s="1093"/>
      <c r="F85" s="856" t="s">
        <v>40</v>
      </c>
      <c r="G85" s="857" t="s">
        <v>89</v>
      </c>
      <c r="H85" s="858" t="s">
        <v>91</v>
      </c>
      <c r="I85" s="642">
        <f>J85</f>
        <v>108.4</v>
      </c>
      <c r="J85" s="643">
        <v>108.4</v>
      </c>
      <c r="K85" s="643"/>
      <c r="L85" s="682"/>
      <c r="M85" s="645">
        <f>N85</f>
        <v>108.4</v>
      </c>
      <c r="N85" s="646">
        <v>108.4</v>
      </c>
      <c r="O85" s="646"/>
      <c r="P85" s="647"/>
      <c r="Q85" s="717"/>
      <c r="R85" s="646"/>
      <c r="S85" s="646"/>
      <c r="T85" s="647"/>
    </row>
    <row r="86" spans="1:20" ht="29.25" x14ac:dyDescent="0.2">
      <c r="A86" s="367"/>
      <c r="B86" s="446"/>
      <c r="C86" s="363"/>
      <c r="D86" s="1099" t="s">
        <v>170</v>
      </c>
      <c r="E86" s="1094" t="s">
        <v>180</v>
      </c>
      <c r="F86" s="1061"/>
      <c r="G86" s="1062"/>
      <c r="H86" s="464"/>
      <c r="I86" s="648"/>
      <c r="J86" s="649"/>
      <c r="K86" s="649"/>
      <c r="L86" s="691"/>
      <c r="M86" s="651"/>
      <c r="N86" s="652"/>
      <c r="O86" s="652"/>
      <c r="P86" s="653"/>
      <c r="Q86" s="692"/>
      <c r="R86" s="652"/>
      <c r="S86" s="652"/>
      <c r="T86" s="653"/>
    </row>
    <row r="87" spans="1:20" ht="38.25" x14ac:dyDescent="0.2">
      <c r="A87" s="364"/>
      <c r="B87" s="365"/>
      <c r="C87" s="363"/>
      <c r="D87" s="1100" t="s">
        <v>171</v>
      </c>
      <c r="E87" s="1095" t="s">
        <v>180</v>
      </c>
      <c r="F87" s="1063"/>
      <c r="G87" s="1064"/>
      <c r="H87" s="465"/>
      <c r="I87" s="634"/>
      <c r="J87" s="635"/>
      <c r="K87" s="635"/>
      <c r="L87" s="685"/>
      <c r="M87" s="636"/>
      <c r="N87" s="637"/>
      <c r="O87" s="637"/>
      <c r="P87" s="617"/>
      <c r="Q87" s="686"/>
      <c r="R87" s="637"/>
      <c r="S87" s="637"/>
      <c r="T87" s="617"/>
    </row>
    <row r="88" spans="1:20" ht="33" customHeight="1" x14ac:dyDescent="0.2">
      <c r="A88" s="364"/>
      <c r="B88" s="365"/>
      <c r="C88" s="363"/>
      <c r="D88" s="1099" t="s">
        <v>172</v>
      </c>
      <c r="E88" s="1096" t="s">
        <v>181</v>
      </c>
      <c r="F88" s="1063"/>
      <c r="G88" s="1064"/>
      <c r="H88" s="465"/>
      <c r="I88" s="634"/>
      <c r="J88" s="635"/>
      <c r="K88" s="635"/>
      <c r="L88" s="685"/>
      <c r="M88" s="636"/>
      <c r="N88" s="637"/>
      <c r="O88" s="637"/>
      <c r="P88" s="617"/>
      <c r="Q88" s="686"/>
      <c r="R88" s="637"/>
      <c r="S88" s="637"/>
      <c r="T88" s="617"/>
    </row>
    <row r="89" spans="1:20" ht="38.25" customHeight="1" x14ac:dyDescent="0.2">
      <c r="A89" s="364"/>
      <c r="B89" s="365"/>
      <c r="C89" s="363"/>
      <c r="D89" s="1099" t="s">
        <v>173</v>
      </c>
      <c r="E89" s="1097"/>
      <c r="F89" s="1061"/>
      <c r="G89" s="1062"/>
      <c r="H89" s="466"/>
      <c r="I89" s="669"/>
      <c r="J89" s="638"/>
      <c r="K89" s="638"/>
      <c r="L89" s="709"/>
      <c r="M89" s="670"/>
      <c r="N89" s="640"/>
      <c r="O89" s="640"/>
      <c r="P89" s="641"/>
      <c r="Q89" s="716"/>
      <c r="R89" s="640"/>
      <c r="S89" s="640"/>
      <c r="T89" s="641"/>
    </row>
    <row r="90" spans="1:20" ht="12.75" customHeight="1" x14ac:dyDescent="0.2">
      <c r="A90" s="1178"/>
      <c r="B90" s="1534"/>
      <c r="C90" s="1275"/>
      <c r="D90" s="1535" t="s">
        <v>163</v>
      </c>
      <c r="E90" s="1530" t="s">
        <v>90</v>
      </c>
      <c r="F90" s="1537" t="s">
        <v>52</v>
      </c>
      <c r="G90" s="1474" t="s">
        <v>89</v>
      </c>
      <c r="H90" s="467"/>
      <c r="I90" s="642"/>
      <c r="J90" s="643"/>
      <c r="K90" s="643"/>
      <c r="L90" s="682"/>
      <c r="M90" s="645"/>
      <c r="N90" s="646"/>
      <c r="O90" s="646"/>
      <c r="P90" s="647"/>
      <c r="Q90" s="717"/>
      <c r="R90" s="646"/>
      <c r="S90" s="646"/>
      <c r="T90" s="647"/>
    </row>
    <row r="91" spans="1:20" x14ac:dyDescent="0.2">
      <c r="A91" s="1178"/>
      <c r="B91" s="1534"/>
      <c r="C91" s="1275"/>
      <c r="D91" s="1283"/>
      <c r="E91" s="1531"/>
      <c r="F91" s="1408"/>
      <c r="G91" s="1171"/>
      <c r="H91" s="468"/>
      <c r="I91" s="634"/>
      <c r="J91" s="635"/>
      <c r="K91" s="635"/>
      <c r="L91" s="685"/>
      <c r="M91" s="636"/>
      <c r="N91" s="637"/>
      <c r="O91" s="637"/>
      <c r="P91" s="617"/>
      <c r="Q91" s="686"/>
      <c r="R91" s="637"/>
      <c r="S91" s="637"/>
      <c r="T91" s="617"/>
    </row>
    <row r="92" spans="1:20" x14ac:dyDescent="0.2">
      <c r="A92" s="1178"/>
      <c r="B92" s="1534"/>
      <c r="C92" s="1275"/>
      <c r="D92" s="1283"/>
      <c r="E92" s="1531"/>
      <c r="F92" s="1408"/>
      <c r="G92" s="1171"/>
      <c r="H92" s="468"/>
      <c r="I92" s="634"/>
      <c r="J92" s="635"/>
      <c r="K92" s="635"/>
      <c r="L92" s="685"/>
      <c r="M92" s="636"/>
      <c r="N92" s="637"/>
      <c r="O92" s="637"/>
      <c r="P92" s="617"/>
      <c r="Q92" s="686"/>
      <c r="R92" s="637"/>
      <c r="S92" s="637"/>
      <c r="T92" s="617"/>
    </row>
    <row r="93" spans="1:20" x14ac:dyDescent="0.2">
      <c r="A93" s="1178"/>
      <c r="B93" s="1534"/>
      <c r="C93" s="1275"/>
      <c r="D93" s="1284"/>
      <c r="E93" s="1536"/>
      <c r="F93" s="1538"/>
      <c r="G93" s="1210"/>
      <c r="H93" s="469"/>
      <c r="I93" s="669"/>
      <c r="J93" s="708"/>
      <c r="K93" s="708"/>
      <c r="L93" s="729"/>
      <c r="M93" s="670"/>
      <c r="N93" s="716"/>
      <c r="O93" s="716"/>
      <c r="P93" s="730"/>
      <c r="Q93" s="716"/>
      <c r="R93" s="716"/>
      <c r="S93" s="716"/>
      <c r="T93" s="730"/>
    </row>
    <row r="94" spans="1:20" ht="41.25" customHeight="1" x14ac:dyDescent="0.2">
      <c r="A94" s="1178"/>
      <c r="B94" s="1298"/>
      <c r="C94" s="1275"/>
      <c r="D94" s="1090" t="s">
        <v>190</v>
      </c>
      <c r="E94" s="1530" t="s">
        <v>90</v>
      </c>
      <c r="F94" s="1473" t="s">
        <v>43</v>
      </c>
      <c r="G94" s="1474" t="s">
        <v>89</v>
      </c>
      <c r="H94" s="361"/>
      <c r="I94" s="642"/>
      <c r="J94" s="643"/>
      <c r="K94" s="643"/>
      <c r="L94" s="682"/>
      <c r="M94" s="645"/>
      <c r="N94" s="646"/>
      <c r="O94" s="646"/>
      <c r="P94" s="647"/>
      <c r="Q94" s="717"/>
      <c r="R94" s="646"/>
      <c r="S94" s="646"/>
      <c r="T94" s="647"/>
    </row>
    <row r="95" spans="1:20" ht="39" customHeight="1" x14ac:dyDescent="0.2">
      <c r="A95" s="1178"/>
      <c r="B95" s="1298"/>
      <c r="C95" s="1275"/>
      <c r="D95" s="1101" t="s">
        <v>243</v>
      </c>
      <c r="E95" s="1531"/>
      <c r="F95" s="1220"/>
      <c r="G95" s="1171"/>
      <c r="H95" s="134"/>
      <c r="I95" s="634"/>
      <c r="J95" s="635"/>
      <c r="K95" s="635"/>
      <c r="L95" s="685"/>
      <c r="M95" s="636"/>
      <c r="N95" s="637"/>
      <c r="O95" s="637"/>
      <c r="P95" s="617"/>
      <c r="Q95" s="686"/>
      <c r="R95" s="637"/>
      <c r="S95" s="637"/>
      <c r="T95" s="617"/>
    </row>
    <row r="96" spans="1:20" ht="13.5" customHeight="1" thickBot="1" x14ac:dyDescent="0.25">
      <c r="A96" s="1256"/>
      <c r="B96" s="1299"/>
      <c r="C96" s="1291"/>
      <c r="D96" s="1085"/>
      <c r="E96" s="1532"/>
      <c r="F96" s="1262"/>
      <c r="G96" s="1254"/>
      <c r="H96" s="273" t="s">
        <v>10</v>
      </c>
      <c r="I96" s="731">
        <f t="shared" ref="I96:P96" si="9">I85+I83</f>
        <v>177.60000000000002</v>
      </c>
      <c r="J96" s="658">
        <f t="shared" si="9"/>
        <v>127.60000000000001</v>
      </c>
      <c r="K96" s="658">
        <f t="shared" si="9"/>
        <v>0</v>
      </c>
      <c r="L96" s="732">
        <f t="shared" si="9"/>
        <v>50</v>
      </c>
      <c r="M96" s="731">
        <f t="shared" si="9"/>
        <v>177.60000000000002</v>
      </c>
      <c r="N96" s="658">
        <f t="shared" si="9"/>
        <v>127.60000000000001</v>
      </c>
      <c r="O96" s="658">
        <f t="shared" si="9"/>
        <v>0</v>
      </c>
      <c r="P96" s="659">
        <f t="shared" si="9"/>
        <v>50</v>
      </c>
      <c r="Q96" s="778"/>
      <c r="R96" s="658"/>
      <c r="S96" s="658"/>
      <c r="T96" s="659"/>
    </row>
    <row r="97" spans="1:23" ht="13.5" thickBot="1" x14ac:dyDescent="0.25">
      <c r="A97" s="91" t="s">
        <v>9</v>
      </c>
      <c r="B97" s="9" t="s">
        <v>9</v>
      </c>
      <c r="C97" s="1317" t="s">
        <v>12</v>
      </c>
      <c r="D97" s="1292"/>
      <c r="E97" s="1292"/>
      <c r="F97" s="1292"/>
      <c r="G97" s="1292"/>
      <c r="H97" s="1292"/>
      <c r="I97" s="733">
        <f t="shared" ref="I97:T97" si="10">I96+I82+I78+I76+I70+I67+I53+I38+I28</f>
        <v>20681.099999999999</v>
      </c>
      <c r="J97" s="734">
        <f t="shared" si="10"/>
        <v>18676.8</v>
      </c>
      <c r="K97" s="734">
        <f t="shared" si="10"/>
        <v>823.30000000000007</v>
      </c>
      <c r="L97" s="735">
        <f t="shared" si="10"/>
        <v>2004.3</v>
      </c>
      <c r="M97" s="736">
        <f t="shared" si="10"/>
        <v>20935.699999999997</v>
      </c>
      <c r="N97" s="734">
        <f t="shared" si="10"/>
        <v>18931.400000000001</v>
      </c>
      <c r="O97" s="734">
        <f t="shared" si="10"/>
        <v>830.7</v>
      </c>
      <c r="P97" s="735">
        <f t="shared" si="10"/>
        <v>2004.3</v>
      </c>
      <c r="Q97" s="733">
        <f t="shared" si="10"/>
        <v>254.59999999999954</v>
      </c>
      <c r="R97" s="734">
        <f t="shared" si="10"/>
        <v>254.59999999999954</v>
      </c>
      <c r="S97" s="734">
        <f t="shared" si="10"/>
        <v>0.79999999999995453</v>
      </c>
      <c r="T97" s="735">
        <f t="shared" si="10"/>
        <v>0</v>
      </c>
    </row>
    <row r="98" spans="1:23" ht="13.5" customHeight="1" thickBot="1" x14ac:dyDescent="0.25">
      <c r="A98" s="91" t="s">
        <v>9</v>
      </c>
      <c r="B98" s="9" t="s">
        <v>11</v>
      </c>
      <c r="C98" s="1293" t="s">
        <v>70</v>
      </c>
      <c r="D98" s="1294"/>
      <c r="E98" s="1294"/>
      <c r="F98" s="1294"/>
      <c r="G98" s="1294"/>
      <c r="H98" s="1294"/>
      <c r="I98" s="1295"/>
      <c r="J98" s="1295"/>
      <c r="K98" s="1295"/>
      <c r="L98" s="1295"/>
      <c r="M98" s="1529"/>
      <c r="N98" s="1529"/>
      <c r="O98" s="1529"/>
      <c r="P98" s="1529"/>
      <c r="Q98" s="1294"/>
      <c r="R98" s="1294"/>
      <c r="S98" s="1294"/>
      <c r="T98" s="1296"/>
    </row>
    <row r="99" spans="1:23" ht="17.25" customHeight="1" x14ac:dyDescent="0.2">
      <c r="A99" s="1234" t="s">
        <v>9</v>
      </c>
      <c r="B99" s="1297" t="s">
        <v>11</v>
      </c>
      <c r="C99" s="1300" t="s">
        <v>9</v>
      </c>
      <c r="D99" s="1303" t="s">
        <v>107</v>
      </c>
      <c r="E99" s="1526"/>
      <c r="F99" s="1315" t="s">
        <v>53</v>
      </c>
      <c r="G99" s="1233" t="s">
        <v>39</v>
      </c>
      <c r="H99" s="17" t="s">
        <v>35</v>
      </c>
      <c r="I99" s="720">
        <f>J99+L99</f>
        <v>513.5</v>
      </c>
      <c r="J99" s="721">
        <v>513.5</v>
      </c>
      <c r="K99" s="721"/>
      <c r="L99" s="722"/>
      <c r="M99" s="700">
        <f>N99+P99</f>
        <v>553.5</v>
      </c>
      <c r="N99" s="723">
        <v>553.5</v>
      </c>
      <c r="O99" s="723"/>
      <c r="P99" s="724"/>
      <c r="Q99" s="1082">
        <f>M99-I99</f>
        <v>40</v>
      </c>
      <c r="R99" s="992">
        <f>N99-J99</f>
        <v>40</v>
      </c>
      <c r="S99" s="723"/>
      <c r="T99" s="724"/>
    </row>
    <row r="100" spans="1:23" ht="17.25" customHeight="1" x14ac:dyDescent="0.2">
      <c r="A100" s="1178"/>
      <c r="B100" s="1298"/>
      <c r="C100" s="1301"/>
      <c r="D100" s="1283"/>
      <c r="E100" s="1528"/>
      <c r="F100" s="1408"/>
      <c r="G100" s="1171"/>
      <c r="H100" s="24" t="s">
        <v>129</v>
      </c>
      <c r="I100" s="725">
        <f>J100+L100</f>
        <v>40.700000000000003</v>
      </c>
      <c r="J100" s="635">
        <v>40.700000000000003</v>
      </c>
      <c r="K100" s="635"/>
      <c r="L100" s="685"/>
      <c r="M100" s="737">
        <f>N100+P100</f>
        <v>40.700000000000003</v>
      </c>
      <c r="N100" s="749">
        <v>40.700000000000003</v>
      </c>
      <c r="O100" s="678"/>
      <c r="P100" s="679"/>
      <c r="Q100" s="1083"/>
      <c r="R100" s="1007"/>
      <c r="S100" s="646"/>
      <c r="T100" s="617"/>
    </row>
    <row r="101" spans="1:23" ht="21.75" customHeight="1" thickBot="1" x14ac:dyDescent="0.25">
      <c r="A101" s="1256"/>
      <c r="B101" s="1299"/>
      <c r="C101" s="1302"/>
      <c r="D101" s="1304"/>
      <c r="E101" s="1527"/>
      <c r="F101" s="1316"/>
      <c r="G101" s="1254"/>
      <c r="H101" s="282" t="s">
        <v>10</v>
      </c>
      <c r="I101" s="694">
        <f t="shared" ref="I101:P101" si="11">SUM(I99:I100)</f>
        <v>554.20000000000005</v>
      </c>
      <c r="J101" s="713">
        <f t="shared" si="11"/>
        <v>554.20000000000005</v>
      </c>
      <c r="K101" s="713">
        <f t="shared" si="11"/>
        <v>0</v>
      </c>
      <c r="L101" s="718">
        <f t="shared" si="11"/>
        <v>0</v>
      </c>
      <c r="M101" s="731">
        <f t="shared" si="11"/>
        <v>594.20000000000005</v>
      </c>
      <c r="N101" s="658">
        <f t="shared" si="11"/>
        <v>594.20000000000005</v>
      </c>
      <c r="O101" s="658">
        <f t="shared" si="11"/>
        <v>0</v>
      </c>
      <c r="P101" s="659">
        <f t="shared" si="11"/>
        <v>0</v>
      </c>
      <c r="Q101" s="1102">
        <f>Q99</f>
        <v>40</v>
      </c>
      <c r="R101" s="980">
        <f>R99</f>
        <v>40</v>
      </c>
      <c r="S101" s="713"/>
      <c r="T101" s="777"/>
    </row>
    <row r="102" spans="1:23" ht="12.75" customHeight="1" x14ac:dyDescent="0.2">
      <c r="A102" s="1234" t="s">
        <v>9</v>
      </c>
      <c r="B102" s="1297" t="s">
        <v>11</v>
      </c>
      <c r="C102" s="1300" t="s">
        <v>11</v>
      </c>
      <c r="D102" s="1303" t="s">
        <v>74</v>
      </c>
      <c r="E102" s="1526"/>
      <c r="F102" s="1315" t="s">
        <v>53</v>
      </c>
      <c r="G102" s="1233" t="s">
        <v>39</v>
      </c>
      <c r="H102" s="17" t="s">
        <v>35</v>
      </c>
      <c r="I102" s="720">
        <f>J102</f>
        <v>0</v>
      </c>
      <c r="J102" s="721">
        <f>5-5</f>
        <v>0</v>
      </c>
      <c r="K102" s="721"/>
      <c r="L102" s="722"/>
      <c r="M102" s="700">
        <f>N102</f>
        <v>0</v>
      </c>
      <c r="N102" s="723">
        <f>5-5</f>
        <v>0</v>
      </c>
      <c r="O102" s="723"/>
      <c r="P102" s="724"/>
      <c r="Q102" s="739"/>
      <c r="R102" s="982"/>
      <c r="S102" s="723"/>
      <c r="T102" s="724"/>
    </row>
    <row r="103" spans="1:23" ht="12.75" customHeight="1" x14ac:dyDescent="0.2">
      <c r="A103" s="1178"/>
      <c r="B103" s="1298"/>
      <c r="C103" s="1301"/>
      <c r="D103" s="1283"/>
      <c r="E103" s="1528"/>
      <c r="F103" s="1408"/>
      <c r="G103" s="1171"/>
      <c r="H103" s="24" t="s">
        <v>129</v>
      </c>
      <c r="I103" s="725">
        <f>J103+L103</f>
        <v>2.5</v>
      </c>
      <c r="J103" s="635">
        <v>2.5</v>
      </c>
      <c r="K103" s="635"/>
      <c r="L103" s="685"/>
      <c r="M103" s="737">
        <f>N103+P103</f>
        <v>2.5</v>
      </c>
      <c r="N103" s="749">
        <v>2.5</v>
      </c>
      <c r="O103" s="678"/>
      <c r="P103" s="679"/>
      <c r="Q103" s="616"/>
      <c r="R103" s="627"/>
      <c r="S103" s="637"/>
      <c r="T103" s="617"/>
    </row>
    <row r="104" spans="1:23" ht="13.5" thickBot="1" x14ac:dyDescent="0.25">
      <c r="A104" s="1256"/>
      <c r="B104" s="1299"/>
      <c r="C104" s="1302"/>
      <c r="D104" s="1304"/>
      <c r="E104" s="1527"/>
      <c r="F104" s="1316"/>
      <c r="G104" s="1254"/>
      <c r="H104" s="282" t="s">
        <v>10</v>
      </c>
      <c r="I104" s="694">
        <f>SUM(I102:I103)</f>
        <v>2.5</v>
      </c>
      <c r="J104" s="694">
        <f t="shared" ref="J104:L104" si="12">SUM(J102:J103)</f>
        <v>2.5</v>
      </c>
      <c r="K104" s="694">
        <f t="shared" si="12"/>
        <v>0</v>
      </c>
      <c r="L104" s="695">
        <f t="shared" si="12"/>
        <v>0</v>
      </c>
      <c r="M104" s="731">
        <f t="shared" ref="M104:P104" si="13">SUM(M102:M103)</f>
        <v>2.5</v>
      </c>
      <c r="N104" s="658">
        <f t="shared" si="13"/>
        <v>2.5</v>
      </c>
      <c r="O104" s="658">
        <f t="shared" si="13"/>
        <v>0</v>
      </c>
      <c r="P104" s="659">
        <f t="shared" si="13"/>
        <v>0</v>
      </c>
      <c r="Q104" s="695"/>
      <c r="R104" s="718"/>
      <c r="S104" s="713"/>
      <c r="T104" s="777"/>
    </row>
    <row r="105" spans="1:23" ht="22.5" customHeight="1" x14ac:dyDescent="0.2">
      <c r="A105" s="1234" t="s">
        <v>9</v>
      </c>
      <c r="B105" s="1297" t="s">
        <v>11</v>
      </c>
      <c r="C105" s="1300" t="s">
        <v>37</v>
      </c>
      <c r="D105" s="1303" t="s">
        <v>103</v>
      </c>
      <c r="E105" s="1526"/>
      <c r="F105" s="1315" t="s">
        <v>53</v>
      </c>
      <c r="G105" s="1233" t="s">
        <v>39</v>
      </c>
      <c r="H105" s="423" t="s">
        <v>35</v>
      </c>
      <c r="I105" s="662">
        <f>J105+L105</f>
        <v>178.7</v>
      </c>
      <c r="J105" s="663">
        <f>90+88.7</f>
        <v>178.7</v>
      </c>
      <c r="K105" s="663"/>
      <c r="L105" s="673"/>
      <c r="M105" s="700">
        <f>N105+P105</f>
        <v>214.7</v>
      </c>
      <c r="N105" s="723">
        <v>214.7</v>
      </c>
      <c r="O105" s="723"/>
      <c r="P105" s="724"/>
      <c r="Q105" s="1082">
        <f>M105-I105</f>
        <v>36</v>
      </c>
      <c r="R105" s="1079">
        <f>N105-J105</f>
        <v>36</v>
      </c>
      <c r="S105" s="666"/>
      <c r="T105" s="667"/>
    </row>
    <row r="106" spans="1:23" ht="22.5" customHeight="1" x14ac:dyDescent="0.2">
      <c r="A106" s="1178"/>
      <c r="B106" s="1298"/>
      <c r="C106" s="1301"/>
      <c r="D106" s="1283"/>
      <c r="E106" s="1528"/>
      <c r="F106" s="1408"/>
      <c r="G106" s="1171"/>
      <c r="H106" s="24" t="s">
        <v>129</v>
      </c>
      <c r="I106" s="725">
        <f>J106+L106</f>
        <v>2.9</v>
      </c>
      <c r="J106" s="675">
        <v>2.9</v>
      </c>
      <c r="K106" s="675"/>
      <c r="L106" s="676"/>
      <c r="M106" s="737">
        <f>N106+P106</f>
        <v>2.9</v>
      </c>
      <c r="N106" s="749">
        <v>2.9</v>
      </c>
      <c r="O106" s="678"/>
      <c r="P106" s="679"/>
      <c r="Q106" s="1130"/>
      <c r="R106" s="1080"/>
      <c r="S106" s="678"/>
      <c r="T106" s="679"/>
    </row>
    <row r="107" spans="1:23" ht="21" customHeight="1" thickBot="1" x14ac:dyDescent="0.25">
      <c r="A107" s="1256"/>
      <c r="B107" s="1299"/>
      <c r="C107" s="1302"/>
      <c r="D107" s="1304"/>
      <c r="E107" s="1527"/>
      <c r="F107" s="1316"/>
      <c r="G107" s="1254"/>
      <c r="H107" s="282" t="s">
        <v>10</v>
      </c>
      <c r="I107" s="726">
        <f t="shared" ref="I107:J107" si="14">SUM(I105:I106)</f>
        <v>181.6</v>
      </c>
      <c r="J107" s="726">
        <f t="shared" si="14"/>
        <v>181.6</v>
      </c>
      <c r="K107" s="713">
        <f t="shared" ref="K107:P107" si="15">SUM(K105:K106)</f>
        <v>0</v>
      </c>
      <c r="L107" s="718">
        <f t="shared" si="15"/>
        <v>0</v>
      </c>
      <c r="M107" s="726">
        <f t="shared" si="15"/>
        <v>217.6</v>
      </c>
      <c r="N107" s="713">
        <f t="shared" si="15"/>
        <v>217.6</v>
      </c>
      <c r="O107" s="713">
        <f t="shared" si="15"/>
        <v>0</v>
      </c>
      <c r="P107" s="777">
        <f t="shared" si="15"/>
        <v>0</v>
      </c>
      <c r="Q107" s="1102">
        <f>Q105</f>
        <v>36</v>
      </c>
      <c r="R107" s="1081">
        <f>R105</f>
        <v>36</v>
      </c>
      <c r="S107" s="713"/>
      <c r="T107" s="777"/>
    </row>
    <row r="108" spans="1:23" ht="12.75" customHeight="1" x14ac:dyDescent="0.2">
      <c r="A108" s="1234" t="s">
        <v>9</v>
      </c>
      <c r="B108" s="1297" t="s">
        <v>11</v>
      </c>
      <c r="C108" s="1300" t="s">
        <v>52</v>
      </c>
      <c r="D108" s="1303" t="s">
        <v>79</v>
      </c>
      <c r="E108" s="1526"/>
      <c r="F108" s="1315" t="s">
        <v>53</v>
      </c>
      <c r="G108" s="1233" t="s">
        <v>39</v>
      </c>
      <c r="H108" s="17" t="s">
        <v>35</v>
      </c>
      <c r="I108" s="720">
        <f>J108+L108</f>
        <v>6</v>
      </c>
      <c r="J108" s="721">
        <v>6</v>
      </c>
      <c r="K108" s="721"/>
      <c r="L108" s="722"/>
      <c r="M108" s="651">
        <f>N108+P108</f>
        <v>0</v>
      </c>
      <c r="N108" s="652">
        <v>0</v>
      </c>
      <c r="O108" s="652"/>
      <c r="P108" s="653"/>
      <c r="Q108" s="1082">
        <f>M108-I108</f>
        <v>-6</v>
      </c>
      <c r="R108" s="1079">
        <f>N108-J108</f>
        <v>-6</v>
      </c>
      <c r="S108" s="723"/>
      <c r="T108" s="724"/>
    </row>
    <row r="109" spans="1:23" ht="13.5" customHeight="1" thickBot="1" x14ac:dyDescent="0.25">
      <c r="A109" s="1256"/>
      <c r="B109" s="1299"/>
      <c r="C109" s="1302"/>
      <c r="D109" s="1304"/>
      <c r="E109" s="1527"/>
      <c r="F109" s="1316"/>
      <c r="G109" s="1254"/>
      <c r="H109" s="282" t="s">
        <v>10</v>
      </c>
      <c r="I109" s="726">
        <f t="shared" ref="I109:J109" si="16">SUM(I108:I108)</f>
        <v>6</v>
      </c>
      <c r="J109" s="713">
        <f t="shared" si="16"/>
        <v>6</v>
      </c>
      <c r="K109" s="713">
        <f t="shared" ref="K109:R109" si="17">SUM(K108:K108)</f>
        <v>0</v>
      </c>
      <c r="L109" s="718">
        <f t="shared" si="17"/>
        <v>0</v>
      </c>
      <c r="M109" s="726">
        <f t="shared" si="17"/>
        <v>0</v>
      </c>
      <c r="N109" s="713">
        <f t="shared" si="17"/>
        <v>0</v>
      </c>
      <c r="O109" s="713">
        <f t="shared" si="17"/>
        <v>0</v>
      </c>
      <c r="P109" s="777">
        <f t="shared" si="17"/>
        <v>0</v>
      </c>
      <c r="Q109" s="1081">
        <f t="shared" si="17"/>
        <v>-6</v>
      </c>
      <c r="R109" s="1081">
        <f t="shared" si="17"/>
        <v>-6</v>
      </c>
      <c r="S109" s="713"/>
      <c r="T109" s="777"/>
    </row>
    <row r="110" spans="1:23" ht="12.75" customHeight="1" x14ac:dyDescent="0.2">
      <c r="A110" s="1234" t="s">
        <v>9</v>
      </c>
      <c r="B110" s="1297" t="s">
        <v>11</v>
      </c>
      <c r="C110" s="1300" t="s">
        <v>53</v>
      </c>
      <c r="D110" s="1311" t="s">
        <v>88</v>
      </c>
      <c r="E110" s="1271" t="s">
        <v>90</v>
      </c>
      <c r="F110" s="1315" t="s">
        <v>40</v>
      </c>
      <c r="G110" s="1233" t="s">
        <v>89</v>
      </c>
      <c r="H110" s="283" t="s">
        <v>35</v>
      </c>
      <c r="I110" s="720">
        <f>J110+L110</f>
        <v>75.2</v>
      </c>
      <c r="J110" s="721"/>
      <c r="K110" s="721"/>
      <c r="L110" s="722">
        <v>75.2</v>
      </c>
      <c r="M110" s="700">
        <f>N110+P110</f>
        <v>75.2</v>
      </c>
      <c r="N110" s="723"/>
      <c r="O110" s="723"/>
      <c r="P110" s="724">
        <v>75.2</v>
      </c>
      <c r="Q110" s="739"/>
      <c r="R110" s="982"/>
      <c r="S110" s="723"/>
      <c r="T110" s="724"/>
      <c r="U110" s="12"/>
      <c r="V110" s="12"/>
      <c r="W110" s="12"/>
    </row>
    <row r="111" spans="1:23" x14ac:dyDescent="0.2">
      <c r="A111" s="1178"/>
      <c r="B111" s="1298"/>
      <c r="C111" s="1301"/>
      <c r="D111" s="1312"/>
      <c r="E111" s="1272"/>
      <c r="F111" s="1408"/>
      <c r="G111" s="1171"/>
      <c r="H111" s="284" t="s">
        <v>129</v>
      </c>
      <c r="I111" s="725">
        <f>J111+L111</f>
        <v>400</v>
      </c>
      <c r="J111" s="635"/>
      <c r="K111" s="635"/>
      <c r="L111" s="685">
        <v>400</v>
      </c>
      <c r="M111" s="677">
        <f>N111+P111</f>
        <v>400</v>
      </c>
      <c r="N111" s="637"/>
      <c r="O111" s="637"/>
      <c r="P111" s="617">
        <v>400</v>
      </c>
      <c r="Q111" s="706"/>
      <c r="R111" s="693"/>
      <c r="S111" s="652"/>
      <c r="T111" s="617"/>
      <c r="U111" s="12"/>
      <c r="V111" s="12"/>
      <c r="W111" s="12"/>
    </row>
    <row r="112" spans="1:23" ht="13.5" customHeight="1" thickBot="1" x14ac:dyDescent="0.25">
      <c r="A112" s="1256"/>
      <c r="B112" s="1299"/>
      <c r="C112" s="1302"/>
      <c r="D112" s="1313"/>
      <c r="E112" s="1314"/>
      <c r="F112" s="1316"/>
      <c r="G112" s="1254"/>
      <c r="H112" s="282" t="s">
        <v>10</v>
      </c>
      <c r="I112" s="726">
        <f t="shared" ref="I112:J112" si="18">SUM(I110:I111)</f>
        <v>475.2</v>
      </c>
      <c r="J112" s="713">
        <f t="shared" si="18"/>
        <v>0</v>
      </c>
      <c r="K112" s="713">
        <f t="shared" ref="K112:P112" si="19">SUM(K110:K111)</f>
        <v>0</v>
      </c>
      <c r="L112" s="718">
        <f t="shared" si="19"/>
        <v>475.2</v>
      </c>
      <c r="M112" s="726">
        <f t="shared" si="19"/>
        <v>475.2</v>
      </c>
      <c r="N112" s="713">
        <f t="shared" si="19"/>
        <v>0</v>
      </c>
      <c r="O112" s="713">
        <f t="shared" si="19"/>
        <v>0</v>
      </c>
      <c r="P112" s="777">
        <f t="shared" si="19"/>
        <v>475.2</v>
      </c>
      <c r="Q112" s="694"/>
      <c r="R112" s="713"/>
      <c r="S112" s="713"/>
      <c r="T112" s="777"/>
      <c r="U112" s="12"/>
      <c r="V112" s="12"/>
      <c r="W112" s="12"/>
    </row>
    <row r="113" spans="1:28" ht="12.75" customHeight="1" x14ac:dyDescent="0.2">
      <c r="A113" s="1234" t="s">
        <v>9</v>
      </c>
      <c r="B113" s="1297" t="s">
        <v>11</v>
      </c>
      <c r="C113" s="1300" t="s">
        <v>40</v>
      </c>
      <c r="D113" s="1309" t="s">
        <v>95</v>
      </c>
      <c r="E113" s="1526"/>
      <c r="F113" s="1315" t="s">
        <v>53</v>
      </c>
      <c r="G113" s="1233" t="s">
        <v>39</v>
      </c>
      <c r="H113" s="283" t="s">
        <v>35</v>
      </c>
      <c r="I113" s="720">
        <f>J113+L113</f>
        <v>105.3</v>
      </c>
      <c r="J113" s="721"/>
      <c r="K113" s="721"/>
      <c r="L113" s="779">
        <f>100.3+5</f>
        <v>105.3</v>
      </c>
      <c r="M113" s="700">
        <f>N113+P113</f>
        <v>105.3</v>
      </c>
      <c r="N113" s="723"/>
      <c r="O113" s="723"/>
      <c r="P113" s="724">
        <f>100.3+5</f>
        <v>105.3</v>
      </c>
      <c r="Q113" s="701"/>
      <c r="R113" s="701"/>
      <c r="S113" s="701"/>
      <c r="T113" s="702"/>
      <c r="U113" s="12"/>
      <c r="V113" s="12"/>
      <c r="W113" s="12"/>
    </row>
    <row r="114" spans="1:28" ht="13.5" customHeight="1" thickBot="1" x14ac:dyDescent="0.25">
      <c r="A114" s="1256"/>
      <c r="B114" s="1299"/>
      <c r="C114" s="1302"/>
      <c r="D114" s="1310"/>
      <c r="E114" s="1527"/>
      <c r="F114" s="1316"/>
      <c r="G114" s="1254"/>
      <c r="H114" s="282" t="s">
        <v>10</v>
      </c>
      <c r="I114" s="726">
        <f t="shared" ref="I114:J114" si="20">SUM(I113:I113)</f>
        <v>105.3</v>
      </c>
      <c r="J114" s="713">
        <f t="shared" si="20"/>
        <v>0</v>
      </c>
      <c r="K114" s="713">
        <f t="shared" ref="K114:P114" si="21">SUM(K113:K113)</f>
        <v>0</v>
      </c>
      <c r="L114" s="718">
        <f t="shared" si="21"/>
        <v>105.3</v>
      </c>
      <c r="M114" s="726">
        <f t="shared" si="21"/>
        <v>105.3</v>
      </c>
      <c r="N114" s="713">
        <f t="shared" si="21"/>
        <v>0</v>
      </c>
      <c r="O114" s="713">
        <f t="shared" si="21"/>
        <v>0</v>
      </c>
      <c r="P114" s="777">
        <f t="shared" si="21"/>
        <v>105.3</v>
      </c>
      <c r="Q114" s="694"/>
      <c r="R114" s="694"/>
      <c r="S114" s="694"/>
      <c r="T114" s="753"/>
      <c r="U114" s="12"/>
      <c r="V114" s="12"/>
      <c r="W114" s="12"/>
    </row>
    <row r="115" spans="1:28" x14ac:dyDescent="0.2">
      <c r="A115" s="1234" t="s">
        <v>9</v>
      </c>
      <c r="B115" s="1235" t="s">
        <v>11</v>
      </c>
      <c r="C115" s="1300" t="s">
        <v>54</v>
      </c>
      <c r="D115" s="1309" t="s">
        <v>106</v>
      </c>
      <c r="E115" s="1526"/>
      <c r="F115" s="1315" t="s">
        <v>53</v>
      </c>
      <c r="G115" s="1233" t="s">
        <v>39</v>
      </c>
      <c r="H115" s="17" t="s">
        <v>35</v>
      </c>
      <c r="I115" s="720">
        <f>J115+L115</f>
        <v>6.3000000000000007</v>
      </c>
      <c r="J115" s="721">
        <f>20-13.7</f>
        <v>6.3000000000000007</v>
      </c>
      <c r="K115" s="721"/>
      <c r="L115" s="722"/>
      <c r="M115" s="700">
        <f>N115+P115</f>
        <v>6.3000000000000007</v>
      </c>
      <c r="N115" s="723">
        <f>20-13.7</f>
        <v>6.3000000000000007</v>
      </c>
      <c r="O115" s="723"/>
      <c r="P115" s="724"/>
      <c r="Q115" s="701"/>
      <c r="R115" s="701"/>
      <c r="S115" s="723"/>
      <c r="T115" s="724"/>
    </row>
    <row r="116" spans="1:28" ht="13.5" thickBot="1" x14ac:dyDescent="0.25">
      <c r="A116" s="1256"/>
      <c r="B116" s="1257"/>
      <c r="C116" s="1302"/>
      <c r="D116" s="1310"/>
      <c r="E116" s="1527"/>
      <c r="F116" s="1316"/>
      <c r="G116" s="1254"/>
      <c r="H116" s="282" t="s">
        <v>10</v>
      </c>
      <c r="I116" s="726">
        <f t="shared" ref="I116:J116" si="22">SUM(I115:I115)</f>
        <v>6.3000000000000007</v>
      </c>
      <c r="J116" s="713">
        <f t="shared" si="22"/>
        <v>6.3000000000000007</v>
      </c>
      <c r="K116" s="713">
        <f t="shared" ref="K116:P116" si="23">SUM(K115:K115)</f>
        <v>0</v>
      </c>
      <c r="L116" s="718">
        <f t="shared" si="23"/>
        <v>0</v>
      </c>
      <c r="M116" s="726">
        <f t="shared" si="23"/>
        <v>6.3000000000000007</v>
      </c>
      <c r="N116" s="713">
        <f t="shared" si="23"/>
        <v>6.3000000000000007</v>
      </c>
      <c r="O116" s="713">
        <f t="shared" si="23"/>
        <v>0</v>
      </c>
      <c r="P116" s="777">
        <f t="shared" si="23"/>
        <v>0</v>
      </c>
      <c r="Q116" s="778"/>
      <c r="R116" s="658"/>
      <c r="S116" s="658"/>
      <c r="T116" s="659"/>
    </row>
    <row r="117" spans="1:28" ht="13.5" thickBot="1" x14ac:dyDescent="0.25">
      <c r="A117" s="97" t="s">
        <v>9</v>
      </c>
      <c r="B117" s="993" t="s">
        <v>11</v>
      </c>
      <c r="C117" s="1317" t="s">
        <v>12</v>
      </c>
      <c r="D117" s="1292"/>
      <c r="E117" s="1292"/>
      <c r="F117" s="1292"/>
      <c r="G117" s="1292"/>
      <c r="H117" s="1318"/>
      <c r="I117" s="736">
        <f t="shared" ref="I117:R117" si="24">SUM(I112,I109,I116,I114,I107,I104,I101)</f>
        <v>1331.1</v>
      </c>
      <c r="J117" s="736">
        <f t="shared" si="24"/>
        <v>750.6</v>
      </c>
      <c r="K117" s="736">
        <f t="shared" si="24"/>
        <v>0</v>
      </c>
      <c r="L117" s="744">
        <f t="shared" si="24"/>
        <v>580.5</v>
      </c>
      <c r="M117" s="733">
        <f t="shared" si="24"/>
        <v>1401.1</v>
      </c>
      <c r="N117" s="736">
        <f t="shared" si="24"/>
        <v>820.6</v>
      </c>
      <c r="O117" s="736">
        <f t="shared" si="24"/>
        <v>0</v>
      </c>
      <c r="P117" s="744">
        <f t="shared" si="24"/>
        <v>580.5</v>
      </c>
      <c r="Q117" s="733">
        <f t="shared" si="24"/>
        <v>70</v>
      </c>
      <c r="R117" s="734">
        <f t="shared" si="24"/>
        <v>70</v>
      </c>
      <c r="S117" s="734"/>
      <c r="T117" s="735"/>
      <c r="U117" s="12"/>
      <c r="V117" s="12"/>
      <c r="W117" s="12"/>
      <c r="X117" s="12"/>
      <c r="Y117" s="12"/>
      <c r="Z117" s="12"/>
      <c r="AA117" s="12"/>
      <c r="AB117" s="12"/>
    </row>
    <row r="118" spans="1:28" ht="15" customHeight="1" thickBot="1" x14ac:dyDescent="0.25">
      <c r="A118" s="91" t="s">
        <v>9</v>
      </c>
      <c r="B118" s="993" t="s">
        <v>37</v>
      </c>
      <c r="C118" s="1293" t="s">
        <v>71</v>
      </c>
      <c r="D118" s="1294"/>
      <c r="E118" s="1294"/>
      <c r="F118" s="1294"/>
      <c r="G118" s="1294"/>
      <c r="H118" s="1294"/>
      <c r="I118" s="1294"/>
      <c r="J118" s="1294"/>
      <c r="K118" s="1294"/>
      <c r="L118" s="1294"/>
      <c r="M118" s="1524"/>
      <c r="N118" s="1524"/>
      <c r="O118" s="1524"/>
      <c r="P118" s="1524"/>
      <c r="Q118" s="1524"/>
      <c r="R118" s="1524"/>
      <c r="S118" s="1524"/>
      <c r="T118" s="1525"/>
      <c r="U118" s="12"/>
      <c r="V118" s="12"/>
      <c r="W118" s="12"/>
      <c r="X118" s="12"/>
      <c r="Y118" s="12"/>
      <c r="Z118" s="12"/>
      <c r="AA118" s="12"/>
      <c r="AB118" s="12"/>
    </row>
    <row r="119" spans="1:28" ht="20.25" customHeight="1" x14ac:dyDescent="0.2">
      <c r="A119" s="1234" t="s">
        <v>9</v>
      </c>
      <c r="B119" s="1235" t="s">
        <v>37</v>
      </c>
      <c r="C119" s="1300" t="s">
        <v>9</v>
      </c>
      <c r="D119" s="1303" t="s">
        <v>81</v>
      </c>
      <c r="E119" s="1237"/>
      <c r="F119" s="1315" t="s">
        <v>53</v>
      </c>
      <c r="G119" s="1233" t="s">
        <v>39</v>
      </c>
      <c r="H119" s="283" t="s">
        <v>35</v>
      </c>
      <c r="I119" s="720">
        <f>J119+L119</f>
        <v>2388.5</v>
      </c>
      <c r="J119" s="721">
        <f>1233.5+1155</f>
        <v>2388.5</v>
      </c>
      <c r="K119" s="721"/>
      <c r="L119" s="722"/>
      <c r="M119" s="700">
        <f>N119+P119</f>
        <v>2388.5</v>
      </c>
      <c r="N119" s="723">
        <f>1233.5+1155</f>
        <v>2388.5</v>
      </c>
      <c r="O119" s="723"/>
      <c r="P119" s="982"/>
      <c r="Q119" s="700"/>
      <c r="R119" s="723"/>
      <c r="S119" s="723"/>
      <c r="T119" s="724"/>
      <c r="U119" s="12"/>
      <c r="V119" s="12"/>
      <c r="W119" s="12"/>
      <c r="X119" s="12"/>
      <c r="Y119" s="12"/>
      <c r="Z119" s="12"/>
      <c r="AA119" s="12"/>
      <c r="AB119" s="12"/>
    </row>
    <row r="120" spans="1:28" ht="20.25" customHeight="1" x14ac:dyDescent="0.2">
      <c r="A120" s="1178"/>
      <c r="B120" s="1179"/>
      <c r="C120" s="1301"/>
      <c r="D120" s="1283"/>
      <c r="E120" s="1218"/>
      <c r="F120" s="1408"/>
      <c r="G120" s="1171"/>
      <c r="H120" s="284" t="s">
        <v>129</v>
      </c>
      <c r="I120" s="725">
        <f>J120+L120</f>
        <v>100</v>
      </c>
      <c r="J120" s="635">
        <v>100</v>
      </c>
      <c r="K120" s="635"/>
      <c r="L120" s="685"/>
      <c r="M120" s="737">
        <f>N120+P120</f>
        <v>100</v>
      </c>
      <c r="N120" s="749">
        <v>100</v>
      </c>
      <c r="O120" s="749"/>
      <c r="P120" s="1103"/>
      <c r="Q120" s="737"/>
      <c r="R120" s="749"/>
      <c r="S120" s="678"/>
      <c r="T120" s="679"/>
      <c r="U120" s="12"/>
      <c r="V120" s="12"/>
      <c r="W120" s="12"/>
      <c r="X120" s="12"/>
      <c r="Y120" s="12"/>
      <c r="Z120" s="12"/>
      <c r="AA120" s="12"/>
      <c r="AB120" s="12"/>
    </row>
    <row r="121" spans="1:28" ht="13.5" thickBot="1" x14ac:dyDescent="0.25">
      <c r="A121" s="1256"/>
      <c r="B121" s="1257"/>
      <c r="C121" s="1302"/>
      <c r="D121" s="1304"/>
      <c r="E121" s="1261"/>
      <c r="F121" s="1316"/>
      <c r="G121" s="1254"/>
      <c r="H121" s="282" t="s">
        <v>10</v>
      </c>
      <c r="I121" s="694">
        <f t="shared" ref="I121:P121" si="25">SUM(I119:I120)</f>
        <v>2488.5</v>
      </c>
      <c r="J121" s="713">
        <f t="shared" si="25"/>
        <v>2488.5</v>
      </c>
      <c r="K121" s="713">
        <f t="shared" si="25"/>
        <v>0</v>
      </c>
      <c r="L121" s="718">
        <f t="shared" si="25"/>
        <v>0</v>
      </c>
      <c r="M121" s="726">
        <f t="shared" si="25"/>
        <v>2488.5</v>
      </c>
      <c r="N121" s="713">
        <f t="shared" si="25"/>
        <v>2488.5</v>
      </c>
      <c r="O121" s="713">
        <f t="shared" si="25"/>
        <v>0</v>
      </c>
      <c r="P121" s="718">
        <f t="shared" si="25"/>
        <v>0</v>
      </c>
      <c r="Q121" s="726"/>
      <c r="R121" s="713"/>
      <c r="S121" s="713"/>
      <c r="T121" s="777"/>
      <c r="U121" s="12"/>
      <c r="V121" s="12"/>
      <c r="W121" s="12"/>
      <c r="X121" s="12"/>
      <c r="Y121" s="12"/>
      <c r="Z121" s="12"/>
      <c r="AA121" s="12"/>
      <c r="AB121" s="12"/>
    </row>
    <row r="122" spans="1:28" ht="12.75" customHeight="1" x14ac:dyDescent="0.2">
      <c r="A122" s="1234" t="s">
        <v>9</v>
      </c>
      <c r="B122" s="1235" t="s">
        <v>37</v>
      </c>
      <c r="C122" s="1300" t="s">
        <v>11</v>
      </c>
      <c r="D122" s="1517" t="s">
        <v>244</v>
      </c>
      <c r="E122" s="1237"/>
      <c r="F122" s="1315" t="s">
        <v>40</v>
      </c>
      <c r="G122" s="1233" t="s">
        <v>39</v>
      </c>
      <c r="H122" s="283" t="s">
        <v>35</v>
      </c>
      <c r="I122" s="720">
        <f>J122+L122</f>
        <v>0</v>
      </c>
      <c r="J122" s="721"/>
      <c r="K122" s="721"/>
      <c r="L122" s="722"/>
      <c r="M122" s="651">
        <f>N122+P122</f>
        <v>0</v>
      </c>
      <c r="N122" s="652"/>
      <c r="O122" s="652"/>
      <c r="P122" s="653"/>
      <c r="Q122" s="692"/>
      <c r="R122" s="652"/>
      <c r="S122" s="652"/>
      <c r="T122" s="653"/>
      <c r="U122" s="12"/>
      <c r="V122" s="12"/>
      <c r="W122" s="12"/>
      <c r="X122" s="12"/>
      <c r="Y122" s="12"/>
      <c r="Z122" s="12"/>
      <c r="AA122" s="12"/>
      <c r="AB122" s="12"/>
    </row>
    <row r="123" spans="1:28" ht="16.5" customHeight="1" x14ac:dyDescent="0.2">
      <c r="A123" s="1178"/>
      <c r="B123" s="1179"/>
      <c r="C123" s="1301"/>
      <c r="D123" s="1518"/>
      <c r="E123" s="1218"/>
      <c r="F123" s="1408"/>
      <c r="G123" s="1171"/>
      <c r="H123" s="284" t="s">
        <v>93</v>
      </c>
      <c r="I123" s="725">
        <f>J123+L123</f>
        <v>0</v>
      </c>
      <c r="J123" s="635">
        <v>0</v>
      </c>
      <c r="K123" s="635"/>
      <c r="L123" s="685"/>
      <c r="M123" s="677">
        <f>N123+P123</f>
        <v>7.2</v>
      </c>
      <c r="N123" s="637">
        <v>7.2</v>
      </c>
      <c r="O123" s="637"/>
      <c r="P123" s="617"/>
      <c r="Q123" s="1107">
        <f>M123-I123</f>
        <v>7.2</v>
      </c>
      <c r="R123" s="1107">
        <f>N123-J123</f>
        <v>7.2</v>
      </c>
      <c r="S123" s="637"/>
      <c r="T123" s="617"/>
      <c r="U123" s="12"/>
      <c r="V123" s="12"/>
      <c r="W123" s="12"/>
      <c r="X123" s="12"/>
      <c r="Y123" s="12"/>
      <c r="Z123" s="12"/>
      <c r="AA123" s="12"/>
      <c r="AB123" s="12"/>
    </row>
    <row r="124" spans="1:28" ht="17.25" customHeight="1" thickBot="1" x14ac:dyDescent="0.25">
      <c r="A124" s="1256"/>
      <c r="B124" s="1257"/>
      <c r="C124" s="1302"/>
      <c r="D124" s="1519"/>
      <c r="E124" s="1261"/>
      <c r="F124" s="1316"/>
      <c r="G124" s="1254"/>
      <c r="H124" s="282" t="s">
        <v>10</v>
      </c>
      <c r="I124" s="694">
        <f t="shared" ref="I124:P124" si="26">SUM(I122:I123)</f>
        <v>0</v>
      </c>
      <c r="J124" s="713">
        <f t="shared" si="26"/>
        <v>0</v>
      </c>
      <c r="K124" s="713">
        <f t="shared" si="26"/>
        <v>0</v>
      </c>
      <c r="L124" s="718">
        <f t="shared" si="26"/>
        <v>0</v>
      </c>
      <c r="M124" s="696">
        <f t="shared" si="26"/>
        <v>7.2</v>
      </c>
      <c r="N124" s="719">
        <f t="shared" si="26"/>
        <v>7.2</v>
      </c>
      <c r="O124" s="719">
        <f t="shared" si="26"/>
        <v>0</v>
      </c>
      <c r="P124" s="728">
        <f t="shared" si="26"/>
        <v>0</v>
      </c>
      <c r="Q124" s="1136">
        <f>Q123</f>
        <v>7.2</v>
      </c>
      <c r="R124" s="1137">
        <f>R123</f>
        <v>7.2</v>
      </c>
      <c r="S124" s="719"/>
      <c r="T124" s="728"/>
      <c r="U124" s="12"/>
      <c r="V124" s="12"/>
      <c r="W124" s="12"/>
      <c r="X124" s="12"/>
      <c r="Y124" s="12"/>
      <c r="Z124" s="12"/>
      <c r="AA124" s="12"/>
      <c r="AB124" s="12"/>
    </row>
    <row r="125" spans="1:28" ht="13.5" customHeight="1" thickBot="1" x14ac:dyDescent="0.25">
      <c r="A125" s="97" t="s">
        <v>9</v>
      </c>
      <c r="B125" s="993" t="s">
        <v>37</v>
      </c>
      <c r="C125" s="1317" t="s">
        <v>12</v>
      </c>
      <c r="D125" s="1292"/>
      <c r="E125" s="1292"/>
      <c r="F125" s="1292"/>
      <c r="G125" s="1292"/>
      <c r="H125" s="1318"/>
      <c r="I125" s="736">
        <f>I124+I121</f>
        <v>2488.5</v>
      </c>
      <c r="J125" s="736">
        <f t="shared" ref="J125:T125" si="27">J124+J121</f>
        <v>2488.5</v>
      </c>
      <c r="K125" s="736">
        <f t="shared" si="27"/>
        <v>0</v>
      </c>
      <c r="L125" s="736">
        <f t="shared" si="27"/>
        <v>0</v>
      </c>
      <c r="M125" s="736">
        <f>M124+M121</f>
        <v>2495.6999999999998</v>
      </c>
      <c r="N125" s="736">
        <f t="shared" si="27"/>
        <v>2495.6999999999998</v>
      </c>
      <c r="O125" s="736">
        <f t="shared" si="27"/>
        <v>0</v>
      </c>
      <c r="P125" s="736">
        <f t="shared" si="27"/>
        <v>0</v>
      </c>
      <c r="Q125" s="736">
        <f t="shared" si="27"/>
        <v>7.2</v>
      </c>
      <c r="R125" s="736">
        <f t="shared" si="27"/>
        <v>7.2</v>
      </c>
      <c r="S125" s="736">
        <f t="shared" si="27"/>
        <v>0</v>
      </c>
      <c r="T125" s="736">
        <f t="shared" si="27"/>
        <v>0</v>
      </c>
      <c r="U125" s="12"/>
      <c r="V125" s="12"/>
      <c r="W125" s="12"/>
      <c r="X125" s="12"/>
      <c r="Y125" s="12"/>
      <c r="Z125" s="12"/>
      <c r="AA125" s="12"/>
      <c r="AB125" s="12"/>
    </row>
    <row r="126" spans="1:28" ht="13.5" customHeight="1" thickBot="1" x14ac:dyDescent="0.25">
      <c r="A126" s="91" t="s">
        <v>9</v>
      </c>
      <c r="B126" s="993" t="s">
        <v>52</v>
      </c>
      <c r="C126" s="1319" t="s">
        <v>72</v>
      </c>
      <c r="D126" s="1320"/>
      <c r="E126" s="1320"/>
      <c r="F126" s="1320"/>
      <c r="G126" s="1320"/>
      <c r="H126" s="1320"/>
      <c r="I126" s="1320"/>
      <c r="J126" s="1320"/>
      <c r="K126" s="1320"/>
      <c r="L126" s="1320"/>
      <c r="M126" s="1320"/>
      <c r="N126" s="1320"/>
      <c r="O126" s="1320"/>
      <c r="P126" s="1320"/>
      <c r="Q126" s="1320"/>
      <c r="R126" s="1320"/>
      <c r="S126" s="1320"/>
      <c r="T126" s="1321"/>
      <c r="U126" s="12"/>
      <c r="V126" s="12"/>
      <c r="W126" s="12"/>
      <c r="X126" s="12"/>
      <c r="Y126" s="12"/>
      <c r="Z126" s="12"/>
      <c r="AA126" s="12"/>
      <c r="AB126" s="12"/>
    </row>
    <row r="127" spans="1:28" ht="17.25" customHeight="1" x14ac:dyDescent="0.2">
      <c r="A127" s="1110" t="s">
        <v>9</v>
      </c>
      <c r="B127" s="1117" t="s">
        <v>52</v>
      </c>
      <c r="C127" s="1118" t="s">
        <v>9</v>
      </c>
      <c r="D127" s="1131" t="s">
        <v>164</v>
      </c>
      <c r="E127" s="1132"/>
      <c r="F127" s="1133"/>
      <c r="G127" s="1134"/>
      <c r="H127" s="1135" t="s">
        <v>129</v>
      </c>
      <c r="I127" s="648">
        <f>J127+L127</f>
        <v>8.5</v>
      </c>
      <c r="J127" s="649">
        <v>8.5</v>
      </c>
      <c r="K127" s="649"/>
      <c r="L127" s="691"/>
      <c r="M127" s="1104">
        <f>N127+P127</f>
        <v>8.5</v>
      </c>
      <c r="N127" s="1005">
        <v>8.5</v>
      </c>
      <c r="O127" s="723"/>
      <c r="P127" s="724"/>
      <c r="Q127" s="701"/>
      <c r="R127" s="723"/>
      <c r="S127" s="723"/>
      <c r="T127" s="724"/>
    </row>
    <row r="128" spans="1:28" ht="12.75" customHeight="1" x14ac:dyDescent="0.2">
      <c r="A128" s="1123"/>
      <c r="B128" s="1125"/>
      <c r="C128" s="1119"/>
      <c r="D128" s="1213" t="s">
        <v>82</v>
      </c>
      <c r="E128" s="1112"/>
      <c r="F128" s="1113" t="s">
        <v>53</v>
      </c>
      <c r="G128" s="1121" t="s">
        <v>39</v>
      </c>
      <c r="H128" s="376" t="s">
        <v>35</v>
      </c>
      <c r="I128" s="634">
        <f>J128+L128</f>
        <v>265.7</v>
      </c>
      <c r="J128" s="635">
        <v>265.7</v>
      </c>
      <c r="K128" s="635"/>
      <c r="L128" s="685"/>
      <c r="M128" s="677">
        <f>N128+P128</f>
        <v>275.7</v>
      </c>
      <c r="N128" s="678">
        <v>275.7</v>
      </c>
      <c r="O128" s="678"/>
      <c r="P128" s="679"/>
      <c r="Q128" s="1107">
        <f>M128-I128</f>
        <v>10</v>
      </c>
      <c r="R128" s="1107">
        <f>N128-J128</f>
        <v>10</v>
      </c>
      <c r="S128" s="678"/>
      <c r="T128" s="679"/>
    </row>
    <row r="129" spans="1:20" ht="13.5" thickBot="1" x14ac:dyDescent="0.25">
      <c r="A129" s="1108"/>
      <c r="B129" s="1109"/>
      <c r="C129" s="1120"/>
      <c r="D129" s="1260"/>
      <c r="E129" s="392"/>
      <c r="F129" s="1116"/>
      <c r="G129" s="1114"/>
      <c r="H129" s="285" t="s">
        <v>10</v>
      </c>
      <c r="I129" s="694">
        <f>SUM(I127:I128)</f>
        <v>274.2</v>
      </c>
      <c r="J129" s="694">
        <f>SUM(J127:J128)</f>
        <v>274.2</v>
      </c>
      <c r="K129" s="694">
        <f>SUM(K127:K128)</f>
        <v>0</v>
      </c>
      <c r="L129" s="695">
        <f>SUM(L127:L128)</f>
        <v>0</v>
      </c>
      <c r="M129" s="726">
        <f t="shared" ref="M129:P129" si="28">M128+M127</f>
        <v>284.2</v>
      </c>
      <c r="N129" s="713">
        <f t="shared" si="28"/>
        <v>284.2</v>
      </c>
      <c r="O129" s="713">
        <f t="shared" si="28"/>
        <v>0</v>
      </c>
      <c r="P129" s="777">
        <f t="shared" si="28"/>
        <v>0</v>
      </c>
      <c r="Q129" s="994">
        <f>Q128</f>
        <v>10</v>
      </c>
      <c r="R129" s="994">
        <f>R128</f>
        <v>10</v>
      </c>
      <c r="S129" s="713"/>
      <c r="T129" s="777"/>
    </row>
    <row r="130" spans="1:20" ht="18" customHeight="1" x14ac:dyDescent="0.2">
      <c r="A130" s="1234" t="s">
        <v>9</v>
      </c>
      <c r="B130" s="1297" t="s">
        <v>52</v>
      </c>
      <c r="C130" s="1371" t="s">
        <v>11</v>
      </c>
      <c r="D130" s="1259" t="s">
        <v>124</v>
      </c>
      <c r="E130" s="1271"/>
      <c r="F130" s="1315" t="s">
        <v>40</v>
      </c>
      <c r="G130" s="1233" t="s">
        <v>39</v>
      </c>
      <c r="H130" s="13" t="s">
        <v>35</v>
      </c>
      <c r="I130" s="1006">
        <f>J130+L130</f>
        <v>20.900000000000002</v>
      </c>
      <c r="J130" s="721">
        <f>48.6-27.7</f>
        <v>20.900000000000002</v>
      </c>
      <c r="K130" s="721"/>
      <c r="L130" s="722"/>
      <c r="M130" s="654">
        <f>N130+P130</f>
        <v>20.900000000000002</v>
      </c>
      <c r="N130" s="652">
        <f>48.6-27.7</f>
        <v>20.900000000000002</v>
      </c>
      <c r="O130" s="652"/>
      <c r="P130" s="653"/>
      <c r="Q130" s="692"/>
      <c r="R130" s="692"/>
      <c r="S130" s="652"/>
      <c r="T130" s="653"/>
    </row>
    <row r="131" spans="1:20" ht="13.5" customHeight="1" thickBot="1" x14ac:dyDescent="0.25">
      <c r="A131" s="1256"/>
      <c r="B131" s="1299"/>
      <c r="C131" s="1372"/>
      <c r="D131" s="1260"/>
      <c r="E131" s="1314"/>
      <c r="F131" s="1316"/>
      <c r="G131" s="1254"/>
      <c r="H131" s="285" t="s">
        <v>10</v>
      </c>
      <c r="I131" s="726">
        <f t="shared" ref="I131:P131" si="29">I130</f>
        <v>20.900000000000002</v>
      </c>
      <c r="J131" s="694">
        <f t="shared" si="29"/>
        <v>20.900000000000002</v>
      </c>
      <c r="K131" s="694">
        <f t="shared" si="29"/>
        <v>0</v>
      </c>
      <c r="L131" s="695">
        <f t="shared" si="29"/>
        <v>0</v>
      </c>
      <c r="M131" s="990">
        <f t="shared" si="29"/>
        <v>20.900000000000002</v>
      </c>
      <c r="N131" s="719">
        <f t="shared" si="29"/>
        <v>20.900000000000002</v>
      </c>
      <c r="O131" s="697">
        <f t="shared" si="29"/>
        <v>0</v>
      </c>
      <c r="P131" s="727">
        <f t="shared" si="29"/>
        <v>0</v>
      </c>
      <c r="Q131" s="697"/>
      <c r="R131" s="697"/>
      <c r="S131" s="697"/>
      <c r="T131" s="727"/>
    </row>
    <row r="132" spans="1:20" ht="13.5" customHeight="1" thickBot="1" x14ac:dyDescent="0.25">
      <c r="A132" s="1108" t="s">
        <v>9</v>
      </c>
      <c r="B132" s="1109" t="s">
        <v>52</v>
      </c>
      <c r="C132" s="1317" t="s">
        <v>12</v>
      </c>
      <c r="D132" s="1292"/>
      <c r="E132" s="1292"/>
      <c r="F132" s="1292"/>
      <c r="G132" s="1292"/>
      <c r="H132" s="1318"/>
      <c r="I132" s="736">
        <f t="shared" ref="I132:R132" si="30">I131+I129</f>
        <v>295.09999999999997</v>
      </c>
      <c r="J132" s="736">
        <f t="shared" si="30"/>
        <v>295.09999999999997</v>
      </c>
      <c r="K132" s="736">
        <f t="shared" si="30"/>
        <v>0</v>
      </c>
      <c r="L132" s="744">
        <f t="shared" si="30"/>
        <v>0</v>
      </c>
      <c r="M132" s="733">
        <f t="shared" si="30"/>
        <v>305.09999999999997</v>
      </c>
      <c r="N132" s="736">
        <f t="shared" si="30"/>
        <v>305.09999999999997</v>
      </c>
      <c r="O132" s="736">
        <f t="shared" si="30"/>
        <v>0</v>
      </c>
      <c r="P132" s="745">
        <f t="shared" si="30"/>
        <v>0</v>
      </c>
      <c r="Q132" s="745">
        <f t="shared" si="30"/>
        <v>10</v>
      </c>
      <c r="R132" s="745">
        <f t="shared" si="30"/>
        <v>10</v>
      </c>
      <c r="S132" s="736"/>
      <c r="T132" s="745"/>
    </row>
    <row r="133" spans="1:20" ht="13.5" customHeight="1" thickBot="1" x14ac:dyDescent="0.25">
      <c r="A133" s="91" t="s">
        <v>9</v>
      </c>
      <c r="B133" s="9" t="s">
        <v>108</v>
      </c>
      <c r="C133" s="1319" t="s">
        <v>109</v>
      </c>
      <c r="D133" s="1320"/>
      <c r="E133" s="1320"/>
      <c r="F133" s="1320"/>
      <c r="G133" s="1320"/>
      <c r="H133" s="1320"/>
      <c r="I133" s="1320"/>
      <c r="J133" s="1320"/>
      <c r="K133" s="1320"/>
      <c r="L133" s="1320"/>
      <c r="M133" s="1320"/>
      <c r="N133" s="1320"/>
      <c r="O133" s="1320"/>
      <c r="P133" s="1320"/>
      <c r="Q133" s="1496"/>
      <c r="R133" s="1496"/>
      <c r="S133" s="1496"/>
      <c r="T133" s="1497"/>
    </row>
    <row r="134" spans="1:20" ht="15.75" customHeight="1" x14ac:dyDescent="0.2">
      <c r="A134" s="1122" t="s">
        <v>9</v>
      </c>
      <c r="B134" s="1124" t="s">
        <v>53</v>
      </c>
      <c r="C134" s="1115" t="s">
        <v>9</v>
      </c>
      <c r="D134" s="118" t="s">
        <v>117</v>
      </c>
      <c r="E134" s="1521"/>
      <c r="F134" s="1325" t="s">
        <v>43</v>
      </c>
      <c r="G134" s="1514">
        <v>6</v>
      </c>
      <c r="H134" s="370" t="s">
        <v>35</v>
      </c>
      <c r="I134" s="672">
        <f>J134+L134</f>
        <v>12184.300000000001</v>
      </c>
      <c r="J134" s="663">
        <f>12686.1-501.8</f>
        <v>12184.300000000001</v>
      </c>
      <c r="K134" s="663"/>
      <c r="L134" s="664"/>
      <c r="M134" s="714">
        <f>N134+P134</f>
        <v>11201.400000000001</v>
      </c>
      <c r="N134" s="666">
        <f>12686.1-501.8-25-957.9</f>
        <v>11201.400000000001</v>
      </c>
      <c r="O134" s="666"/>
      <c r="P134" s="668"/>
      <c r="Q134" s="1008">
        <f>M134-I134</f>
        <v>-982.89999999999964</v>
      </c>
      <c r="R134" s="703">
        <f>N134-J134</f>
        <v>-982.89999999999964</v>
      </c>
      <c r="S134" s="723"/>
      <c r="T134" s="724"/>
    </row>
    <row r="135" spans="1:20" x14ac:dyDescent="0.2">
      <c r="A135" s="1123"/>
      <c r="B135" s="1125"/>
      <c r="C135" s="1126"/>
      <c r="D135" s="632"/>
      <c r="E135" s="1522"/>
      <c r="F135" s="1326"/>
      <c r="G135" s="1515"/>
      <c r="H135" s="370" t="s">
        <v>129</v>
      </c>
      <c r="I135" s="681">
        <f>J135+L135</f>
        <v>1405.5</v>
      </c>
      <c r="J135" s="643">
        <v>1405.5</v>
      </c>
      <c r="K135" s="643"/>
      <c r="L135" s="644"/>
      <c r="M135" s="781">
        <f>N135+P135</f>
        <v>1405.5</v>
      </c>
      <c r="N135" s="782">
        <v>1405.5</v>
      </c>
      <c r="O135" s="646"/>
      <c r="P135" s="683"/>
      <c r="Q135" s="1009"/>
      <c r="R135" s="1010"/>
      <c r="S135" s="646"/>
      <c r="T135" s="647"/>
    </row>
    <row r="136" spans="1:20" ht="15" customHeight="1" x14ac:dyDescent="0.2">
      <c r="A136" s="1123"/>
      <c r="B136" s="1125"/>
      <c r="C136" s="1126"/>
      <c r="D136" s="1138" t="s">
        <v>119</v>
      </c>
      <c r="E136" s="1522"/>
      <c r="F136" s="1326"/>
      <c r="G136" s="1515"/>
      <c r="H136" s="372"/>
      <c r="I136" s="684"/>
      <c r="J136" s="635"/>
      <c r="K136" s="635"/>
      <c r="L136" s="383"/>
      <c r="M136" s="783"/>
      <c r="N136" s="738"/>
      <c r="O136" s="637"/>
      <c r="P136" s="627"/>
      <c r="Q136" s="784"/>
      <c r="R136" s="747"/>
      <c r="S136" s="637"/>
      <c r="T136" s="617"/>
    </row>
    <row r="137" spans="1:20" ht="16.5" customHeight="1" x14ac:dyDescent="0.2">
      <c r="A137" s="1123"/>
      <c r="B137" s="1125"/>
      <c r="C137" s="1126"/>
      <c r="D137" s="1139" t="s">
        <v>120</v>
      </c>
      <c r="E137" s="1522"/>
      <c r="F137" s="1326"/>
      <c r="G137" s="1515"/>
      <c r="H137" s="372"/>
      <c r="I137" s="684"/>
      <c r="J137" s="635"/>
      <c r="K137" s="635"/>
      <c r="L137" s="383"/>
      <c r="M137" s="686"/>
      <c r="N137" s="637"/>
      <c r="O137" s="637"/>
      <c r="P137" s="627"/>
      <c r="Q137" s="711"/>
      <c r="R137" s="707"/>
      <c r="S137" s="637"/>
      <c r="T137" s="617"/>
    </row>
    <row r="138" spans="1:20" ht="15.75" customHeight="1" x14ac:dyDescent="0.2">
      <c r="A138" s="1123"/>
      <c r="B138" s="1125"/>
      <c r="C138" s="1126"/>
      <c r="D138" s="1138" t="s">
        <v>121</v>
      </c>
      <c r="E138" s="1522"/>
      <c r="F138" s="1326"/>
      <c r="G138" s="1515"/>
      <c r="H138" s="372"/>
      <c r="I138" s="684"/>
      <c r="J138" s="635"/>
      <c r="K138" s="635"/>
      <c r="L138" s="383"/>
      <c r="M138" s="686"/>
      <c r="N138" s="637"/>
      <c r="O138" s="637"/>
      <c r="P138" s="627"/>
      <c r="Q138" s="711"/>
      <c r="R138" s="707"/>
      <c r="S138" s="637"/>
      <c r="T138" s="617"/>
    </row>
    <row r="139" spans="1:20" s="50" customFormat="1" ht="15.75" customHeight="1" x14ac:dyDescent="0.2">
      <c r="A139" s="1110"/>
      <c r="B139" s="1111"/>
      <c r="C139" s="68"/>
      <c r="D139" s="1138" t="s">
        <v>122</v>
      </c>
      <c r="E139" s="1522"/>
      <c r="F139" s="1326"/>
      <c r="G139" s="1515"/>
      <c r="H139" s="14"/>
      <c r="I139" s="382"/>
      <c r="J139" s="635"/>
      <c r="K139" s="382"/>
      <c r="L139" s="383"/>
      <c r="M139" s="616"/>
      <c r="N139" s="637"/>
      <c r="O139" s="616"/>
      <c r="P139" s="627"/>
      <c r="Q139" s="750"/>
      <c r="R139" s="707"/>
      <c r="S139" s="616"/>
      <c r="T139" s="617"/>
    </row>
    <row r="140" spans="1:20" x14ac:dyDescent="0.2">
      <c r="A140" s="1411"/>
      <c r="B140" s="1413"/>
      <c r="C140" s="1415"/>
      <c r="D140" s="1520" t="s">
        <v>118</v>
      </c>
      <c r="E140" s="1522"/>
      <c r="F140" s="1326"/>
      <c r="G140" s="1515"/>
      <c r="H140" s="376"/>
      <c r="I140" s="690"/>
      <c r="J140" s="649"/>
      <c r="K140" s="649"/>
      <c r="L140" s="650"/>
      <c r="M140" s="692"/>
      <c r="N140" s="652"/>
      <c r="O140" s="652"/>
      <c r="P140" s="693"/>
      <c r="Q140" s="712"/>
      <c r="R140" s="710"/>
      <c r="S140" s="652"/>
      <c r="T140" s="653"/>
    </row>
    <row r="141" spans="1:20" ht="13.5" thickBot="1" x14ac:dyDescent="0.25">
      <c r="A141" s="1412"/>
      <c r="B141" s="1414"/>
      <c r="C141" s="1372"/>
      <c r="D141" s="1508"/>
      <c r="E141" s="1523"/>
      <c r="F141" s="1327"/>
      <c r="G141" s="1516"/>
      <c r="H141" s="285" t="s">
        <v>10</v>
      </c>
      <c r="I141" s="751">
        <f t="shared" ref="I141:R141" si="31">SUM(I134:I140)</f>
        <v>13589.800000000001</v>
      </c>
      <c r="J141" s="751">
        <f t="shared" si="31"/>
        <v>13589.800000000001</v>
      </c>
      <c r="K141" s="751">
        <f t="shared" si="31"/>
        <v>0</v>
      </c>
      <c r="L141" s="752">
        <f t="shared" si="31"/>
        <v>0</v>
      </c>
      <c r="M141" s="751">
        <f>SUM(M134:M140)</f>
        <v>12606.900000000001</v>
      </c>
      <c r="N141" s="751">
        <f t="shared" si="31"/>
        <v>12606.900000000001</v>
      </c>
      <c r="O141" s="751">
        <f t="shared" si="31"/>
        <v>0</v>
      </c>
      <c r="P141" s="780">
        <f t="shared" si="31"/>
        <v>0</v>
      </c>
      <c r="Q141" s="1011">
        <f t="shared" si="31"/>
        <v>-982.89999999999964</v>
      </c>
      <c r="R141" s="1012">
        <f t="shared" si="31"/>
        <v>-982.89999999999964</v>
      </c>
      <c r="S141" s="751"/>
      <c r="T141" s="752"/>
    </row>
    <row r="142" spans="1:20" ht="18.75" customHeight="1" x14ac:dyDescent="0.2">
      <c r="A142" s="1234" t="s">
        <v>9</v>
      </c>
      <c r="B142" s="1297" t="s">
        <v>53</v>
      </c>
      <c r="C142" s="1371" t="s">
        <v>11</v>
      </c>
      <c r="D142" s="1507" t="s">
        <v>155</v>
      </c>
      <c r="E142" s="1271"/>
      <c r="F142" s="1315" t="s">
        <v>53</v>
      </c>
      <c r="G142" s="1233" t="s">
        <v>89</v>
      </c>
      <c r="H142" s="23" t="s">
        <v>35</v>
      </c>
      <c r="I142" s="725">
        <f>J142+L142</f>
        <v>39.299999999999997</v>
      </c>
      <c r="J142" s="675">
        <v>39.299999999999997</v>
      </c>
      <c r="K142" s="675"/>
      <c r="L142" s="748"/>
      <c r="M142" s="677">
        <f>N142+P142</f>
        <v>39.299999999999997</v>
      </c>
      <c r="N142" s="678">
        <v>39.299999999999997</v>
      </c>
      <c r="O142" s="678"/>
      <c r="P142" s="679"/>
      <c r="Q142" s="1013"/>
      <c r="R142" s="1007"/>
      <c r="S142" s="678"/>
      <c r="T142" s="679"/>
    </row>
    <row r="143" spans="1:20" ht="13.5" thickBot="1" x14ac:dyDescent="0.25">
      <c r="A143" s="1256"/>
      <c r="B143" s="1299"/>
      <c r="C143" s="1372"/>
      <c r="D143" s="1508"/>
      <c r="E143" s="1314"/>
      <c r="F143" s="1316"/>
      <c r="G143" s="1254"/>
      <c r="H143" s="285" t="s">
        <v>10</v>
      </c>
      <c r="I143" s="726">
        <f t="shared" ref="I143:P143" si="32">I142</f>
        <v>39.299999999999997</v>
      </c>
      <c r="J143" s="694">
        <f t="shared" si="32"/>
        <v>39.299999999999997</v>
      </c>
      <c r="K143" s="694">
        <f t="shared" si="32"/>
        <v>0</v>
      </c>
      <c r="L143" s="753">
        <f t="shared" si="32"/>
        <v>0</v>
      </c>
      <c r="M143" s="726">
        <f t="shared" si="32"/>
        <v>39.299999999999997</v>
      </c>
      <c r="N143" s="694">
        <f t="shared" si="32"/>
        <v>39.299999999999997</v>
      </c>
      <c r="O143" s="694">
        <f t="shared" si="32"/>
        <v>0</v>
      </c>
      <c r="P143" s="753">
        <f t="shared" si="32"/>
        <v>0</v>
      </c>
      <c r="Q143" s="979"/>
      <c r="R143" s="994"/>
      <c r="S143" s="694"/>
      <c r="T143" s="753"/>
    </row>
    <row r="144" spans="1:20" ht="30" customHeight="1" x14ac:dyDescent="0.2">
      <c r="A144" s="1234" t="s">
        <v>9</v>
      </c>
      <c r="B144" s="1297" t="s">
        <v>53</v>
      </c>
      <c r="C144" s="1371" t="s">
        <v>37</v>
      </c>
      <c r="D144" s="1507" t="s">
        <v>239</v>
      </c>
      <c r="E144" s="1271"/>
      <c r="F144" s="1315" t="s">
        <v>53</v>
      </c>
      <c r="G144" s="1233" t="s">
        <v>39</v>
      </c>
      <c r="H144" s="23" t="s">
        <v>35</v>
      </c>
      <c r="I144" s="725">
        <f>J144+L144</f>
        <v>0</v>
      </c>
      <c r="J144" s="675">
        <v>0</v>
      </c>
      <c r="K144" s="675"/>
      <c r="L144" s="748"/>
      <c r="M144" s="677">
        <f>N144+P144</f>
        <v>25</v>
      </c>
      <c r="N144" s="678">
        <v>25</v>
      </c>
      <c r="O144" s="678"/>
      <c r="P144" s="679"/>
      <c r="Q144" s="1065">
        <f>M144-I144</f>
        <v>25</v>
      </c>
      <c r="R144" s="992">
        <f>N144-J144</f>
        <v>25</v>
      </c>
      <c r="S144" s="678"/>
      <c r="T144" s="679"/>
    </row>
    <row r="145" spans="1:36" ht="27" customHeight="1" thickBot="1" x14ac:dyDescent="0.25">
      <c r="A145" s="1256"/>
      <c r="B145" s="1299"/>
      <c r="C145" s="1372"/>
      <c r="D145" s="1508"/>
      <c r="E145" s="1314"/>
      <c r="F145" s="1316"/>
      <c r="G145" s="1254"/>
      <c r="H145" s="285" t="s">
        <v>10</v>
      </c>
      <c r="I145" s="726">
        <f t="shared" ref="I145:P145" si="33">I144</f>
        <v>0</v>
      </c>
      <c r="J145" s="694">
        <f t="shared" si="33"/>
        <v>0</v>
      </c>
      <c r="K145" s="694">
        <f t="shared" si="33"/>
        <v>0</v>
      </c>
      <c r="L145" s="753">
        <f t="shared" si="33"/>
        <v>0</v>
      </c>
      <c r="M145" s="726">
        <f t="shared" si="33"/>
        <v>25</v>
      </c>
      <c r="N145" s="694">
        <f t="shared" si="33"/>
        <v>25</v>
      </c>
      <c r="O145" s="694">
        <f t="shared" si="33"/>
        <v>0</v>
      </c>
      <c r="P145" s="753">
        <f t="shared" si="33"/>
        <v>0</v>
      </c>
      <c r="Q145" s="978">
        <f>Q144</f>
        <v>25</v>
      </c>
      <c r="R145" s="980">
        <f>R144</f>
        <v>25</v>
      </c>
      <c r="S145" s="694"/>
      <c r="T145" s="753"/>
    </row>
    <row r="146" spans="1:36" s="50" customFormat="1" ht="14.25" customHeight="1" x14ac:dyDescent="0.2">
      <c r="A146" s="1234" t="s">
        <v>9</v>
      </c>
      <c r="B146" s="162" t="s">
        <v>53</v>
      </c>
      <c r="C146" s="163" t="s">
        <v>52</v>
      </c>
      <c r="D146" s="1259" t="s">
        <v>166</v>
      </c>
      <c r="E146" s="164"/>
      <c r="F146" s="165" t="s">
        <v>40</v>
      </c>
      <c r="G146" s="166">
        <v>6</v>
      </c>
      <c r="H146" s="150" t="s">
        <v>35</v>
      </c>
      <c r="I146" s="754">
        <f>J146</f>
        <v>3.5</v>
      </c>
      <c r="J146" s="755">
        <v>3.5</v>
      </c>
      <c r="K146" s="755"/>
      <c r="L146" s="756"/>
      <c r="M146" s="757">
        <f>N146</f>
        <v>3.5</v>
      </c>
      <c r="N146" s="758">
        <v>3.5</v>
      </c>
      <c r="O146" s="758"/>
      <c r="P146" s="759"/>
      <c r="Q146" s="757"/>
      <c r="R146" s="758"/>
      <c r="S146" s="758"/>
      <c r="T146" s="759"/>
    </row>
    <row r="147" spans="1:36" s="50" customFormat="1" ht="13.5" customHeight="1" thickBot="1" x14ac:dyDescent="0.25">
      <c r="A147" s="1256"/>
      <c r="B147" s="167"/>
      <c r="C147" s="168"/>
      <c r="D147" s="1260"/>
      <c r="E147" s="169"/>
      <c r="F147" s="170"/>
      <c r="G147" s="171"/>
      <c r="H147" s="290" t="s">
        <v>10</v>
      </c>
      <c r="I147" s="760">
        <f>I146</f>
        <v>3.5</v>
      </c>
      <c r="J147" s="760">
        <f>J146</f>
        <v>3.5</v>
      </c>
      <c r="K147" s="761"/>
      <c r="L147" s="762">
        <f>SUM(L146:L146)</f>
        <v>0</v>
      </c>
      <c r="M147" s="760">
        <f>M146</f>
        <v>3.5</v>
      </c>
      <c r="N147" s="760">
        <f>N146</f>
        <v>3.5</v>
      </c>
      <c r="O147" s="761"/>
      <c r="P147" s="762">
        <f>SUM(P146:P146)</f>
        <v>0</v>
      </c>
      <c r="Q147" s="760"/>
      <c r="R147" s="760"/>
      <c r="S147" s="761"/>
      <c r="T147" s="762"/>
    </row>
    <row r="148" spans="1:36" ht="13.5" thickBot="1" x14ac:dyDescent="0.25">
      <c r="A148" s="1029" t="s">
        <v>9</v>
      </c>
      <c r="B148" s="1030" t="s">
        <v>53</v>
      </c>
      <c r="C148" s="1317" t="s">
        <v>12</v>
      </c>
      <c r="D148" s="1292"/>
      <c r="E148" s="1292"/>
      <c r="F148" s="1292"/>
      <c r="G148" s="1292"/>
      <c r="H148" s="1318"/>
      <c r="I148" s="733">
        <f t="shared" ref="I148:L148" si="34">I143+I141+I147</f>
        <v>13632.6</v>
      </c>
      <c r="J148" s="736">
        <f t="shared" si="34"/>
        <v>13632.6</v>
      </c>
      <c r="K148" s="736">
        <f t="shared" si="34"/>
        <v>0</v>
      </c>
      <c r="L148" s="745">
        <f t="shared" si="34"/>
        <v>0</v>
      </c>
      <c r="M148" s="733">
        <f>M143+M141+M147+M145</f>
        <v>12674.7</v>
      </c>
      <c r="N148" s="733">
        <f t="shared" ref="N148:T148" si="35">N143+N141+N147+N145</f>
        <v>12674.7</v>
      </c>
      <c r="O148" s="733">
        <f t="shared" si="35"/>
        <v>0</v>
      </c>
      <c r="P148" s="733">
        <f t="shared" si="35"/>
        <v>0</v>
      </c>
      <c r="Q148" s="1067">
        <f t="shared" si="35"/>
        <v>-957.89999999999964</v>
      </c>
      <c r="R148" s="1067">
        <f t="shared" si="35"/>
        <v>-957.89999999999964</v>
      </c>
      <c r="S148" s="733">
        <f t="shared" si="35"/>
        <v>0</v>
      </c>
      <c r="T148" s="733">
        <f t="shared" si="35"/>
        <v>0</v>
      </c>
    </row>
    <row r="149" spans="1:36" ht="13.5" thickBot="1" x14ac:dyDescent="0.25">
      <c r="A149" s="97" t="s">
        <v>9</v>
      </c>
      <c r="B149" s="1387" t="s">
        <v>13</v>
      </c>
      <c r="C149" s="1388"/>
      <c r="D149" s="1388"/>
      <c r="E149" s="1388"/>
      <c r="F149" s="1388"/>
      <c r="G149" s="1388"/>
      <c r="H149" s="1389"/>
      <c r="I149" s="763">
        <f t="shared" ref="I149:T149" si="36">SUM(I97,I117,I125,I132,I148)</f>
        <v>38428.399999999994</v>
      </c>
      <c r="J149" s="764">
        <f t="shared" si="36"/>
        <v>35843.599999999999</v>
      </c>
      <c r="K149" s="764">
        <f t="shared" si="36"/>
        <v>823.30000000000007</v>
      </c>
      <c r="L149" s="765">
        <f t="shared" si="36"/>
        <v>2584.8000000000002</v>
      </c>
      <c r="M149" s="763">
        <f t="shared" si="36"/>
        <v>37812.299999999996</v>
      </c>
      <c r="N149" s="764">
        <f t="shared" si="36"/>
        <v>35227.5</v>
      </c>
      <c r="O149" s="764">
        <f t="shared" si="36"/>
        <v>830.7</v>
      </c>
      <c r="P149" s="765">
        <f t="shared" si="36"/>
        <v>2584.8000000000002</v>
      </c>
      <c r="Q149" s="1068">
        <f t="shared" si="36"/>
        <v>-616.10000000000014</v>
      </c>
      <c r="R149" s="1069">
        <f t="shared" si="36"/>
        <v>-616.10000000000014</v>
      </c>
      <c r="S149" s="764">
        <f t="shared" si="36"/>
        <v>0.79999999999995453</v>
      </c>
      <c r="T149" s="765">
        <f t="shared" si="36"/>
        <v>0</v>
      </c>
    </row>
    <row r="150" spans="1:36" ht="14.25" customHeight="1" thickBot="1" x14ac:dyDescent="0.25">
      <c r="A150" s="100" t="s">
        <v>54</v>
      </c>
      <c r="B150" s="1390" t="s">
        <v>127</v>
      </c>
      <c r="C150" s="1391"/>
      <c r="D150" s="1391"/>
      <c r="E150" s="1391"/>
      <c r="F150" s="1391"/>
      <c r="G150" s="1391"/>
      <c r="H150" s="1513"/>
      <c r="I150" s="766">
        <f t="shared" ref="I150:S150" si="37">SUM(I149)</f>
        <v>38428.399999999994</v>
      </c>
      <c r="J150" s="767">
        <f t="shared" si="37"/>
        <v>35843.599999999999</v>
      </c>
      <c r="K150" s="767">
        <f t="shared" si="37"/>
        <v>823.30000000000007</v>
      </c>
      <c r="L150" s="768">
        <f t="shared" si="37"/>
        <v>2584.8000000000002</v>
      </c>
      <c r="M150" s="766">
        <f t="shared" si="37"/>
        <v>37812.299999999996</v>
      </c>
      <c r="N150" s="767">
        <f t="shared" si="37"/>
        <v>35227.5</v>
      </c>
      <c r="O150" s="767">
        <f t="shared" si="37"/>
        <v>830.7</v>
      </c>
      <c r="P150" s="768">
        <f t="shared" si="37"/>
        <v>2584.8000000000002</v>
      </c>
      <c r="Q150" s="1070">
        <f t="shared" si="37"/>
        <v>-616.10000000000014</v>
      </c>
      <c r="R150" s="1071">
        <f t="shared" si="37"/>
        <v>-616.10000000000014</v>
      </c>
      <c r="S150" s="767">
        <f t="shared" si="37"/>
        <v>0.79999999999995453</v>
      </c>
      <c r="T150" s="768">
        <f t="shared" ref="T150" si="38">SUM(T149)</f>
        <v>0</v>
      </c>
    </row>
    <row r="151" spans="1:36" s="20" customFormat="1" ht="19.5" customHeight="1" x14ac:dyDescent="0.2">
      <c r="A151" s="1512"/>
      <c r="B151" s="1512"/>
      <c r="C151" s="1512"/>
      <c r="D151" s="1512"/>
      <c r="E151" s="1512"/>
      <c r="F151" s="1512"/>
      <c r="G151" s="1512"/>
      <c r="H151" s="1512"/>
      <c r="I151" s="1512"/>
      <c r="J151" s="1512"/>
      <c r="K151" s="1512"/>
      <c r="L151" s="1512"/>
      <c r="M151" s="1512"/>
      <c r="N151" s="1512"/>
      <c r="O151" s="1512"/>
      <c r="P151" s="1512"/>
      <c r="Q151" s="1512"/>
      <c r="R151" s="1512"/>
      <c r="S151" s="1512"/>
      <c r="T151" s="1512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</row>
    <row r="152" spans="1:36" s="20" customFormat="1" ht="14.25" customHeight="1" thickBot="1" x14ac:dyDescent="0.25">
      <c r="A152" s="1368" t="s">
        <v>18</v>
      </c>
      <c r="B152" s="1368"/>
      <c r="C152" s="1368"/>
      <c r="D152" s="1368"/>
      <c r="E152" s="1368"/>
      <c r="F152" s="1368"/>
      <c r="G152" s="1368"/>
      <c r="H152" s="1368"/>
      <c r="I152" s="1368"/>
      <c r="J152" s="1368"/>
      <c r="K152" s="1368"/>
      <c r="L152" s="1368"/>
      <c r="M152" s="1368"/>
      <c r="N152" s="1368"/>
      <c r="O152" s="1368"/>
      <c r="P152" s="1368"/>
      <c r="Q152" s="1368"/>
      <c r="R152" s="1368"/>
      <c r="S152" s="1368"/>
      <c r="T152" s="1368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</row>
    <row r="153" spans="1:36" ht="35.25" customHeight="1" thickBot="1" x14ac:dyDescent="0.25">
      <c r="A153" s="1359" t="s">
        <v>14</v>
      </c>
      <c r="B153" s="1360"/>
      <c r="C153" s="1360"/>
      <c r="D153" s="1360"/>
      <c r="E153" s="1360"/>
      <c r="F153" s="1360"/>
      <c r="G153" s="1360"/>
      <c r="H153" s="1361"/>
      <c r="I153" s="1359" t="s">
        <v>139</v>
      </c>
      <c r="J153" s="1360"/>
      <c r="K153" s="1360"/>
      <c r="L153" s="1361"/>
      <c r="M153" s="1359" t="s">
        <v>223</v>
      </c>
      <c r="N153" s="1360"/>
      <c r="O153" s="1360"/>
      <c r="P153" s="1361"/>
      <c r="Q153" s="1359" t="s">
        <v>224</v>
      </c>
      <c r="R153" s="1360"/>
      <c r="S153" s="1360"/>
      <c r="T153" s="1361"/>
      <c r="U153" s="12"/>
    </row>
    <row r="154" spans="1:36" ht="14.25" customHeight="1" x14ac:dyDescent="0.2">
      <c r="A154" s="1362" t="s">
        <v>19</v>
      </c>
      <c r="B154" s="1363"/>
      <c r="C154" s="1363"/>
      <c r="D154" s="1363"/>
      <c r="E154" s="1363"/>
      <c r="F154" s="1363"/>
      <c r="G154" s="1363"/>
      <c r="H154" s="1364"/>
      <c r="I154" s="1365">
        <f>SUM(I155:L160)</f>
        <v>35578.100000000006</v>
      </c>
      <c r="J154" s="1366"/>
      <c r="K154" s="1366"/>
      <c r="L154" s="1367"/>
      <c r="M154" s="1365">
        <f>SUM(M155:P160)</f>
        <v>34954.800000000003</v>
      </c>
      <c r="N154" s="1366"/>
      <c r="O154" s="1366"/>
      <c r="P154" s="1367"/>
      <c r="Q154" s="1498">
        <f>SUM(Q155:T160)</f>
        <v>-623.30000000000007</v>
      </c>
      <c r="R154" s="1499"/>
      <c r="S154" s="1499"/>
      <c r="T154" s="1500"/>
      <c r="U154" s="12"/>
    </row>
    <row r="155" spans="1:36" ht="15" customHeight="1" x14ac:dyDescent="0.2">
      <c r="A155" s="1352" t="s">
        <v>25</v>
      </c>
      <c r="B155" s="1353"/>
      <c r="C155" s="1353"/>
      <c r="D155" s="1353"/>
      <c r="E155" s="1353"/>
      <c r="F155" s="1353"/>
      <c r="G155" s="1353"/>
      <c r="H155" s="1354"/>
      <c r="I155" s="1346">
        <f>SUMIF(H13:H150,"sb",I13:I150)</f>
        <v>31725.7</v>
      </c>
      <c r="J155" s="1347"/>
      <c r="K155" s="1347"/>
      <c r="L155" s="1348"/>
      <c r="M155" s="1346">
        <f>SUMIF(H13:H150,"sb",M13:M150)</f>
        <v>31102.400000000001</v>
      </c>
      <c r="N155" s="1347"/>
      <c r="O155" s="1347"/>
      <c r="P155" s="1348"/>
      <c r="Q155" s="1509">
        <f>SUMIF(H13:H150,"sb",Q13:Q150)</f>
        <v>-623.30000000000007</v>
      </c>
      <c r="R155" s="1510"/>
      <c r="S155" s="1510"/>
      <c r="T155" s="1511"/>
      <c r="U155" s="12"/>
    </row>
    <row r="156" spans="1:36" ht="17.25" customHeight="1" x14ac:dyDescent="0.2">
      <c r="A156" s="1352" t="s">
        <v>26</v>
      </c>
      <c r="B156" s="1353"/>
      <c r="C156" s="1353"/>
      <c r="D156" s="1353"/>
      <c r="E156" s="1353"/>
      <c r="F156" s="1353"/>
      <c r="G156" s="1353"/>
      <c r="H156" s="1354"/>
      <c r="I156" s="1346">
        <f>SUMIF(H15:H150,"SB(SP)",I15:I150)</f>
        <v>119.7</v>
      </c>
      <c r="J156" s="1347"/>
      <c r="K156" s="1347"/>
      <c r="L156" s="1348"/>
      <c r="M156" s="1346">
        <f>SUMIF(H13:H150,"SB(SP)",M13:M150)</f>
        <v>119.7</v>
      </c>
      <c r="N156" s="1347"/>
      <c r="O156" s="1347"/>
      <c r="P156" s="1348"/>
      <c r="Q156" s="1346">
        <f>SUMIF(L15:L150,"SB(SP)",Q15:Q150)</f>
        <v>0</v>
      </c>
      <c r="R156" s="1347"/>
      <c r="S156" s="1347"/>
      <c r="T156" s="1348"/>
      <c r="U156" s="12"/>
    </row>
    <row r="157" spans="1:36" ht="29.25" customHeight="1" x14ac:dyDescent="0.2">
      <c r="A157" s="1352" t="s">
        <v>227</v>
      </c>
      <c r="B157" s="1353"/>
      <c r="C157" s="1353"/>
      <c r="D157" s="1353"/>
      <c r="E157" s="1353"/>
      <c r="F157" s="1353"/>
      <c r="G157" s="1353"/>
      <c r="H157" s="1354"/>
      <c r="I157" s="1346">
        <f>SUMIF(H15:H150,"SB(spl)",I15:I150)</f>
        <v>1.9</v>
      </c>
      <c r="J157" s="1347"/>
      <c r="K157" s="1347"/>
      <c r="L157" s="1348"/>
      <c r="M157" s="1346">
        <f>SUMIF(H15:H150,"SB(SPL)",M15:M150)</f>
        <v>1.9</v>
      </c>
      <c r="N157" s="1347"/>
      <c r="O157" s="1347"/>
      <c r="P157" s="1348"/>
      <c r="Q157" s="1346">
        <f>SUMIF(L15:L150,"SB(SPL)",Q15:Q150)</f>
        <v>0</v>
      </c>
      <c r="R157" s="1347"/>
      <c r="S157" s="1347"/>
      <c r="T157" s="1348"/>
      <c r="U157" s="12"/>
    </row>
    <row r="158" spans="1:36" ht="14.25" customHeight="1" x14ac:dyDescent="0.2">
      <c r="A158" s="1352" t="s">
        <v>226</v>
      </c>
      <c r="B158" s="1353"/>
      <c r="C158" s="1353"/>
      <c r="D158" s="1353"/>
      <c r="E158" s="1353"/>
      <c r="F158" s="1353"/>
      <c r="G158" s="1353"/>
      <c r="H158" s="1354"/>
      <c r="I158" s="1346">
        <f>SUMIF(H13:H140,"SB(L)",I13:I140)</f>
        <v>3117</v>
      </c>
      <c r="J158" s="1347"/>
      <c r="K158" s="1347"/>
      <c r="L158" s="1348"/>
      <c r="M158" s="1346">
        <f>SUMIF(H13:H140,"SB(L)",M13:M140)</f>
        <v>3117</v>
      </c>
      <c r="N158" s="1347"/>
      <c r="O158" s="1347"/>
      <c r="P158" s="1348"/>
      <c r="Q158" s="1346">
        <f>SUMIF(L13:L140,"SB(L)",Q13:Q140)</f>
        <v>0</v>
      </c>
      <c r="R158" s="1347"/>
      <c r="S158" s="1347"/>
      <c r="T158" s="1348"/>
      <c r="U158" s="12"/>
    </row>
    <row r="159" spans="1:36" ht="14.25" customHeight="1" x14ac:dyDescent="0.2">
      <c r="A159" s="1352" t="s">
        <v>178</v>
      </c>
      <c r="B159" s="1353"/>
      <c r="C159" s="1353"/>
      <c r="D159" s="1353"/>
      <c r="E159" s="1353"/>
      <c r="F159" s="1353"/>
      <c r="G159" s="1353"/>
      <c r="H159" s="1354"/>
      <c r="I159" s="1346">
        <f>SUMIF(H14:H141,"SB(VR)",I14:I141)</f>
        <v>15</v>
      </c>
      <c r="J159" s="1347"/>
      <c r="K159" s="1347"/>
      <c r="L159" s="1348"/>
      <c r="M159" s="1346">
        <f>SUMIF(H14:H150,"SB(VR)",M14:M150)</f>
        <v>15</v>
      </c>
      <c r="N159" s="1347"/>
      <c r="O159" s="1347"/>
      <c r="P159" s="1348"/>
      <c r="Q159" s="1346">
        <f>SUMIF(L14:L150,"SB(VR)",Q14:Q150)</f>
        <v>0</v>
      </c>
      <c r="R159" s="1347"/>
      <c r="S159" s="1347"/>
      <c r="T159" s="1348"/>
      <c r="U159" s="12"/>
    </row>
    <row r="160" spans="1:36" ht="14.25" customHeight="1" x14ac:dyDescent="0.2">
      <c r="A160" s="1352" t="s">
        <v>27</v>
      </c>
      <c r="B160" s="1353"/>
      <c r="C160" s="1353"/>
      <c r="D160" s="1353"/>
      <c r="E160" s="1353"/>
      <c r="F160" s="1353"/>
      <c r="G160" s="1353"/>
      <c r="H160" s="1354"/>
      <c r="I160" s="1346">
        <f>SUMIF(H15:H150,"SB(P)",I15:I150)</f>
        <v>598.79999999999995</v>
      </c>
      <c r="J160" s="1347"/>
      <c r="K160" s="1347"/>
      <c r="L160" s="1348"/>
      <c r="M160" s="1346">
        <f>SUMIF(H15:H150,"SB(P)",M15:M150)</f>
        <v>598.79999999999995</v>
      </c>
      <c r="N160" s="1347"/>
      <c r="O160" s="1347"/>
      <c r="P160" s="1348"/>
      <c r="Q160" s="1346">
        <f>SUMIF(L15:L150,"SB(P)",Q15:Q150)</f>
        <v>0</v>
      </c>
      <c r="R160" s="1347"/>
      <c r="S160" s="1347"/>
      <c r="T160" s="1348"/>
      <c r="U160" s="12"/>
    </row>
    <row r="161" spans="1:21" ht="14.25" customHeight="1" x14ac:dyDescent="0.2">
      <c r="A161" s="1337" t="s">
        <v>20</v>
      </c>
      <c r="B161" s="1338"/>
      <c r="C161" s="1338"/>
      <c r="D161" s="1338"/>
      <c r="E161" s="1338"/>
      <c r="F161" s="1338"/>
      <c r="G161" s="1338"/>
      <c r="H161" s="1339"/>
      <c r="I161" s="1340">
        <f>SUM(I162:L165)</f>
        <v>2850.3</v>
      </c>
      <c r="J161" s="1341"/>
      <c r="K161" s="1341"/>
      <c r="L161" s="1342"/>
      <c r="M161" s="1340">
        <f>SUM(M162:P165)</f>
        <v>2857.5</v>
      </c>
      <c r="N161" s="1341"/>
      <c r="O161" s="1341"/>
      <c r="P161" s="1342"/>
      <c r="Q161" s="1340">
        <f>SUM(Q162:T165)</f>
        <v>7.2</v>
      </c>
      <c r="R161" s="1341"/>
      <c r="S161" s="1341"/>
      <c r="T161" s="1342"/>
      <c r="U161" s="12"/>
    </row>
    <row r="162" spans="1:21" ht="14.25" customHeight="1" x14ac:dyDescent="0.2">
      <c r="A162" s="1349" t="s">
        <v>28</v>
      </c>
      <c r="B162" s="1350"/>
      <c r="C162" s="1350"/>
      <c r="D162" s="1350"/>
      <c r="E162" s="1350"/>
      <c r="F162" s="1350"/>
      <c r="G162" s="1350"/>
      <c r="H162" s="1351"/>
      <c r="I162" s="1346">
        <f>SUMIF(H15:H150,"ES",I15:I150)</f>
        <v>568.9</v>
      </c>
      <c r="J162" s="1347"/>
      <c r="K162" s="1347"/>
      <c r="L162" s="1348"/>
      <c r="M162" s="1346">
        <f>SUMIF(H15:H150,"ES",M15:M150)</f>
        <v>568.9</v>
      </c>
      <c r="N162" s="1347"/>
      <c r="O162" s="1347"/>
      <c r="P162" s="1348"/>
      <c r="Q162" s="1346">
        <f>SUMIF(L15:L150,"ES",Q15:Q150)</f>
        <v>0</v>
      </c>
      <c r="R162" s="1347"/>
      <c r="S162" s="1347"/>
      <c r="T162" s="1348"/>
      <c r="U162" s="12"/>
    </row>
    <row r="163" spans="1:21" ht="14.25" customHeight="1" x14ac:dyDescent="0.2">
      <c r="A163" s="1349" t="s">
        <v>29</v>
      </c>
      <c r="B163" s="1350"/>
      <c r="C163" s="1350"/>
      <c r="D163" s="1350"/>
      <c r="E163" s="1350"/>
      <c r="F163" s="1350"/>
      <c r="G163" s="1350"/>
      <c r="H163" s="1351"/>
      <c r="I163" s="1346">
        <f>SUMIF(H15:H150,"KPP",I15:I150)</f>
        <v>0</v>
      </c>
      <c r="J163" s="1347"/>
      <c r="K163" s="1347"/>
      <c r="L163" s="1348"/>
      <c r="M163" s="1346">
        <f>SUMIF(H15:H150,"KPP",M15:M150)</f>
        <v>0</v>
      </c>
      <c r="N163" s="1347"/>
      <c r="O163" s="1347"/>
      <c r="P163" s="1348"/>
      <c r="Q163" s="1346">
        <f>SUMIF(L15:L150,"KPP",Q15:Q150)</f>
        <v>0</v>
      </c>
      <c r="R163" s="1347"/>
      <c r="S163" s="1347"/>
      <c r="T163" s="1348"/>
      <c r="U163" s="12"/>
    </row>
    <row r="164" spans="1:21" ht="14.25" customHeight="1" x14ac:dyDescent="0.2">
      <c r="A164" s="1352" t="s">
        <v>30</v>
      </c>
      <c r="B164" s="1353"/>
      <c r="C164" s="1353"/>
      <c r="D164" s="1353"/>
      <c r="E164" s="1353"/>
      <c r="F164" s="1353"/>
      <c r="G164" s="1353"/>
      <c r="H164" s="1354"/>
      <c r="I164" s="1346">
        <f>SUMIF(H15:H150,"LRVB",I15:I150)</f>
        <v>93.4</v>
      </c>
      <c r="J164" s="1347"/>
      <c r="K164" s="1347"/>
      <c r="L164" s="1348"/>
      <c r="M164" s="1346">
        <f>SUMIF(H15:H150,"LRVB",M15:M150)</f>
        <v>93.4</v>
      </c>
      <c r="N164" s="1347"/>
      <c r="O164" s="1347"/>
      <c r="P164" s="1348"/>
      <c r="Q164" s="1346">
        <f>SUMIF(L15:L150,"LRVB",Q15:Q150)</f>
        <v>0</v>
      </c>
      <c r="R164" s="1347"/>
      <c r="S164" s="1347"/>
      <c r="T164" s="1348"/>
      <c r="U164" s="12"/>
    </row>
    <row r="165" spans="1:21" ht="12.75" customHeight="1" x14ac:dyDescent="0.2">
      <c r="A165" s="1352" t="s">
        <v>31</v>
      </c>
      <c r="B165" s="1353"/>
      <c r="C165" s="1353"/>
      <c r="D165" s="1353"/>
      <c r="E165" s="1353"/>
      <c r="F165" s="1353"/>
      <c r="G165" s="1353"/>
      <c r="H165" s="1354"/>
      <c r="I165" s="1346">
        <f>SUMIF(H15:H150,"Kt",I15:I150)</f>
        <v>2188</v>
      </c>
      <c r="J165" s="1347"/>
      <c r="K165" s="1347"/>
      <c r="L165" s="1348"/>
      <c r="M165" s="1346">
        <f>SUMIF(H15:H150,"Kt",M15:M150)</f>
        <v>2195.1999999999998</v>
      </c>
      <c r="N165" s="1347"/>
      <c r="O165" s="1347"/>
      <c r="P165" s="1348"/>
      <c r="Q165" s="1509">
        <f>SUMIF(H15:H150,"Kt",Q15:Q150)</f>
        <v>7.2</v>
      </c>
      <c r="R165" s="1510"/>
      <c r="S165" s="1510"/>
      <c r="T165" s="1511"/>
      <c r="U165" s="12"/>
    </row>
    <row r="166" spans="1:21" ht="13.5" customHeight="1" thickBot="1" x14ac:dyDescent="0.25">
      <c r="A166" s="1504" t="s">
        <v>21</v>
      </c>
      <c r="B166" s="1505"/>
      <c r="C166" s="1505"/>
      <c r="D166" s="1505"/>
      <c r="E166" s="1505"/>
      <c r="F166" s="1505"/>
      <c r="G166" s="1505"/>
      <c r="H166" s="1506"/>
      <c r="I166" s="1501">
        <f>SUM(I154,I161)</f>
        <v>38428.400000000009</v>
      </c>
      <c r="J166" s="1502"/>
      <c r="K166" s="1502"/>
      <c r="L166" s="1503"/>
      <c r="M166" s="1501">
        <f>SUM(M154,M161)</f>
        <v>37812.300000000003</v>
      </c>
      <c r="N166" s="1502"/>
      <c r="O166" s="1502"/>
      <c r="P166" s="1503"/>
      <c r="Q166" s="1493">
        <f>SUM(Q154,Q161)</f>
        <v>-616.1</v>
      </c>
      <c r="R166" s="1494"/>
      <c r="S166" s="1494"/>
      <c r="T166" s="1495"/>
      <c r="U166" s="12"/>
    </row>
    <row r="167" spans="1:21" x14ac:dyDescent="0.2">
      <c r="A167" s="3"/>
      <c r="B167" s="3"/>
      <c r="C167" s="3"/>
      <c r="D167" s="3"/>
      <c r="E167" s="3"/>
      <c r="F167" s="3"/>
      <c r="G167" s="3"/>
      <c r="H167" s="3"/>
      <c r="U167" s="12"/>
    </row>
    <row r="168" spans="1:21" x14ac:dyDescent="0.2">
      <c r="A168" s="3"/>
      <c r="B168" s="3"/>
      <c r="C168" s="3"/>
      <c r="D168" s="3"/>
      <c r="E168" s="3"/>
      <c r="F168" s="3"/>
      <c r="G168" s="3"/>
      <c r="H168" s="3"/>
      <c r="I168" s="769"/>
      <c r="J168" s="772"/>
      <c r="K168" s="772"/>
      <c r="L168" s="772"/>
      <c r="M168" s="769"/>
      <c r="N168" s="772"/>
      <c r="O168" s="772"/>
      <c r="P168" s="772"/>
      <c r="Q168" s="769"/>
      <c r="R168" s="772"/>
      <c r="S168" s="772"/>
      <c r="T168" s="772"/>
      <c r="U168" s="12"/>
    </row>
    <row r="169" spans="1:21" x14ac:dyDescent="0.2">
      <c r="A169" s="3"/>
      <c r="B169" s="3"/>
      <c r="C169" s="3"/>
      <c r="D169" s="3"/>
      <c r="E169" s="3"/>
      <c r="F169" s="3"/>
      <c r="G169" s="3"/>
      <c r="H169" s="3"/>
      <c r="I169" s="770"/>
      <c r="J169" s="771"/>
      <c r="K169" s="772"/>
      <c r="M169" s="770"/>
      <c r="N169" s="771"/>
      <c r="O169" s="772"/>
      <c r="Q169" s="770"/>
      <c r="R169" s="771"/>
      <c r="S169" s="772"/>
      <c r="U169" s="12"/>
    </row>
    <row r="170" spans="1:21" x14ac:dyDescent="0.2">
      <c r="A170" s="3"/>
      <c r="B170" s="3"/>
      <c r="C170" s="3"/>
      <c r="D170" s="1127"/>
      <c r="E170" s="3"/>
      <c r="F170" s="3"/>
      <c r="G170" s="3"/>
      <c r="H170" s="3"/>
      <c r="J170" s="772"/>
      <c r="N170" s="772"/>
      <c r="R170" s="772"/>
      <c r="U170" s="12"/>
    </row>
  </sheetData>
  <mergeCells count="340">
    <mergeCell ref="Q6:T6"/>
    <mergeCell ref="Q1:T1"/>
    <mergeCell ref="A152:T152"/>
    <mergeCell ref="G6:G8"/>
    <mergeCell ref="H6:H8"/>
    <mergeCell ref="I6:L6"/>
    <mergeCell ref="I7:I8"/>
    <mergeCell ref="J7:K7"/>
    <mergeCell ref="L7:L8"/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M6:P6"/>
    <mergeCell ref="M7:M8"/>
    <mergeCell ref="N7:O7"/>
    <mergeCell ref="P7:P8"/>
    <mergeCell ref="Q7:Q8"/>
    <mergeCell ref="R7:S7"/>
    <mergeCell ref="T7:T8"/>
    <mergeCell ref="G17:G18"/>
    <mergeCell ref="D19:D21"/>
    <mergeCell ref="E19:E21"/>
    <mergeCell ref="D24:D25"/>
    <mergeCell ref="E24:E25"/>
    <mergeCell ref="A17:A18"/>
    <mergeCell ref="B17:B18"/>
    <mergeCell ref="C17:C18"/>
    <mergeCell ref="D17:D18"/>
    <mergeCell ref="E17:E18"/>
    <mergeCell ref="F17:F18"/>
    <mergeCell ref="D22:D23"/>
    <mergeCell ref="F13:F14"/>
    <mergeCell ref="G13:G14"/>
    <mergeCell ref="A9:T9"/>
    <mergeCell ref="A10:T10"/>
    <mergeCell ref="B11:T11"/>
    <mergeCell ref="C12:T12"/>
    <mergeCell ref="A13:A14"/>
    <mergeCell ref="B13:B14"/>
    <mergeCell ref="C13:C14"/>
    <mergeCell ref="D13:D14"/>
    <mergeCell ref="E13:E14"/>
    <mergeCell ref="D26:D27"/>
    <mergeCell ref="A29:A30"/>
    <mergeCell ref="B29:B30"/>
    <mergeCell ref="C29:C30"/>
    <mergeCell ref="D29:D30"/>
    <mergeCell ref="E29:E30"/>
    <mergeCell ref="F29:F30"/>
    <mergeCell ref="G29:G30"/>
    <mergeCell ref="E26:E28"/>
    <mergeCell ref="G31:G33"/>
    <mergeCell ref="A34:A35"/>
    <mergeCell ref="B34:B35"/>
    <mergeCell ref="C34:C35"/>
    <mergeCell ref="D34:D35"/>
    <mergeCell ref="E34:E35"/>
    <mergeCell ref="A31:A33"/>
    <mergeCell ref="B31:B33"/>
    <mergeCell ref="C31:C33"/>
    <mergeCell ref="D31:D33"/>
    <mergeCell ref="E31:E33"/>
    <mergeCell ref="F31:F33"/>
    <mergeCell ref="A39:A40"/>
    <mergeCell ref="B39:B40"/>
    <mergeCell ref="C39:C40"/>
    <mergeCell ref="E39:E44"/>
    <mergeCell ref="F34:F35"/>
    <mergeCell ref="G34:G35"/>
    <mergeCell ref="D39:D41"/>
    <mergeCell ref="F39:F40"/>
    <mergeCell ref="G39:G40"/>
    <mergeCell ref="A42:A44"/>
    <mergeCell ref="B42:B44"/>
    <mergeCell ref="C42:C44"/>
    <mergeCell ref="D42:D44"/>
    <mergeCell ref="F42:F44"/>
    <mergeCell ref="G42:G44"/>
    <mergeCell ref="D36:D38"/>
    <mergeCell ref="E36:E38"/>
    <mergeCell ref="F36:F38"/>
    <mergeCell ref="G36:G38"/>
    <mergeCell ref="D48:D50"/>
    <mergeCell ref="A45:A46"/>
    <mergeCell ref="B45:B46"/>
    <mergeCell ref="C45:C46"/>
    <mergeCell ref="D45:D46"/>
    <mergeCell ref="E45:E46"/>
    <mergeCell ref="F45:F46"/>
    <mergeCell ref="F56:F57"/>
    <mergeCell ref="G56:G57"/>
    <mergeCell ref="G54:G55"/>
    <mergeCell ref="F54:F55"/>
    <mergeCell ref="A56:A57"/>
    <mergeCell ref="B56:B57"/>
    <mergeCell ref="C56:C57"/>
    <mergeCell ref="D56:D57"/>
    <mergeCell ref="E56:E57"/>
    <mergeCell ref="A54:A55"/>
    <mergeCell ref="B54:B55"/>
    <mergeCell ref="C54:C55"/>
    <mergeCell ref="D54:D55"/>
    <mergeCell ref="E54:E55"/>
    <mergeCell ref="G45:G46"/>
    <mergeCell ref="G58:G60"/>
    <mergeCell ref="A61:A62"/>
    <mergeCell ref="B61:B62"/>
    <mergeCell ref="C61:C62"/>
    <mergeCell ref="D61:D62"/>
    <mergeCell ref="E61:E62"/>
    <mergeCell ref="A58:A60"/>
    <mergeCell ref="B58:B60"/>
    <mergeCell ref="C58:C60"/>
    <mergeCell ref="D58:D60"/>
    <mergeCell ref="E58:E60"/>
    <mergeCell ref="F58:F60"/>
    <mergeCell ref="F61:F62"/>
    <mergeCell ref="G61:G62"/>
    <mergeCell ref="G68:G70"/>
    <mergeCell ref="A66:A67"/>
    <mergeCell ref="B66:B67"/>
    <mergeCell ref="C66:C67"/>
    <mergeCell ref="D66:D67"/>
    <mergeCell ref="E66:E67"/>
    <mergeCell ref="F66:F67"/>
    <mergeCell ref="A63:A64"/>
    <mergeCell ref="B63:B64"/>
    <mergeCell ref="C63:C64"/>
    <mergeCell ref="D63:D64"/>
    <mergeCell ref="E63:E64"/>
    <mergeCell ref="F63:F64"/>
    <mergeCell ref="G63:G64"/>
    <mergeCell ref="G66:G67"/>
    <mergeCell ref="A71:A76"/>
    <mergeCell ref="B71:B76"/>
    <mergeCell ref="C71:C76"/>
    <mergeCell ref="D71:D76"/>
    <mergeCell ref="E71:E72"/>
    <mergeCell ref="F71:F76"/>
    <mergeCell ref="A68:A70"/>
    <mergeCell ref="B68:B70"/>
    <mergeCell ref="C68:C70"/>
    <mergeCell ref="D68:D70"/>
    <mergeCell ref="E68:E70"/>
    <mergeCell ref="F68:F70"/>
    <mergeCell ref="A79:A82"/>
    <mergeCell ref="B79:B82"/>
    <mergeCell ref="C79:C82"/>
    <mergeCell ref="D79:D82"/>
    <mergeCell ref="E79:E82"/>
    <mergeCell ref="F79:F82"/>
    <mergeCell ref="G79:G82"/>
    <mergeCell ref="A77:A78"/>
    <mergeCell ref="B77:B78"/>
    <mergeCell ref="C77:C78"/>
    <mergeCell ref="D77:D78"/>
    <mergeCell ref="E77:E78"/>
    <mergeCell ref="F77:F78"/>
    <mergeCell ref="A94:A96"/>
    <mergeCell ref="B94:B96"/>
    <mergeCell ref="C94:C96"/>
    <mergeCell ref="E94:E96"/>
    <mergeCell ref="F94:F96"/>
    <mergeCell ref="G94:G96"/>
    <mergeCell ref="D83:D84"/>
    <mergeCell ref="A90:A93"/>
    <mergeCell ref="B90:B93"/>
    <mergeCell ref="C90:C93"/>
    <mergeCell ref="D90:D93"/>
    <mergeCell ref="E90:E93"/>
    <mergeCell ref="F90:F93"/>
    <mergeCell ref="G90:G93"/>
    <mergeCell ref="C97:H97"/>
    <mergeCell ref="C98:T98"/>
    <mergeCell ref="A99:A101"/>
    <mergeCell ref="B99:B101"/>
    <mergeCell ref="C99:C101"/>
    <mergeCell ref="D99:D101"/>
    <mergeCell ref="E99:E101"/>
    <mergeCell ref="F99:F101"/>
    <mergeCell ref="G99:G101"/>
    <mergeCell ref="A108:A109"/>
    <mergeCell ref="B108:B109"/>
    <mergeCell ref="C108:C109"/>
    <mergeCell ref="G102:G104"/>
    <mergeCell ref="G105:G107"/>
    <mergeCell ref="A105:A107"/>
    <mergeCell ref="B105:B107"/>
    <mergeCell ref="C105:C107"/>
    <mergeCell ref="D105:D107"/>
    <mergeCell ref="E105:E107"/>
    <mergeCell ref="F105:F107"/>
    <mergeCell ref="A102:A104"/>
    <mergeCell ref="B102:B104"/>
    <mergeCell ref="C102:C104"/>
    <mergeCell ref="D102:D104"/>
    <mergeCell ref="E102:E104"/>
    <mergeCell ref="F102:F104"/>
    <mergeCell ref="D108:D109"/>
    <mergeCell ref="E108:E109"/>
    <mergeCell ref="F108:F109"/>
    <mergeCell ref="G108:G109"/>
    <mergeCell ref="C113:C114"/>
    <mergeCell ref="D113:D114"/>
    <mergeCell ref="E113:E114"/>
    <mergeCell ref="F113:F114"/>
    <mergeCell ref="A110:A112"/>
    <mergeCell ref="B110:B112"/>
    <mergeCell ref="C110:C112"/>
    <mergeCell ref="D110:D112"/>
    <mergeCell ref="E110:E112"/>
    <mergeCell ref="F110:F112"/>
    <mergeCell ref="G113:G114"/>
    <mergeCell ref="G110:G112"/>
    <mergeCell ref="C118:T118"/>
    <mergeCell ref="E122:E124"/>
    <mergeCell ref="F122:F124"/>
    <mergeCell ref="G122:G124"/>
    <mergeCell ref="A119:A121"/>
    <mergeCell ref="B119:B121"/>
    <mergeCell ref="C119:C121"/>
    <mergeCell ref="D119:D121"/>
    <mergeCell ref="E119:E121"/>
    <mergeCell ref="F119:F121"/>
    <mergeCell ref="A115:A116"/>
    <mergeCell ref="B115:B116"/>
    <mergeCell ref="C115:C116"/>
    <mergeCell ref="D115:D116"/>
    <mergeCell ref="E115:E116"/>
    <mergeCell ref="F115:F116"/>
    <mergeCell ref="G119:G121"/>
    <mergeCell ref="A122:A124"/>
    <mergeCell ref="B122:B124"/>
    <mergeCell ref="C122:C124"/>
    <mergeCell ref="A113:A114"/>
    <mergeCell ref="B113:B114"/>
    <mergeCell ref="A130:A131"/>
    <mergeCell ref="E130:E131"/>
    <mergeCell ref="F130:F131"/>
    <mergeCell ref="G130:G131"/>
    <mergeCell ref="C132:H132"/>
    <mergeCell ref="G142:G143"/>
    <mergeCell ref="A140:A141"/>
    <mergeCell ref="G134:G141"/>
    <mergeCell ref="G115:G116"/>
    <mergeCell ref="C117:H117"/>
    <mergeCell ref="D142:D143"/>
    <mergeCell ref="E142:E143"/>
    <mergeCell ref="F134:F141"/>
    <mergeCell ref="D122:D124"/>
    <mergeCell ref="D128:D129"/>
    <mergeCell ref="C125:H125"/>
    <mergeCell ref="C126:T126"/>
    <mergeCell ref="F142:F143"/>
    <mergeCell ref="B140:B141"/>
    <mergeCell ref="C140:C141"/>
    <mergeCell ref="D140:D141"/>
    <mergeCell ref="E134:E141"/>
    <mergeCell ref="A142:A143"/>
    <mergeCell ref="B142:B143"/>
    <mergeCell ref="A151:T151"/>
    <mergeCell ref="B150:H150"/>
    <mergeCell ref="I165:L165"/>
    <mergeCell ref="A160:H160"/>
    <mergeCell ref="A161:H161"/>
    <mergeCell ref="M157:P157"/>
    <mergeCell ref="M158:P158"/>
    <mergeCell ref="A153:H153"/>
    <mergeCell ref="Q165:T165"/>
    <mergeCell ref="I156:L156"/>
    <mergeCell ref="A144:A145"/>
    <mergeCell ref="B144:B145"/>
    <mergeCell ref="C144:C145"/>
    <mergeCell ref="D144:D145"/>
    <mergeCell ref="E144:E145"/>
    <mergeCell ref="F144:F145"/>
    <mergeCell ref="G144:G145"/>
    <mergeCell ref="Q161:T161"/>
    <mergeCell ref="I161:L161"/>
    <mergeCell ref="I153:L153"/>
    <mergeCell ref="A154:H154"/>
    <mergeCell ref="Q155:T155"/>
    <mergeCell ref="Q156:T156"/>
    <mergeCell ref="Q157:T157"/>
    <mergeCell ref="Q158:T158"/>
    <mergeCell ref="Q159:T159"/>
    <mergeCell ref="Q160:T160"/>
    <mergeCell ref="I154:L154"/>
    <mergeCell ref="A155:H155"/>
    <mergeCell ref="M153:P153"/>
    <mergeCell ref="A146:A147"/>
    <mergeCell ref="D146:D147"/>
    <mergeCell ref="C148:H148"/>
    <mergeCell ref="B149:H149"/>
    <mergeCell ref="M166:P166"/>
    <mergeCell ref="M160:P160"/>
    <mergeCell ref="M161:P161"/>
    <mergeCell ref="M162:P162"/>
    <mergeCell ref="M159:P159"/>
    <mergeCell ref="A166:H166"/>
    <mergeCell ref="I166:L166"/>
    <mergeCell ref="A164:H164"/>
    <mergeCell ref="I164:L164"/>
    <mergeCell ref="M163:P163"/>
    <mergeCell ref="M164:P164"/>
    <mergeCell ref="A165:H165"/>
    <mergeCell ref="A163:H163"/>
    <mergeCell ref="I163:L163"/>
    <mergeCell ref="M165:P165"/>
    <mergeCell ref="I160:L160"/>
    <mergeCell ref="C142:C143"/>
    <mergeCell ref="Q166:T166"/>
    <mergeCell ref="A159:H159"/>
    <mergeCell ref="B130:B131"/>
    <mergeCell ref="C130:C131"/>
    <mergeCell ref="D130:D131"/>
    <mergeCell ref="C133:T133"/>
    <mergeCell ref="Q162:T162"/>
    <mergeCell ref="Q163:T163"/>
    <mergeCell ref="Q164:T164"/>
    <mergeCell ref="Q153:T153"/>
    <mergeCell ref="Q154:T154"/>
    <mergeCell ref="A157:H157"/>
    <mergeCell ref="I157:L157"/>
    <mergeCell ref="A158:H158"/>
    <mergeCell ref="I158:L158"/>
    <mergeCell ref="A162:H162"/>
    <mergeCell ref="I162:L162"/>
    <mergeCell ref="I159:L159"/>
    <mergeCell ref="M154:P154"/>
    <mergeCell ref="M155:P155"/>
    <mergeCell ref="M156:P156"/>
    <mergeCell ref="I155:L155"/>
    <mergeCell ref="A156:H156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95" orientation="landscape" r:id="rId1"/>
  <rowBreaks count="3" manualBreakCount="3">
    <brk id="53" max="19" man="1"/>
    <brk id="78" max="19" man="1"/>
    <brk id="117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6</vt:i4>
      </vt:variant>
    </vt:vector>
  </HeadingPairs>
  <TitlesOfParts>
    <vt:vector size="9" baseType="lpstr">
      <vt:lpstr>2014-2016 SVP</vt:lpstr>
      <vt:lpstr>Lyginamasis variantas </vt:lpstr>
      <vt:lpstr>Rengimo medžiaga</vt:lpstr>
      <vt:lpstr>'2014-2016 SVP'!Print_Area</vt:lpstr>
      <vt:lpstr>'Lyginamasis variantas '!Print_Area</vt:lpstr>
      <vt:lpstr>'Rengimo medžiaga'!Print_Area</vt:lpstr>
      <vt:lpstr>'2014-2016 SVP'!Print_Titles</vt:lpstr>
      <vt:lpstr>'Lyginamasis variantas 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2014-11-26T09:19:56Z</cp:lastPrinted>
  <dcterms:created xsi:type="dcterms:W3CDTF">2007-07-27T10:32:34Z</dcterms:created>
  <dcterms:modified xsi:type="dcterms:W3CDTF">2014-12-12T08:33:50Z</dcterms:modified>
</cp:coreProperties>
</file>