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405" windowWidth="15480" windowHeight="10980"/>
  </bookViews>
  <sheets>
    <sheet name="2 programa" sheetId="8" r:id="rId1"/>
    <sheet name="Aiškinamoji lentelė" sheetId="5" state="hidden" r:id="rId2"/>
    <sheet name="Asignavimų valdytojų kodai" sheetId="3" state="hidden" r:id="rId3"/>
    <sheet name="Lapas1" sheetId="7" state="hidden" r:id="rId4"/>
  </sheets>
  <definedNames>
    <definedName name="_xlnm.Print_Area" localSheetId="0">'2 programa'!$A$1:$N$68</definedName>
    <definedName name="_xlnm.Print_Area" localSheetId="1">'Aiškinamoji lentelė'!$A$1:$AB$79</definedName>
    <definedName name="_xlnm.Print_Titles" localSheetId="0">'2 programa'!$5:$7</definedName>
    <definedName name="_xlnm.Print_Titles" localSheetId="1">'Aiškinamoji lentelė'!$5:$7</definedName>
  </definedNames>
  <calcPr calcId="145621"/>
</workbook>
</file>

<file path=xl/calcChain.xml><?xml version="1.0" encoding="utf-8"?>
<calcChain xmlns="http://schemas.openxmlformats.org/spreadsheetml/2006/main">
  <c r="J46" i="8" l="1"/>
  <c r="I46" i="8"/>
  <c r="H46" i="8"/>
  <c r="J51" i="8"/>
  <c r="I51" i="8"/>
  <c r="I50" i="8"/>
  <c r="J50" i="8"/>
  <c r="J49" i="8"/>
  <c r="I49" i="8"/>
  <c r="H48" i="8"/>
  <c r="J45" i="8"/>
  <c r="I45" i="8"/>
  <c r="H45" i="8"/>
  <c r="H44" i="8"/>
  <c r="J38" i="8"/>
  <c r="I38" i="8"/>
  <c r="H38" i="8"/>
  <c r="J35" i="8"/>
  <c r="I35" i="8"/>
  <c r="H35" i="8"/>
  <c r="J32" i="8"/>
  <c r="I32" i="8"/>
  <c r="H32" i="8"/>
  <c r="J28" i="8"/>
  <c r="I28" i="8"/>
  <c r="H28" i="8"/>
  <c r="H23" i="8"/>
  <c r="H18" i="8"/>
  <c r="J17" i="8"/>
  <c r="I17" i="8"/>
  <c r="H17" i="8"/>
  <c r="J12" i="8"/>
  <c r="I12" i="8"/>
  <c r="H12" i="8"/>
  <c r="S79" i="5" l="1"/>
  <c r="U79" i="5"/>
  <c r="V79" i="5"/>
  <c r="H61" i="8" l="1"/>
  <c r="H63" i="8" l="1"/>
  <c r="H66" i="8"/>
  <c r="I66" i="8"/>
  <c r="J66" i="8"/>
  <c r="O76" i="5" l="1"/>
  <c r="J25" i="8" l="1"/>
  <c r="I25" i="8"/>
  <c r="H25" i="8"/>
  <c r="P17" i="5"/>
  <c r="X28" i="5"/>
  <c r="W28" i="5"/>
  <c r="V28" i="5"/>
  <c r="U28" i="5"/>
  <c r="T28" i="5"/>
  <c r="R28" i="5"/>
  <c r="Q28" i="5"/>
  <c r="P28" i="5"/>
  <c r="N28" i="5"/>
  <c r="M28" i="5"/>
  <c r="L28" i="5"/>
  <c r="K28" i="5"/>
  <c r="S26" i="5"/>
  <c r="S28" i="5" s="1"/>
  <c r="O26" i="5"/>
  <c r="O28" i="5" s="1"/>
  <c r="N47" i="5" l="1"/>
  <c r="P12" i="5" l="1"/>
  <c r="O12" i="5" s="1"/>
  <c r="H67" i="8" l="1"/>
  <c r="H65" i="8"/>
  <c r="H62" i="8"/>
  <c r="H52" i="8"/>
  <c r="H47" i="8"/>
  <c r="H39" i="8"/>
  <c r="H37" i="8"/>
  <c r="H34" i="8"/>
  <c r="H31" i="8"/>
  <c r="H22" i="8"/>
  <c r="H16" i="8"/>
  <c r="J67" i="8"/>
  <c r="I67" i="8"/>
  <c r="J65" i="8"/>
  <c r="I65" i="8"/>
  <c r="J62" i="8"/>
  <c r="I62" i="8"/>
  <c r="J61" i="8"/>
  <c r="I61" i="8"/>
  <c r="J52" i="8"/>
  <c r="I52" i="8"/>
  <c r="J47" i="8"/>
  <c r="I47" i="8"/>
  <c r="J39" i="8"/>
  <c r="I39" i="8"/>
  <c r="J37" i="8"/>
  <c r="I37" i="8"/>
  <c r="J34" i="8"/>
  <c r="I34" i="8"/>
  <c r="J31" i="8"/>
  <c r="I31" i="8"/>
  <c r="J22" i="8"/>
  <c r="I22" i="8"/>
  <c r="J16" i="8"/>
  <c r="I16" i="8"/>
  <c r="H60" i="8" l="1"/>
  <c r="H26" i="8"/>
  <c r="I26" i="8"/>
  <c r="J26" i="8"/>
  <c r="H53" i="8"/>
  <c r="H54" i="8" s="1"/>
  <c r="I64" i="8"/>
  <c r="H64" i="8"/>
  <c r="I53" i="8"/>
  <c r="I54" i="8" s="1"/>
  <c r="J53" i="8"/>
  <c r="J54" i="8" s="1"/>
  <c r="H40" i="8"/>
  <c r="I60" i="8"/>
  <c r="I40" i="8"/>
  <c r="J60" i="8"/>
  <c r="J40" i="8"/>
  <c r="J64" i="8"/>
  <c r="H68" i="8" l="1"/>
  <c r="I68" i="8"/>
  <c r="H41" i="8"/>
  <c r="H55" i="8" s="1"/>
  <c r="J41" i="8"/>
  <c r="J55" i="8" s="1"/>
  <c r="I41" i="8"/>
  <c r="I55" i="8" s="1"/>
  <c r="J68" i="8"/>
  <c r="W50" i="5" l="1"/>
  <c r="W73" i="5"/>
  <c r="W77" i="5"/>
  <c r="X76" i="5"/>
  <c r="W76" i="5"/>
  <c r="M58" i="5"/>
  <c r="L58" i="5"/>
  <c r="K57" i="5"/>
  <c r="N56" i="5"/>
  <c r="K56" i="5" s="1"/>
  <c r="X55" i="5"/>
  <c r="L55" i="5"/>
  <c r="M55" i="5"/>
  <c r="N55" i="5"/>
  <c r="P55" i="5"/>
  <c r="Q55" i="5"/>
  <c r="R55" i="5"/>
  <c r="S55" i="5"/>
  <c r="T55" i="5"/>
  <c r="U55" i="5"/>
  <c r="V55" i="5"/>
  <c r="W55" i="5"/>
  <c r="K55" i="5"/>
  <c r="O51" i="5"/>
  <c r="O55" i="5" s="1"/>
  <c r="W63" i="5" l="1"/>
  <c r="W64" i="5" s="1"/>
  <c r="N58" i="5"/>
  <c r="K58" i="5"/>
  <c r="X75" i="5"/>
  <c r="W75" i="5"/>
  <c r="W74" i="5" s="1"/>
  <c r="S76" i="5"/>
  <c r="K75" i="5"/>
  <c r="S75" i="5" l="1"/>
  <c r="O75" i="5"/>
  <c r="X42" i="5"/>
  <c r="W42" i="5"/>
  <c r="V42" i="5"/>
  <c r="U42" i="5"/>
  <c r="T42" i="5"/>
  <c r="R42" i="5"/>
  <c r="Q42" i="5"/>
  <c r="P42" i="5"/>
  <c r="N42" i="5"/>
  <c r="M42" i="5"/>
  <c r="L42" i="5"/>
  <c r="O42" i="5"/>
  <c r="S41" i="5"/>
  <c r="K41" i="5"/>
  <c r="O38" i="5"/>
  <c r="K42" i="5" l="1"/>
  <c r="S42" i="5"/>
  <c r="S12" i="5" l="1"/>
  <c r="S38" i="5"/>
  <c r="Q25" i="5"/>
  <c r="R25" i="5"/>
  <c r="T25" i="5"/>
  <c r="U25" i="5"/>
  <c r="V25" i="5"/>
  <c r="W25" i="5"/>
  <c r="X25" i="5"/>
  <c r="O24" i="5"/>
  <c r="O18" i="5"/>
  <c r="O72" i="5" s="1"/>
  <c r="O19" i="5"/>
  <c r="O20" i="5"/>
  <c r="O21" i="5"/>
  <c r="O22" i="5"/>
  <c r="O23" i="5"/>
  <c r="S19" i="5"/>
  <c r="S17" i="5"/>
  <c r="S25" i="5" l="1"/>
  <c r="P25" i="5"/>
  <c r="O17" i="5"/>
  <c r="W71" i="5"/>
  <c r="W70" i="5" s="1"/>
  <c r="W78" i="5" s="1"/>
  <c r="W79" i="5" s="1"/>
  <c r="N62" i="5"/>
  <c r="M62" i="5"/>
  <c r="L62" i="5"/>
  <c r="K61" i="5"/>
  <c r="K60" i="5"/>
  <c r="K59" i="5"/>
  <c r="K49" i="5"/>
  <c r="K48" i="5"/>
  <c r="O25" i="5" l="1"/>
  <c r="K62" i="5"/>
  <c r="K17" i="5"/>
  <c r="K12" i="5" l="1"/>
  <c r="L16" i="5"/>
  <c r="M16" i="5"/>
  <c r="N16" i="5"/>
  <c r="P16" i="5"/>
  <c r="P29" i="5" s="1"/>
  <c r="Q16" i="5"/>
  <c r="Q29" i="5" s="1"/>
  <c r="R16" i="5"/>
  <c r="R29" i="5" s="1"/>
  <c r="T16" i="5"/>
  <c r="T29" i="5" s="1"/>
  <c r="U16" i="5"/>
  <c r="U29" i="5" s="1"/>
  <c r="V16" i="5"/>
  <c r="V29" i="5" s="1"/>
  <c r="W16" i="5"/>
  <c r="W29" i="5" s="1"/>
  <c r="X16" i="5"/>
  <c r="X29" i="5" s="1"/>
  <c r="K18" i="5"/>
  <c r="K76" i="5" s="1"/>
  <c r="K19" i="5"/>
  <c r="L25" i="5"/>
  <c r="L29" i="5" s="1"/>
  <c r="M25" i="5"/>
  <c r="M29" i="5" s="1"/>
  <c r="N25" i="5"/>
  <c r="N29" i="5" s="1"/>
  <c r="K31" i="5"/>
  <c r="K34" i="5" s="1"/>
  <c r="O31" i="5"/>
  <c r="S31" i="5"/>
  <c r="S34" i="5" s="1"/>
  <c r="L34" i="5"/>
  <c r="M34" i="5"/>
  <c r="N34" i="5"/>
  <c r="Q34" i="5"/>
  <c r="R34" i="5"/>
  <c r="T34" i="5"/>
  <c r="U34" i="5"/>
  <c r="V34" i="5"/>
  <c r="W34" i="5"/>
  <c r="X34" i="5"/>
  <c r="K35" i="5"/>
  <c r="O35" i="5"/>
  <c r="S35" i="5"/>
  <c r="S71" i="5" s="1"/>
  <c r="L37" i="5"/>
  <c r="M37" i="5"/>
  <c r="N37" i="5"/>
  <c r="Q37" i="5"/>
  <c r="R37" i="5"/>
  <c r="T37" i="5"/>
  <c r="U37" i="5"/>
  <c r="V37" i="5"/>
  <c r="W37" i="5"/>
  <c r="X37" i="5"/>
  <c r="K38" i="5"/>
  <c r="S39" i="5"/>
  <c r="L40" i="5"/>
  <c r="M40" i="5"/>
  <c r="N40" i="5"/>
  <c r="Q40" i="5"/>
  <c r="Q43" i="5" s="1"/>
  <c r="R40" i="5"/>
  <c r="T40" i="5"/>
  <c r="T43" i="5" s="1"/>
  <c r="U40" i="5"/>
  <c r="U43" i="5" s="1"/>
  <c r="V40" i="5"/>
  <c r="V43" i="5" s="1"/>
  <c r="W40" i="5"/>
  <c r="X40" i="5"/>
  <c r="K47" i="5"/>
  <c r="K73" i="5" s="1"/>
  <c r="O47" i="5"/>
  <c r="S47" i="5"/>
  <c r="O48" i="5"/>
  <c r="S48" i="5"/>
  <c r="O49" i="5"/>
  <c r="O77" i="5" s="1"/>
  <c r="S49" i="5"/>
  <c r="L50" i="5"/>
  <c r="L63" i="5" s="1"/>
  <c r="M50" i="5"/>
  <c r="M63" i="5" s="1"/>
  <c r="N50" i="5"/>
  <c r="N63" i="5" s="1"/>
  <c r="P50" i="5"/>
  <c r="P63" i="5" s="1"/>
  <c r="Q50" i="5"/>
  <c r="Q63" i="5" s="1"/>
  <c r="T50" i="5"/>
  <c r="T63" i="5" s="1"/>
  <c r="U50" i="5"/>
  <c r="U63" i="5" s="1"/>
  <c r="V50" i="5"/>
  <c r="V63" i="5" s="1"/>
  <c r="X50" i="5"/>
  <c r="X63" i="5" s="1"/>
  <c r="K77" i="5"/>
  <c r="X71" i="5"/>
  <c r="X73" i="5"/>
  <c r="X77" i="5"/>
  <c r="X74" i="5" s="1"/>
  <c r="O34" i="5" l="1"/>
  <c r="O71" i="5"/>
  <c r="O73" i="5"/>
  <c r="O50" i="5"/>
  <c r="O63" i="5" s="1"/>
  <c r="X43" i="5"/>
  <c r="R43" i="5"/>
  <c r="W43" i="5"/>
  <c r="W44" i="5" s="1"/>
  <c r="W65" i="5" s="1"/>
  <c r="K71" i="5"/>
  <c r="K70" i="5" s="1"/>
  <c r="K74" i="5"/>
  <c r="O74" i="5"/>
  <c r="M64" i="5"/>
  <c r="V64" i="5"/>
  <c r="S77" i="5"/>
  <c r="S74" i="5" s="1"/>
  <c r="R44" i="5"/>
  <c r="X64" i="5"/>
  <c r="U64" i="5"/>
  <c r="N64" i="5"/>
  <c r="Q64" i="5"/>
  <c r="L64" i="5"/>
  <c r="Q44" i="5"/>
  <c r="T64" i="5"/>
  <c r="P64" i="5"/>
  <c r="X44" i="5"/>
  <c r="T44" i="5"/>
  <c r="M43" i="5"/>
  <c r="L43" i="5"/>
  <c r="S37" i="5"/>
  <c r="K50" i="5"/>
  <c r="K63" i="5" s="1"/>
  <c r="O40" i="5"/>
  <c r="O16" i="5"/>
  <c r="O29" i="5" s="1"/>
  <c r="S50" i="5"/>
  <c r="S63" i="5" s="1"/>
  <c r="U44" i="5"/>
  <c r="K40" i="5"/>
  <c r="S40" i="5"/>
  <c r="K37" i="5"/>
  <c r="K25" i="5"/>
  <c r="K16" i="5"/>
  <c r="S16" i="5"/>
  <c r="S29" i="5" s="1"/>
  <c r="X70" i="5"/>
  <c r="X78" i="5" s="1"/>
  <c r="X79" i="5" s="1"/>
  <c r="P34" i="5"/>
  <c r="R50" i="5"/>
  <c r="R63" i="5" s="1"/>
  <c r="S73" i="5"/>
  <c r="S70" i="5" s="1"/>
  <c r="N43" i="5"/>
  <c r="O37" i="5"/>
  <c r="P40" i="5"/>
  <c r="P37" i="5"/>
  <c r="P43" i="5" s="1"/>
  <c r="O43" i="5" l="1"/>
  <c r="K29" i="5"/>
  <c r="S43" i="5"/>
  <c r="S44" i="5" s="1"/>
  <c r="T65" i="5"/>
  <c r="X65" i="5"/>
  <c r="S78" i="5"/>
  <c r="T79" i="5" s="1"/>
  <c r="K78" i="5"/>
  <c r="R64" i="5"/>
  <c r="R65" i="5" s="1"/>
  <c r="U65" i="5"/>
  <c r="P44" i="5"/>
  <c r="P65" i="5" s="1"/>
  <c r="O44" i="5"/>
  <c r="Q65" i="5"/>
  <c r="L44" i="5"/>
  <c r="L65" i="5" s="1"/>
  <c r="O70" i="5"/>
  <c r="O78" i="5" s="1"/>
  <c r="P79" i="5" s="1"/>
  <c r="O64" i="5"/>
  <c r="V44" i="5"/>
  <c r="V65" i="5" s="1"/>
  <c r="M44" i="5"/>
  <c r="M65" i="5" s="1"/>
  <c r="N44" i="5"/>
  <c r="N65" i="5" s="1"/>
  <c r="K64" i="5"/>
  <c r="S64" i="5"/>
  <c r="K43" i="5"/>
  <c r="K44" i="5" l="1"/>
  <c r="O65" i="5"/>
  <c r="K65" i="5"/>
  <c r="S65" i="5"/>
</calcChain>
</file>

<file path=xl/comments1.xml><?xml version="1.0" encoding="utf-8"?>
<comments xmlns="http://schemas.openxmlformats.org/spreadsheetml/2006/main">
  <authors>
    <author>Audra Cepiene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186"/>
          </rPr>
          <t>3.2.2.3</t>
        </r>
        <r>
          <rPr>
            <sz val="9"/>
            <color indexed="81"/>
            <rFont val="Tahoma"/>
            <family val="2"/>
            <charset val="186"/>
          </rPr>
          <t xml:space="preserve">
Skatinti laivais keliaujančių turistų pritraukimą į Klaipėdos miestą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KSP 3.2.2.1 
Stiprinti tarptautinių jūrinių renginių (Jūros šventė, laivų paradas ir kt.), regatų (Baltic Sprint Cup, Tall Ship Race, Baltic Sail, Volvo Ocean Race ir kt.) tradicijas</t>
        </r>
      </text>
    </comment>
    <comment ref="E23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3.2.2.1 </t>
        </r>
        <r>
          <rPr>
            <sz val="9"/>
            <color indexed="81"/>
            <rFont val="Tahoma"/>
            <family val="2"/>
            <charset val="186"/>
          </rPr>
          <t xml:space="preserve">
Stiprinti tarptautinių jūrinių renginių (Jūros šventė, laivų paradas ir kt.), regatų (Baltic Sprint Cup, Tall Ship Race, Baltic Sail, Volvo Ocean Race ir kt.) tradicijas</t>
        </r>
      </text>
    </comment>
    <comment ref="E28" authorId="0">
      <text>
        <r>
          <rPr>
            <b/>
            <sz val="9"/>
            <color indexed="81"/>
            <rFont val="Tahoma"/>
            <charset val="1"/>
          </rPr>
          <t>KSP 3.2.3.2. Į</t>
        </r>
        <r>
          <rPr>
            <sz val="9"/>
            <color indexed="81"/>
            <rFont val="Tahoma"/>
            <charset val="1"/>
          </rPr>
          <t xml:space="preserve">gyvendinti tikslines jūrinio turizmo rinkodaros priemones; </t>
        </r>
        <r>
          <rPr>
            <b/>
            <sz val="9"/>
            <color indexed="81"/>
            <rFont val="Tahoma"/>
            <family val="2"/>
            <charset val="186"/>
          </rPr>
          <t>KSP 3.2.3.3.</t>
        </r>
        <r>
          <rPr>
            <sz val="9"/>
            <color indexed="81"/>
            <rFont val="Tahoma"/>
            <charset val="1"/>
          </rPr>
          <t>Pristatyti Klaipėdos miesto turizmo galimybes tarptautinėse parodose ir kituose renginiuose bendradarbiaujant su regiono savivaldybėmis</t>
        </r>
      </text>
    </comment>
    <comment ref="E32" authorId="0">
      <text>
        <r>
          <rPr>
            <b/>
            <sz val="9"/>
            <color indexed="81"/>
            <rFont val="Tahoma"/>
            <charset val="1"/>
          </rPr>
          <t>KSP 3.2.3.1</t>
        </r>
        <r>
          <rPr>
            <sz val="9"/>
            <color indexed="81"/>
            <rFont val="Tahoma"/>
            <charset val="1"/>
          </rPr>
          <t xml:space="preserve">
Periodiškai rengti, leisti ir platinti Klaipėdą ir jos turizmo produktus (įtraukiant ir svarbiausius Klaipėdos regiono turizmo produktus) pristatančius leidinius, skirtus tikslinėms teritorijoms</t>
        </r>
      </text>
    </comment>
    <comment ref="E45" authorId="0">
      <text>
        <r>
          <rPr>
            <b/>
            <sz val="9"/>
            <color indexed="81"/>
            <rFont val="Tahoma"/>
            <charset val="1"/>
          </rPr>
          <t>3.2.1.1.</t>
        </r>
        <r>
          <rPr>
            <sz val="9"/>
            <color indexed="81"/>
            <rFont val="Tahoma"/>
            <charset val="1"/>
          </rPr>
          <t xml:space="preserve">
Atkurti Klaipėdos piliavietę bei pritaikyti kultūros ir turizmo poreikiams</t>
        </r>
      </text>
    </comment>
    <comment ref="E49" authorId="0">
      <text>
        <r>
          <rPr>
            <b/>
            <sz val="9"/>
            <color indexed="81"/>
            <rFont val="Tahoma"/>
            <charset val="1"/>
          </rPr>
          <t>3.2.1.7</t>
        </r>
        <r>
          <rPr>
            <sz val="9"/>
            <color indexed="81"/>
            <rFont val="Tahoma"/>
            <charset val="1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</commentList>
</comments>
</file>

<file path=xl/comments2.xml><?xml version="1.0" encoding="utf-8"?>
<comments xmlns="http://schemas.openxmlformats.org/spreadsheetml/2006/main">
  <authors>
    <author>Audra Cepiene</author>
    <author>Egle Deltuvaite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186"/>
          </rPr>
          <t>3.2.2.3</t>
        </r>
        <r>
          <rPr>
            <sz val="9"/>
            <color indexed="81"/>
            <rFont val="Tahoma"/>
            <family val="2"/>
            <charset val="186"/>
          </rPr>
          <t xml:space="preserve">
Skatinti laivais keliaujančių turistų pritraukimą į Klaipėdos miestą</t>
        </r>
      </text>
    </comment>
    <comment ref="P1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2014-11-06 vykęs posędis. Nuspręsta mažinti 26 tūkst. lt dėl susisiekimo paslaugos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KSP 3.2.2.1 
Stiprinti tarptautinių jūrinių renginių (Jūros šventė, laivų paradas ir kt.), regatų (Baltic Sprint Cup, Tall Ship Race, Baltic Sail, Volvo Ocean Race ir kt.) tradicijas</t>
        </r>
      </text>
    </comment>
    <comment ref="P1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sumažintos lėšos 200 tūkst. lt ir perkeltos į "Baltic regatta"</t>
        </r>
      </text>
    </comment>
    <comment ref="Y17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2014 m. pasirašytos dvi Didžiųjų burlaivių regatos (toliau – DBR) Klaipėdos uoste organizavimo sutartys, dėl regatos 2015 (regata tarp dviejų uostų Ščecino ir Klaipėdos) ir 2017 (didžioji regata–varžybos tarp 5 miestų: Kotka, Klaipėda, Turku, Ščecinas, Halmstadas) metais. Iki 2015-03-31 pagal DBR 2015 sutartį turi būti sumokėti  205625 Lt; pagal DBR 2017 sutartį turi būti sumokėti 131250 Lt (bendra DBR 2017 uosto mokesčio suma sudaro apie 547500 Lt, kurie privalės būti mokami dalimis iki 2017 metų ir planuojami biudžete). 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3.2.2.1 </t>
        </r>
        <r>
          <rPr>
            <sz val="9"/>
            <color indexed="81"/>
            <rFont val="Tahoma"/>
            <family val="2"/>
            <charset val="186"/>
          </rPr>
          <t xml:space="preserve">
Stiprinti tarptautinių jūrinių renginių (Jūros šventė, laivų paradas ir kt.), regatų (Baltic Sprint Cup, Tall Ship Race, Baltic Sail, Volvo Ocean Race ir kt.) tradicijas</t>
        </r>
      </text>
    </comment>
    <comment ref="P2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išorės raštas 2014-11-04 Nr.(1.16)1-212, lėšos skirtos iš "Tall ships Races" 200 tūkst. Lt</t>
        </r>
      </text>
    </comment>
    <comment ref="F31" authorId="0">
      <text>
        <r>
          <rPr>
            <b/>
            <sz val="9"/>
            <color indexed="81"/>
            <rFont val="Tahoma"/>
            <charset val="1"/>
          </rPr>
          <t>KSP 3.2.3.2. Į</t>
        </r>
        <r>
          <rPr>
            <sz val="9"/>
            <color indexed="81"/>
            <rFont val="Tahoma"/>
            <charset val="1"/>
          </rPr>
          <t xml:space="preserve">gyvendinti tikslines jūrinio turizmo rinkodaros priemones; </t>
        </r>
        <r>
          <rPr>
            <b/>
            <sz val="9"/>
            <color indexed="81"/>
            <rFont val="Tahoma"/>
            <family val="2"/>
            <charset val="186"/>
          </rPr>
          <t>KSP 3.2.3.3.</t>
        </r>
        <r>
          <rPr>
            <sz val="9"/>
            <color indexed="81"/>
            <rFont val="Tahoma"/>
            <charset val="1"/>
          </rPr>
          <t>Pristatyti Klaipėdos miesto turizmo galimybes tarptautinėse parodose ir kituose renginiuose bendradarbiaujant su regiono savivaldybėmis</t>
        </r>
      </text>
    </comment>
    <comment ref="P31" authorId="1">
      <text>
        <r>
          <rPr>
            <b/>
            <sz val="9"/>
            <color indexed="81"/>
            <rFont val="Tahoma"/>
            <family val="2"/>
            <charset val="186"/>
          </rPr>
          <t>Egle Deltuvaite:</t>
        </r>
        <r>
          <rPr>
            <sz val="9"/>
            <color indexed="81"/>
            <rFont val="Tahoma"/>
            <family val="2"/>
            <charset val="186"/>
          </rPr>
          <t xml:space="preserve">
pagal sutartį J9-147 būtini pinigėliai 46,600</t>
        </r>
      </text>
    </comment>
    <comment ref="F35" authorId="0">
      <text>
        <r>
          <rPr>
            <b/>
            <sz val="9"/>
            <color indexed="81"/>
            <rFont val="Tahoma"/>
            <charset val="1"/>
          </rPr>
          <t>KSP 3.2.3.1</t>
        </r>
        <r>
          <rPr>
            <sz val="9"/>
            <color indexed="81"/>
            <rFont val="Tahoma"/>
            <charset val="1"/>
          </rPr>
          <t xml:space="preserve">
Periodiškai rengti, leisti ir platinti Klaipėdą ir jos turizmo produktus (įtraukiant ir svarbiausius Klaipėdos regiono turizmo produktus) pristatančius leidinius, skirtus tikslinėms teritorijoms</t>
        </r>
      </text>
    </comment>
    <comment ref="P3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SPG nuspręsta 240</t>
        </r>
      </text>
    </comment>
    <comment ref="F48" authorId="0">
      <text>
        <r>
          <rPr>
            <b/>
            <sz val="9"/>
            <color indexed="81"/>
            <rFont val="Tahoma"/>
            <charset val="1"/>
          </rPr>
          <t>3.2.1.1.</t>
        </r>
        <r>
          <rPr>
            <sz val="9"/>
            <color indexed="81"/>
            <rFont val="Tahoma"/>
            <charset val="1"/>
          </rPr>
          <t xml:space="preserve">
Atkurti Klaipėdos piliavietę bei pritaikyti kultūros ir turizmo poreikiams</t>
        </r>
      </text>
    </comment>
    <comment ref="Y51" authorId="0">
      <text>
        <r>
          <rPr>
            <sz val="9"/>
            <color indexed="81"/>
            <rFont val="Tahoma"/>
            <family val="2"/>
            <charset val="186"/>
          </rPr>
          <t xml:space="preserve">Siūloma idėja - šokantys fontanai
</t>
        </r>
      </text>
    </comment>
    <comment ref="F52" authorId="0">
      <text>
        <r>
          <rPr>
            <b/>
            <sz val="9"/>
            <color indexed="81"/>
            <rFont val="Tahoma"/>
            <charset val="1"/>
          </rPr>
          <t>3.2.1.7</t>
        </r>
        <r>
          <rPr>
            <sz val="9"/>
            <color indexed="81"/>
            <rFont val="Tahoma"/>
            <charset val="1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K5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pridėta 552,1 tūkst. Lt </t>
        </r>
      </text>
    </comment>
    <comment ref="K6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strateginis pirminis + įsakymas  8400,1 tūkst. lt</t>
        </r>
      </text>
    </comment>
    <comment ref="K7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pradinis biudžetas 
3520,1 tūkst. Lt</t>
        </r>
      </text>
    </comment>
  </commentList>
</comments>
</file>

<file path=xl/sharedStrings.xml><?xml version="1.0" encoding="utf-8"?>
<sst xmlns="http://schemas.openxmlformats.org/spreadsheetml/2006/main" count="426" uniqueCount="150">
  <si>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</si>
  <si>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</si>
  <si>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</si>
  <si>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</si>
  <si>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</si>
  <si>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</si>
  <si>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</si>
  <si>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</si>
  <si>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</si>
  <si>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</si>
  <si>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</si>
  <si>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</si>
  <si>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</si>
  <si>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</si>
  <si>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</si>
  <si>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</si>
  <si>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</si>
  <si>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</si>
  <si>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</si>
  <si>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</si>
  <si>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</si>
  <si>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</si>
  <si>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</si>
  <si>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</si>
  <si>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</si>
  <si>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</si>
  <si>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</si>
  <si>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</si>
  <si>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</si>
  <si>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</si>
  <si>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</si>
  <si>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</si>
  <si>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</si>
  <si>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</si>
  <si>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</si>
  <si>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</si>
  <si>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Iš viso  veiklos planui: </t>
  </si>
  <si>
    <t xml:space="preserve"> TIKSLŲ, UŽDAVINIŲ, PRIEMONIŲ, PRIEMONIŲ IŠLAIDŲ IR PRODUKTO KRITERIJŲ SUVESTINĖ</t>
  </si>
  <si>
    <t>Veiklos plano tikslo kodas</t>
  </si>
  <si>
    <t>Vykdytojas (skyrius / asmuo)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</si>
  <si>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</si>
  <si>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</si>
  <si>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</si>
  <si>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</si>
  <si>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</si>
  <si>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2015-ieji metai</t>
  </si>
  <si>
    <t>SB</t>
  </si>
  <si>
    <t>Papriemonės kodas</t>
  </si>
  <si>
    <t>03</t>
  </si>
  <si>
    <t>04</t>
  </si>
  <si>
    <t>05</t>
  </si>
  <si>
    <t>SUBALANSUOTO TURIZMO SKATINIMO IR VYSTYMO PROGRAMOS (NR. 02)</t>
  </si>
  <si>
    <t>02 Subalansuoto turizmo skatinimo ir vystymo programa</t>
  </si>
  <si>
    <t>Skatinti atvykstamąjį ir vietinį turizmą, stiprinant miesto turistinį patrauklumą bei didinant Klaipėdos miesto konkurencingumą tiek tarptautinėse, tiek vidinėse turizmo rinkose</t>
  </si>
  <si>
    <t>Plėtoti vandens turizmą</t>
  </si>
  <si>
    <t>Plėtoti turizmo informacinę sistemą</t>
  </si>
  <si>
    <t>Plėtoti viešąją aktyvaus poilsio ir turizmo infrastruktūrą</t>
  </si>
  <si>
    <t>Plėtoti turizmo infrastruktūrą</t>
  </si>
  <si>
    <t>SB(P)</t>
  </si>
  <si>
    <t>ES</t>
  </si>
  <si>
    <t>Projektų sk.</t>
  </si>
  <si>
    <t>5</t>
  </si>
  <si>
    <t>Apgyvendinimo paslaugų plėtra Klaipėdoje, įrengiant kempingą pajūryje, II etapas. Stacionarių namelių poilsiui Girulių kempinge įrengimas</t>
  </si>
  <si>
    <t>I</t>
  </si>
  <si>
    <t>Esamų Klaipėdos pilies princo Frydricho ir princo Karlo bastionų rekonstrukcija, išvystant Mažosios Lietuvos istorijos muziejų (pagal VP3-1.3-M-02 priemonę)</t>
  </si>
  <si>
    <t>Kruizų ir regatų organizavimas, vandens turizmo rinkodaros vykdymas</t>
  </si>
  <si>
    <t>Klaipėdos miesto turizmo galimybių pristatymas tarptautinėje erdvėje (tarptautinėse turizmo parodose ir verslo misijose)</t>
  </si>
  <si>
    <t>Nemokamos informacijos teikimas turistams bei turistines paslaugas teikiantiems subjektams</t>
  </si>
  <si>
    <t>Nacionalinės turizmo informacinės sistemos duomenų bazės atnaujinimas</t>
  </si>
  <si>
    <t>Duomenų bazės atnaujinimai per kalendorinius metus, kartai</t>
  </si>
  <si>
    <t>Strateginis tikslas 01. Didinti miesto konkurencingumą, kryptingai vystant infrastruktūrą ir sudarant palankias sąlygas verslui</t>
  </si>
  <si>
    <t>Aptarnauta turistų (suteikta inform.), tūkst. vnt.</t>
  </si>
  <si>
    <t>2016-ųjų metų lėšų projektas</t>
  </si>
  <si>
    <t>2016-ieji metai</t>
  </si>
  <si>
    <t>P3.2.1.1.</t>
  </si>
  <si>
    <t>P3.2.1.3.</t>
  </si>
  <si>
    <t>P3.2.2.1, P3.2.2.3</t>
  </si>
  <si>
    <t>P3.2.3.2, P3.2.3.3</t>
  </si>
  <si>
    <t>P3.2.2.1</t>
  </si>
  <si>
    <t xml:space="preserve">Atvykusių kruizinių laivų skaičus, vnt. </t>
  </si>
  <si>
    <t xml:space="preserve">Įvykusių jūrinių renginių skaičius, vnt. </t>
  </si>
  <si>
    <t xml:space="preserve">Didžiųjų burlaivių regatos „The Tall Ships Races“ programos įgyvendinimas </t>
  </si>
  <si>
    <t>Dalyvauta tarptautiniuose renginiuose, kartų</t>
  </si>
  <si>
    <t>Visuomeninių renginių infrastruktūros buvusioje pilies teritorijoje suformavimas: Klaipėdos pilies ir bastionų komplekso rytinės kurtinos atkūrimas bei Antrojo pasaulinio karo laikų dažų (kuro) sandėlio pritaikymas</t>
  </si>
  <si>
    <r>
      <t>I</t>
    </r>
    <r>
      <rPr>
        <sz val="10"/>
        <rFont val="Times New Roman"/>
        <family val="1"/>
        <charset val="186"/>
      </rPr>
      <t>šleista Klaipėdos miesto informacinių leidinių, skirtų parodoms, tūkst. egz.</t>
    </r>
  </si>
  <si>
    <t>Išleista nemokamų informacinių leidinių, žemėlapių, tūkst. egz.</t>
  </si>
  <si>
    <t>Asignavimai 2014-iesiems metams**</t>
  </si>
  <si>
    <t>Lėšų poreikis biudžetiniams 
2015-iesiems metams</t>
  </si>
  <si>
    <t>2015-ųjų metų asignavimų planas</t>
  </si>
  <si>
    <t>2017-ųjų metų lėšų projektas</t>
  </si>
  <si>
    <t>2016-ųjų m. lėšų poreikis</t>
  </si>
  <si>
    <t>2017-ųjų m. lėšų poreikis</t>
  </si>
  <si>
    <t xml:space="preserve"> 2014–2017 M. KLAIPĖDOS MIESTO SAVIVALDYBĖS                                                                     </t>
  </si>
  <si>
    <t>Atlikta pristatymų dėl miesto turizmo galimybių  užsienio žurnalistams, vnt.</t>
  </si>
  <si>
    <t>IED Tarptautinių ryšių, verslo plėtros ir turizmo sk.</t>
  </si>
  <si>
    <t>IED Projektų sk.</t>
  </si>
  <si>
    <t>2017-ieji metai</t>
  </si>
  <si>
    <t>Dalyvauta specializuotose kruizinės laivybos parodose</t>
  </si>
  <si>
    <t>Atplaukusių burlaivių ir jachtų į uostą skaičius, vnt.</t>
  </si>
  <si>
    <t>Išleistų specializuotų leidinių kruizinių laivų turistams, tūkst. egz.</t>
  </si>
  <si>
    <t>Dienpinigiai</t>
  </si>
  <si>
    <t>Įvykdytos  Didžiųjų burlaivių regatos (DBR) sutartys, vnt</t>
  </si>
  <si>
    <t>Suorganizuotos DBR paslaugos</t>
  </si>
  <si>
    <t>Įvykdytas generalinės konferencijos dalyvio mokestis</t>
  </si>
  <si>
    <t>LRVB</t>
  </si>
  <si>
    <t>Kelionės, nakvynės išlaidos (bilietas, viešbutis), vnt.</t>
  </si>
  <si>
    <t>Pagaminta suvenyrų, vnt.</t>
  </si>
  <si>
    <t>Surengta nemokamų ekskursijų po miestą, vnt.</t>
  </si>
  <si>
    <t>Projektų, gerinančių turizmo sąlygas Klaipėdos mieste, įgyvendinimas</t>
  </si>
  <si>
    <r>
      <t>Klaipėdos valstybinio jūrų uosto lėšos</t>
    </r>
    <r>
      <rPr>
        <b/>
        <sz val="10"/>
        <rFont val="Times New Roman"/>
        <family val="1"/>
        <charset val="186"/>
      </rPr>
      <t xml:space="preserve"> KVJUD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</si>
  <si>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</si>
  <si>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 xml:space="preserve">Atlikti rekonstravimo darbai:
</t>
  </si>
  <si>
    <t>Atlikti įrengimo darbai, proc.</t>
  </si>
  <si>
    <t>Atliktas projektinės idėjos konkursas</t>
  </si>
  <si>
    <t>Parengta pristatymo apie Klaipėda turistinio–jūrinio filmuko USB laikmena, vnt.</t>
  </si>
  <si>
    <t xml:space="preserve"> 2015–2017 M. KLAIPĖDOS MIESTO SAVIVALDYBĖS                                                                     </t>
  </si>
  <si>
    <t>2015 m. asignavimų planas</t>
  </si>
  <si>
    <t>IED Tarptautinių ryšių, verslo plėtros</t>
  </si>
  <si>
    <t>`</t>
  </si>
  <si>
    <t>Įvykdytas renginys, vnt.</t>
  </si>
  <si>
    <t>SB(VB)</t>
  </si>
  <si>
    <r>
      <t xml:space="preserve">Valstybės biudžeto tikslinės dotacijos lėšos </t>
    </r>
    <r>
      <rPr>
        <b/>
        <sz val="10"/>
        <rFont val="Times New Roman"/>
        <family val="1"/>
        <charset val="186"/>
      </rPr>
      <t>SB(VB)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</si>
  <si>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</si>
  <si>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Dalyvauta specializuotose kruizinės laivybos parodose, kartai</t>
  </si>
  <si>
    <t>Išleista specializuotų leidinių kruizinių laivų turistams, tūkst. egz.</t>
  </si>
  <si>
    <t>Dalyvauta tarptautiniuose renginiuose, kartai</t>
  </si>
  <si>
    <t>Atplaukusių į uostą burlaivių ir jachtų  skaičius, vnt.</t>
  </si>
  <si>
    <t>Įvykdytos  Didžiųjų burlaivių regatos sutartys, vnt.</t>
  </si>
  <si>
    <t>Sumokėtas generalinės konferencijos dalyvio mokestis, vnt.</t>
  </si>
  <si>
    <t>Parengtas pristatymas apie Klaipėdą (USB laikmena), vnt.</t>
  </si>
  <si>
    <t>Įgyvendintas rinkodaros priemonių (straipsniai, internetinio puslapio atnaujinimas, leidiniai ir brošiūros) paketas, vnt.</t>
  </si>
  <si>
    <t>Įgyvendinta renginio programa, vnt.</t>
  </si>
  <si>
    <t xml:space="preserve">     </t>
  </si>
  <si>
    <t>Organizuota miesto turizmo galimybių pristatymų užsienio žurnalistams, vnt.</t>
  </si>
  <si>
    <r>
      <t>I</t>
    </r>
    <r>
      <rPr>
        <sz val="10"/>
        <rFont val="Times New Roman"/>
        <family val="1"/>
        <charset val="186"/>
      </rPr>
      <t>šleista informacinių leidinių apie Klaipėdos miestą, skirtų parodoms, tūkst. egz.</t>
    </r>
  </si>
  <si>
    <t xml:space="preserve">II etapas: atkurta šiaurinė kurtina;                     atlikti bastionų tvarkybos darbai;                              įrengti inžineriniai tinklai. Užbaigtumas, proc. </t>
  </si>
  <si>
    <t>Organizuotas projekto idėjos konkursas</t>
  </si>
  <si>
    <t xml:space="preserve">Atvykusių kruizinių laivų skaičius, vnt. </t>
  </si>
  <si>
    <t>Asignavimai 2014-iesiems metams</t>
  </si>
  <si>
    <t>P3.2.1.7</t>
  </si>
  <si>
    <t>P3.2.3.1</t>
  </si>
  <si>
    <t>Eur</t>
  </si>
  <si>
    <t>Planas</t>
  </si>
  <si>
    <t>Sukurtų programėlių skaičius, vnt.</t>
  </si>
  <si>
    <t>I etapas: atkurta rytinė kurtina;
restauruotas Antrojo pasaulinio karo laikų sandėlis; įrengti inžineriniai tinklai.
Užbaigtumas, proc.</t>
  </si>
  <si>
    <t xml:space="preserve">Regatos „Baltic Sail“ įgyvendinimas </t>
  </si>
  <si>
    <t>Nuolat atnaujinama turizmo informacijos sistema www.klaipedainfo.lt, kart./mėn.</t>
  </si>
  <si>
    <t>Jono kalnelio ir prieigų sutvarkymas, sukuriant išskirtinį kultūros ir turizmo traukos centrą bei skatinant smulkųjį ir vidutinį verslą</t>
  </si>
  <si>
    <t>Įvykdytos rinkodaros priemonės (straipsniai, internetinio tinklalapio atnaujinimas, leidiniai ir brošiūros)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</si>
  <si>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2005 m. rugsėjo 29 d. įsakymas Nr. 1K-280)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</si>
</sst>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color rgb="FFFF0000"/>
      <name val="Times New Roman"/>
      <family val="1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33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top"/>
    </xf>
    <xf numFmtId="0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3" fillId="0" borderId="1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164" fontId="3" fillId="0" borderId="15" xfId="0" applyNumberFormat="1" applyFont="1" applyBorder="1" applyAlignment="1">
      <alignment horizontal="right" vertical="top"/>
    </xf>
    <xf numFmtId="164" fontId="3" fillId="0" borderId="16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top"/>
    </xf>
    <xf numFmtId="164" fontId="3" fillId="0" borderId="20" xfId="0" applyNumberFormat="1" applyFont="1" applyFill="1" applyBorder="1" applyAlignment="1">
      <alignment horizontal="right" vertical="top"/>
    </xf>
    <xf numFmtId="164" fontId="3" fillId="0" borderId="21" xfId="0" applyNumberFormat="1" applyFont="1" applyFill="1" applyBorder="1" applyAlignment="1">
      <alignment horizontal="right" vertical="top"/>
    </xf>
    <xf numFmtId="164" fontId="3" fillId="0" borderId="6" xfId="0" applyNumberFormat="1" applyFont="1" applyFill="1" applyBorder="1" applyAlignment="1">
      <alignment horizontal="right" vertical="top"/>
    </xf>
    <xf numFmtId="164" fontId="5" fillId="2" borderId="22" xfId="0" applyNumberFormat="1" applyFont="1" applyFill="1" applyBorder="1" applyAlignment="1">
      <alignment horizontal="right" vertical="top"/>
    </xf>
    <xf numFmtId="164" fontId="5" fillId="2" borderId="23" xfId="0" applyNumberFormat="1" applyFont="1" applyFill="1" applyBorder="1" applyAlignment="1">
      <alignment horizontal="right" vertical="top"/>
    </xf>
    <xf numFmtId="0" fontId="3" fillId="0" borderId="24" xfId="0" applyFont="1" applyFill="1" applyBorder="1" applyAlignment="1">
      <alignment horizontal="center" vertical="top"/>
    </xf>
    <xf numFmtId="0" fontId="3" fillId="0" borderId="9" xfId="0" applyFont="1" applyBorder="1" applyAlignment="1">
      <alignment vertical="top" wrapText="1"/>
    </xf>
    <xf numFmtId="0" fontId="3" fillId="0" borderId="25" xfId="0" applyFont="1" applyFill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center" wrapText="1"/>
    </xf>
    <xf numFmtId="0" fontId="8" fillId="0" borderId="0" xfId="0" applyFont="1"/>
    <xf numFmtId="3" fontId="3" fillId="0" borderId="16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top"/>
    </xf>
    <xf numFmtId="164" fontId="3" fillId="0" borderId="16" xfId="0" applyNumberFormat="1" applyFont="1" applyFill="1" applyBorder="1" applyAlignment="1">
      <alignment horizontal="right" vertical="top"/>
    </xf>
    <xf numFmtId="164" fontId="3" fillId="0" borderId="31" xfId="0" applyNumberFormat="1" applyFont="1" applyBorder="1" applyAlignment="1">
      <alignment horizontal="right" vertical="top"/>
    </xf>
    <xf numFmtId="164" fontId="3" fillId="0" borderId="18" xfId="0" applyNumberFormat="1" applyFont="1" applyFill="1" applyBorder="1" applyAlignment="1">
      <alignment horizontal="right" vertical="top"/>
    </xf>
    <xf numFmtId="164" fontId="3" fillId="0" borderId="5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 wrapText="1"/>
    </xf>
    <xf numFmtId="3" fontId="3" fillId="3" borderId="28" xfId="0" applyNumberFormat="1" applyFont="1" applyFill="1" applyBorder="1" applyAlignment="1">
      <alignment horizontal="center" vertical="top"/>
    </xf>
    <xf numFmtId="3" fontId="3" fillId="3" borderId="29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right" vertical="top"/>
    </xf>
    <xf numFmtId="164" fontId="3" fillId="3" borderId="17" xfId="0" applyNumberFormat="1" applyFont="1" applyFill="1" applyBorder="1" applyAlignment="1">
      <alignment horizontal="right" vertical="top"/>
    </xf>
    <xf numFmtId="164" fontId="3" fillId="3" borderId="18" xfId="0" applyNumberFormat="1" applyFont="1" applyFill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 wrapText="1"/>
    </xf>
    <xf numFmtId="49" fontId="5" fillId="4" borderId="42" xfId="0" applyNumberFormat="1" applyFont="1" applyFill="1" applyBorder="1" applyAlignment="1">
      <alignment horizontal="center" vertical="top"/>
    </xf>
    <xf numFmtId="164" fontId="5" fillId="4" borderId="42" xfId="0" applyNumberFormat="1" applyFont="1" applyFill="1" applyBorder="1" applyAlignment="1">
      <alignment horizontal="right" vertical="top"/>
    </xf>
    <xf numFmtId="49" fontId="5" fillId="2" borderId="1" xfId="0" applyNumberFormat="1" applyFont="1" applyFill="1" applyBorder="1" applyAlignment="1">
      <alignment horizontal="center" vertical="top"/>
    </xf>
    <xf numFmtId="164" fontId="3" fillId="3" borderId="33" xfId="0" applyNumberFormat="1" applyFont="1" applyFill="1" applyBorder="1" applyAlignment="1">
      <alignment horizontal="right" vertical="top"/>
    </xf>
    <xf numFmtId="164" fontId="3" fillId="0" borderId="49" xfId="0" applyNumberFormat="1" applyFont="1" applyBorder="1" applyAlignment="1">
      <alignment horizontal="right" vertical="top"/>
    </xf>
    <xf numFmtId="164" fontId="3" fillId="3" borderId="21" xfId="0" applyNumberFormat="1" applyFont="1" applyFill="1" applyBorder="1" applyAlignment="1">
      <alignment horizontal="right" vertical="top"/>
    </xf>
    <xf numFmtId="0" fontId="3" fillId="0" borderId="50" xfId="0" applyFont="1" applyFill="1" applyBorder="1" applyAlignment="1">
      <alignment horizontal="center" vertical="top"/>
    </xf>
    <xf numFmtId="164" fontId="3" fillId="0" borderId="34" xfId="0" applyNumberFormat="1" applyFont="1" applyBorder="1" applyAlignment="1">
      <alignment horizontal="right" vertical="top"/>
    </xf>
    <xf numFmtId="164" fontId="3" fillId="0" borderId="28" xfId="0" applyNumberFormat="1" applyFont="1" applyBorder="1" applyAlignment="1">
      <alignment horizontal="right" vertical="top"/>
    </xf>
    <xf numFmtId="164" fontId="3" fillId="0" borderId="51" xfId="0" applyNumberFormat="1" applyFont="1" applyBorder="1" applyAlignment="1">
      <alignment horizontal="right" vertical="top"/>
    </xf>
    <xf numFmtId="164" fontId="3" fillId="0" borderId="29" xfId="0" applyNumberFormat="1" applyFont="1" applyBorder="1" applyAlignment="1">
      <alignment horizontal="right" vertical="top"/>
    </xf>
    <xf numFmtId="164" fontId="3" fillId="3" borderId="50" xfId="0" applyNumberFormat="1" applyFont="1" applyFill="1" applyBorder="1" applyAlignment="1">
      <alignment horizontal="right" vertical="top" wrapText="1"/>
    </xf>
    <xf numFmtId="164" fontId="3" fillId="0" borderId="12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vertical="top"/>
    </xf>
    <xf numFmtId="164" fontId="3" fillId="7" borderId="34" xfId="0" applyNumberFormat="1" applyFont="1" applyFill="1" applyBorder="1" applyAlignment="1">
      <alignment horizontal="right" vertical="top"/>
    </xf>
    <xf numFmtId="164" fontId="3" fillId="7" borderId="28" xfId="0" applyNumberFormat="1" applyFont="1" applyFill="1" applyBorder="1" applyAlignment="1">
      <alignment horizontal="right" vertical="top"/>
    </xf>
    <xf numFmtId="164" fontId="3" fillId="7" borderId="51" xfId="0" applyNumberFormat="1" applyFont="1" applyFill="1" applyBorder="1" applyAlignment="1">
      <alignment horizontal="right" vertical="top"/>
    </xf>
    <xf numFmtId="164" fontId="3" fillId="7" borderId="33" xfId="0" applyNumberFormat="1" applyFont="1" applyFill="1" applyBorder="1" applyAlignment="1">
      <alignment horizontal="right" vertical="top"/>
    </xf>
    <xf numFmtId="164" fontId="3" fillId="7" borderId="20" xfId="0" applyNumberFormat="1" applyFont="1" applyFill="1" applyBorder="1" applyAlignment="1">
      <alignment horizontal="right" vertical="top"/>
    </xf>
    <xf numFmtId="164" fontId="3" fillId="7" borderId="45" xfId="0" applyNumberFormat="1" applyFont="1" applyFill="1" applyBorder="1" applyAlignment="1">
      <alignment horizontal="right" vertical="top"/>
    </xf>
    <xf numFmtId="164" fontId="3" fillId="7" borderId="19" xfId="0" applyNumberFormat="1" applyFont="1" applyFill="1" applyBorder="1" applyAlignment="1">
      <alignment horizontal="right" vertical="top"/>
    </xf>
    <xf numFmtId="164" fontId="3" fillId="7" borderId="16" xfId="0" applyNumberFormat="1" applyFont="1" applyFill="1" applyBorder="1" applyAlignment="1">
      <alignment horizontal="right" vertical="top"/>
    </xf>
    <xf numFmtId="164" fontId="3" fillId="7" borderId="44" xfId="0" applyNumberFormat="1" applyFont="1" applyFill="1" applyBorder="1" applyAlignment="1">
      <alignment horizontal="right" vertical="top"/>
    </xf>
    <xf numFmtId="164" fontId="5" fillId="7" borderId="43" xfId="0" applyNumberFormat="1" applyFont="1" applyFill="1" applyBorder="1" applyAlignment="1">
      <alignment horizontal="right" vertical="top"/>
    </xf>
    <xf numFmtId="164" fontId="5" fillId="7" borderId="2" xfId="0" applyNumberFormat="1" applyFont="1" applyFill="1" applyBorder="1" applyAlignment="1">
      <alignment horizontal="right" vertical="top"/>
    </xf>
    <xf numFmtId="164" fontId="3" fillId="7" borderId="11" xfId="0" applyNumberFormat="1" applyFont="1" applyFill="1" applyBorder="1" applyAlignment="1">
      <alignment horizontal="right" vertical="top"/>
    </xf>
    <xf numFmtId="164" fontId="3" fillId="7" borderId="12" xfId="0" applyNumberFormat="1" applyFont="1" applyFill="1" applyBorder="1" applyAlignment="1">
      <alignment horizontal="right" vertical="top"/>
    </xf>
    <xf numFmtId="164" fontId="3" fillId="7" borderId="13" xfId="0" applyNumberFormat="1" applyFont="1" applyFill="1" applyBorder="1" applyAlignment="1">
      <alignment horizontal="right" vertical="top"/>
    </xf>
    <xf numFmtId="164" fontId="3" fillId="7" borderId="15" xfId="0" applyNumberFormat="1" applyFont="1" applyFill="1" applyBorder="1" applyAlignment="1">
      <alignment horizontal="right" vertical="top"/>
    </xf>
    <xf numFmtId="164" fontId="3" fillId="7" borderId="1" xfId="0" applyNumberFormat="1" applyFont="1" applyFill="1" applyBorder="1" applyAlignment="1">
      <alignment horizontal="right" vertical="top"/>
    </xf>
    <xf numFmtId="164" fontId="3" fillId="7" borderId="41" xfId="0" applyNumberFormat="1" applyFont="1" applyFill="1" applyBorder="1" applyAlignment="1">
      <alignment horizontal="right" vertical="top"/>
    </xf>
    <xf numFmtId="0" fontId="5" fillId="7" borderId="46" xfId="0" applyFont="1" applyFill="1" applyBorder="1" applyAlignment="1">
      <alignment horizontal="center" vertical="top"/>
    </xf>
    <xf numFmtId="164" fontId="5" fillId="7" borderId="46" xfId="0" applyNumberFormat="1" applyFont="1" applyFill="1" applyBorder="1" applyAlignment="1">
      <alignment horizontal="right" vertical="top"/>
    </xf>
    <xf numFmtId="164" fontId="3" fillId="7" borderId="18" xfId="0" applyNumberFormat="1" applyFont="1" applyFill="1" applyBorder="1" applyAlignment="1">
      <alignment horizontal="right" vertical="top"/>
    </xf>
    <xf numFmtId="0" fontId="5" fillId="7" borderId="47" xfId="0" applyFont="1" applyFill="1" applyBorder="1" applyAlignment="1">
      <alignment horizontal="center" vertical="top"/>
    </xf>
    <xf numFmtId="164" fontId="5" fillId="7" borderId="3" xfId="0" applyNumberFormat="1" applyFont="1" applyFill="1" applyBorder="1" applyAlignment="1">
      <alignment horizontal="right" vertical="top"/>
    </xf>
    <xf numFmtId="164" fontId="5" fillId="7" borderId="35" xfId="0" applyNumberFormat="1" applyFont="1" applyFill="1" applyBorder="1" applyAlignment="1">
      <alignment horizontal="right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0" fontId="16" fillId="8" borderId="72" xfId="0" applyFont="1" applyFill="1" applyBorder="1" applyAlignment="1">
      <alignment horizontal="left" vertical="top" wrapText="1"/>
    </xf>
    <xf numFmtId="3" fontId="3" fillId="8" borderId="28" xfId="0" applyNumberFormat="1" applyFont="1" applyFill="1" applyBorder="1" applyAlignment="1">
      <alignment horizontal="center" vertical="top"/>
    </xf>
    <xf numFmtId="3" fontId="3" fillId="8" borderId="29" xfId="0" applyNumberFormat="1" applyFont="1" applyFill="1" applyBorder="1" applyAlignment="1">
      <alignment horizontal="center" vertical="top"/>
    </xf>
    <xf numFmtId="3" fontId="3" fillId="8" borderId="10" xfId="0" applyNumberFormat="1" applyFont="1" applyFill="1" applyBorder="1" applyAlignment="1">
      <alignment horizontal="center" vertical="top"/>
    </xf>
    <xf numFmtId="3" fontId="3" fillId="8" borderId="27" xfId="0" applyNumberFormat="1" applyFont="1" applyFill="1" applyBorder="1" applyAlignment="1">
      <alignment horizontal="center" vertical="top"/>
    </xf>
    <xf numFmtId="0" fontId="3" fillId="8" borderId="71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8" borderId="0" xfId="0" applyFont="1" applyFill="1" applyAlignment="1">
      <alignment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164" fontId="3" fillId="0" borderId="70" xfId="0" applyNumberFormat="1" applyFont="1" applyBorder="1" applyAlignment="1">
      <alignment horizontal="right" vertical="top"/>
    </xf>
    <xf numFmtId="164" fontId="3" fillId="7" borderId="70" xfId="0" applyNumberFormat="1" applyFont="1" applyFill="1" applyBorder="1" applyAlignment="1">
      <alignment horizontal="right" vertical="top"/>
    </xf>
    <xf numFmtId="49" fontId="5" fillId="9" borderId="15" xfId="0" applyNumberFormat="1" applyFont="1" applyFill="1" applyBorder="1" applyAlignment="1">
      <alignment horizontal="center" vertical="top" wrapText="1"/>
    </xf>
    <xf numFmtId="49" fontId="5" fillId="9" borderId="15" xfId="0" applyNumberFormat="1" applyFont="1" applyFill="1" applyBorder="1" applyAlignment="1">
      <alignment horizontal="center" vertical="top"/>
    </xf>
    <xf numFmtId="49" fontId="5" fillId="9" borderId="42" xfId="0" applyNumberFormat="1" applyFont="1" applyFill="1" applyBorder="1" applyAlignment="1">
      <alignment horizontal="center" vertical="top"/>
    </xf>
    <xf numFmtId="49" fontId="5" fillId="9" borderId="36" xfId="0" applyNumberFormat="1" applyFont="1" applyFill="1" applyBorder="1" applyAlignment="1">
      <alignment horizontal="center" vertical="top"/>
    </xf>
    <xf numFmtId="49" fontId="5" fillId="9" borderId="42" xfId="0" applyNumberFormat="1" applyFont="1" applyFill="1" applyBorder="1" applyAlignment="1">
      <alignment horizontal="center" vertical="top" wrapText="1"/>
    </xf>
    <xf numFmtId="49" fontId="5" fillId="9" borderId="9" xfId="0" applyNumberFormat="1" applyFont="1" applyFill="1" applyBorder="1" applyAlignment="1">
      <alignment horizontal="center" vertical="top"/>
    </xf>
    <xf numFmtId="164" fontId="5" fillId="9" borderId="22" xfId="0" applyNumberFormat="1" applyFont="1" applyFill="1" applyBorder="1" applyAlignment="1">
      <alignment horizontal="right" vertical="top"/>
    </xf>
    <xf numFmtId="164" fontId="5" fillId="9" borderId="23" xfId="0" applyNumberFormat="1" applyFont="1" applyFill="1" applyBorder="1" applyAlignment="1">
      <alignment horizontal="right" vertical="top"/>
    </xf>
    <xf numFmtId="164" fontId="3" fillId="8" borderId="15" xfId="0" applyNumberFormat="1" applyFont="1" applyFill="1" applyBorder="1" applyAlignment="1">
      <alignment horizontal="right" vertical="top"/>
    </xf>
    <xf numFmtId="164" fontId="3" fillId="8" borderId="16" xfId="0" applyNumberFormat="1" applyFont="1" applyFill="1" applyBorder="1" applyAlignment="1">
      <alignment horizontal="right" vertical="top"/>
    </xf>
    <xf numFmtId="164" fontId="3" fillId="8" borderId="44" xfId="0" applyNumberFormat="1" applyFont="1" applyFill="1" applyBorder="1" applyAlignment="1">
      <alignment horizontal="right" vertical="top"/>
    </xf>
    <xf numFmtId="164" fontId="3" fillId="8" borderId="19" xfId="0" applyNumberFormat="1" applyFont="1" applyFill="1" applyBorder="1" applyAlignment="1">
      <alignment horizontal="right" vertical="top"/>
    </xf>
    <xf numFmtId="164" fontId="3" fillId="8" borderId="20" xfId="0" applyNumberFormat="1" applyFont="1" applyFill="1" applyBorder="1" applyAlignment="1">
      <alignment horizontal="right" vertical="top"/>
    </xf>
    <xf numFmtId="164" fontId="3" fillId="8" borderId="45" xfId="0" applyNumberFormat="1" applyFont="1" applyFill="1" applyBorder="1" applyAlignment="1">
      <alignment horizontal="right" vertical="top"/>
    </xf>
    <xf numFmtId="164" fontId="5" fillId="7" borderId="73" xfId="0" applyNumberFormat="1" applyFont="1" applyFill="1" applyBorder="1" applyAlignment="1">
      <alignment horizontal="right" vertical="top"/>
    </xf>
    <xf numFmtId="0" fontId="3" fillId="8" borderId="72" xfId="0" applyFont="1" applyFill="1" applyBorder="1" applyAlignment="1">
      <alignment horizontal="left" vertical="top" wrapText="1"/>
    </xf>
    <xf numFmtId="165" fontId="3" fillId="8" borderId="72" xfId="0" applyNumberFormat="1" applyFont="1" applyFill="1" applyBorder="1" applyAlignment="1">
      <alignment horizontal="left" vertical="top" wrapText="1"/>
    </xf>
    <xf numFmtId="1" fontId="11" fillId="8" borderId="28" xfId="0" applyNumberFormat="1" applyFont="1" applyFill="1" applyBorder="1" applyAlignment="1">
      <alignment horizontal="center" vertical="center"/>
    </xf>
    <xf numFmtId="1" fontId="11" fillId="8" borderId="29" xfId="0" applyNumberFormat="1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16" fillId="3" borderId="8" xfId="0" applyFont="1" applyFill="1" applyBorder="1" applyAlignment="1">
      <alignment horizontal="left" vertical="top" wrapText="1"/>
    </xf>
    <xf numFmtId="0" fontId="16" fillId="3" borderId="16" xfId="0" applyFont="1" applyFill="1" applyBorder="1" applyAlignment="1">
      <alignment horizontal="center" vertical="top"/>
    </xf>
    <xf numFmtId="0" fontId="13" fillId="3" borderId="18" xfId="0" applyFont="1" applyFill="1" applyBorder="1" applyAlignment="1">
      <alignment horizontal="center" vertical="top"/>
    </xf>
    <xf numFmtId="0" fontId="14" fillId="0" borderId="56" xfId="0" applyFont="1" applyBorder="1" applyAlignment="1">
      <alignment horizontal="center" vertical="top" wrapText="1"/>
    </xf>
    <xf numFmtId="0" fontId="5" fillId="0" borderId="56" xfId="0" applyFont="1" applyFill="1" applyBorder="1" applyAlignment="1">
      <alignment horizontal="center" vertical="top"/>
    </xf>
    <xf numFmtId="0" fontId="16" fillId="3" borderId="76" xfId="0" applyFont="1" applyFill="1" applyBorder="1" applyAlignment="1">
      <alignment horizontal="left" vertical="top" wrapText="1"/>
    </xf>
    <xf numFmtId="0" fontId="16" fillId="3" borderId="77" xfId="0" applyFont="1" applyFill="1" applyBorder="1" applyAlignment="1">
      <alignment horizontal="center" vertical="top"/>
    </xf>
    <xf numFmtId="0" fontId="13" fillId="3" borderId="78" xfId="0" applyFont="1" applyFill="1" applyBorder="1" applyAlignment="1">
      <alignment horizontal="center" vertical="top"/>
    </xf>
    <xf numFmtId="0" fontId="16" fillId="0" borderId="76" xfId="0" applyFont="1" applyBorder="1" applyAlignment="1">
      <alignment vertical="top" wrapText="1"/>
    </xf>
    <xf numFmtId="0" fontId="16" fillId="0" borderId="77" xfId="1" applyFont="1" applyFill="1" applyBorder="1" applyAlignment="1">
      <alignment horizontal="center" vertical="top"/>
    </xf>
    <xf numFmtId="0" fontId="16" fillId="0" borderId="77" xfId="1" applyFont="1" applyBorder="1" applyAlignment="1">
      <alignment horizontal="center" vertical="top"/>
    </xf>
    <xf numFmtId="0" fontId="3" fillId="0" borderId="78" xfId="1" applyFont="1" applyBorder="1" applyAlignment="1">
      <alignment horizontal="center" vertical="top"/>
    </xf>
    <xf numFmtId="164" fontId="3" fillId="0" borderId="8" xfId="0" applyNumberFormat="1" applyFont="1" applyBorder="1" applyAlignment="1">
      <alignment horizontal="right" vertical="top"/>
    </xf>
    <xf numFmtId="164" fontId="3" fillId="7" borderId="8" xfId="0" applyNumberFormat="1" applyFont="1" applyFill="1" applyBorder="1" applyAlignment="1">
      <alignment horizontal="right" vertical="top"/>
    </xf>
    <xf numFmtId="0" fontId="3" fillId="0" borderId="79" xfId="0" applyFont="1" applyBorder="1" applyAlignment="1">
      <alignment horizontal="center" vertical="top"/>
    </xf>
    <xf numFmtId="164" fontId="3" fillId="0" borderId="80" xfId="0" applyNumberFormat="1" applyFont="1" applyBorder="1" applyAlignment="1">
      <alignment horizontal="right" vertical="top"/>
    </xf>
    <xf numFmtId="164" fontId="3" fillId="0" borderId="81" xfId="0" applyNumberFormat="1" applyFont="1" applyBorder="1" applyAlignment="1">
      <alignment horizontal="right" vertical="top"/>
    </xf>
    <xf numFmtId="164" fontId="3" fillId="0" borderId="82" xfId="0" applyNumberFormat="1" applyFont="1" applyBorder="1" applyAlignment="1">
      <alignment horizontal="right" vertical="top"/>
    </xf>
    <xf numFmtId="164" fontId="3" fillId="7" borderId="80" xfId="0" applyNumberFormat="1" applyFont="1" applyFill="1" applyBorder="1" applyAlignment="1">
      <alignment horizontal="right" vertical="top"/>
    </xf>
    <xf numFmtId="164" fontId="3" fillId="7" borderId="81" xfId="0" applyNumberFormat="1" applyFont="1" applyFill="1" applyBorder="1" applyAlignment="1">
      <alignment horizontal="right" vertical="top"/>
    </xf>
    <xf numFmtId="164" fontId="3" fillId="7" borderId="82" xfId="0" applyNumberFormat="1" applyFont="1" applyFill="1" applyBorder="1" applyAlignment="1">
      <alignment horizontal="right" vertical="top"/>
    </xf>
    <xf numFmtId="164" fontId="3" fillId="3" borderId="79" xfId="0" applyNumberFormat="1" applyFont="1" applyFill="1" applyBorder="1" applyAlignment="1">
      <alignment horizontal="right" vertical="top" wrapText="1"/>
    </xf>
    <xf numFmtId="164" fontId="3" fillId="0" borderId="44" xfId="0" applyNumberFormat="1" applyFont="1" applyBorder="1" applyAlignment="1">
      <alignment horizontal="right" vertical="top"/>
    </xf>
    <xf numFmtId="164" fontId="3" fillId="0" borderId="59" xfId="0" applyNumberFormat="1" applyFont="1" applyBorder="1" applyAlignment="1">
      <alignment horizontal="right" vertical="top"/>
    </xf>
    <xf numFmtId="164" fontId="3" fillId="0" borderId="32" xfId="0" applyNumberFormat="1" applyFont="1" applyFill="1" applyBorder="1" applyAlignment="1">
      <alignment horizontal="right" vertical="top"/>
    </xf>
    <xf numFmtId="0" fontId="13" fillId="0" borderId="70" xfId="0" applyFont="1" applyFill="1" applyBorder="1" applyAlignment="1">
      <alignment horizontal="center" vertical="top" wrapText="1"/>
    </xf>
    <xf numFmtId="0" fontId="13" fillId="0" borderId="71" xfId="0" applyFont="1" applyFill="1" applyBorder="1" applyAlignment="1">
      <alignment horizontal="center" vertical="top" wrapText="1"/>
    </xf>
    <xf numFmtId="164" fontId="3" fillId="0" borderId="60" xfId="0" applyNumberFormat="1" applyFont="1" applyBorder="1" applyAlignment="1">
      <alignment horizontal="right" vertical="top"/>
    </xf>
    <xf numFmtId="164" fontId="5" fillId="7" borderId="84" xfId="0" applyNumberFormat="1" applyFont="1" applyFill="1" applyBorder="1" applyAlignment="1">
      <alignment horizontal="right" vertical="top"/>
    </xf>
    <xf numFmtId="0" fontId="3" fillId="0" borderId="50" xfId="0" applyFont="1" applyFill="1" applyBorder="1" applyAlignment="1">
      <alignment horizontal="center" vertical="top" wrapText="1"/>
    </xf>
    <xf numFmtId="164" fontId="3" fillId="3" borderId="28" xfId="0" applyNumberFormat="1" applyFont="1" applyFill="1" applyBorder="1" applyAlignment="1">
      <alignment horizontal="right" vertical="top"/>
    </xf>
    <xf numFmtId="164" fontId="3" fillId="7" borderId="29" xfId="0" applyNumberFormat="1" applyFont="1" applyFill="1" applyBorder="1" applyAlignment="1">
      <alignment horizontal="right" vertical="top"/>
    </xf>
    <xf numFmtId="0" fontId="3" fillId="0" borderId="75" xfId="0" applyFont="1" applyFill="1" applyBorder="1" applyAlignment="1">
      <alignment horizontal="center" vertical="top" wrapText="1"/>
    </xf>
    <xf numFmtId="164" fontId="3" fillId="0" borderId="76" xfId="0" applyNumberFormat="1" applyFont="1" applyBorder="1" applyAlignment="1">
      <alignment horizontal="right" vertical="top"/>
    </xf>
    <xf numFmtId="164" fontId="3" fillId="0" borderId="77" xfId="0" applyNumberFormat="1" applyFont="1" applyBorder="1" applyAlignment="1">
      <alignment horizontal="right" vertical="top"/>
    </xf>
    <xf numFmtId="164" fontId="3" fillId="0" borderId="85" xfId="0" applyNumberFormat="1" applyFont="1" applyBorder="1" applyAlignment="1">
      <alignment horizontal="right" vertical="top"/>
    </xf>
    <xf numFmtId="0" fontId="3" fillId="0" borderId="77" xfId="0" applyFont="1" applyBorder="1" applyAlignment="1">
      <alignment horizontal="right" vertical="top" wrapText="1"/>
    </xf>
    <xf numFmtId="164" fontId="3" fillId="0" borderId="78" xfId="0" applyNumberFormat="1" applyFont="1" applyBorder="1" applyAlignment="1">
      <alignment horizontal="right" vertical="top"/>
    </xf>
    <xf numFmtId="164" fontId="3" fillId="7" borderId="86" xfId="0" applyNumberFormat="1" applyFont="1" applyFill="1" applyBorder="1" applyAlignment="1">
      <alignment horizontal="right" vertical="top"/>
    </xf>
    <xf numFmtId="164" fontId="3" fillId="7" borderId="77" xfId="0" applyNumberFormat="1" applyFont="1" applyFill="1" applyBorder="1" applyAlignment="1">
      <alignment horizontal="right" vertical="top"/>
    </xf>
    <xf numFmtId="164" fontId="3" fillId="7" borderId="78" xfId="0" applyNumberFormat="1" applyFont="1" applyFill="1" applyBorder="1" applyAlignment="1">
      <alignment horizontal="right" vertical="top"/>
    </xf>
    <xf numFmtId="164" fontId="3" fillId="3" borderId="75" xfId="0" applyNumberFormat="1" applyFont="1" applyFill="1" applyBorder="1" applyAlignment="1">
      <alignment horizontal="right" vertical="top" wrapText="1"/>
    </xf>
    <xf numFmtId="0" fontId="3" fillId="0" borderId="76" xfId="0" applyFont="1" applyBorder="1" applyAlignment="1">
      <alignment horizontal="justify" vertical="center" wrapText="1"/>
    </xf>
    <xf numFmtId="3" fontId="3" fillId="8" borderId="86" xfId="0" applyNumberFormat="1" applyFont="1" applyFill="1" applyBorder="1" applyAlignment="1">
      <alignment horizontal="center" vertical="top" wrapText="1"/>
    </xf>
    <xf numFmtId="164" fontId="3" fillId="0" borderId="86" xfId="0" applyNumberFormat="1" applyFont="1" applyBorder="1" applyAlignment="1">
      <alignment horizontal="right" vertical="top"/>
    </xf>
    <xf numFmtId="164" fontId="3" fillId="0" borderId="77" xfId="0" applyNumberFormat="1" applyFont="1" applyFill="1" applyBorder="1" applyAlignment="1">
      <alignment horizontal="right" vertical="top"/>
    </xf>
    <xf numFmtId="0" fontId="13" fillId="8" borderId="86" xfId="0" applyFont="1" applyFill="1" applyBorder="1" applyAlignment="1">
      <alignment horizontal="center" vertical="top" wrapText="1"/>
    </xf>
    <xf numFmtId="164" fontId="3" fillId="7" borderId="85" xfId="0" applyNumberFormat="1" applyFont="1" applyFill="1" applyBorder="1" applyAlignment="1">
      <alignment horizontal="right" vertical="top"/>
    </xf>
    <xf numFmtId="0" fontId="5" fillId="7" borderId="6" xfId="0" applyFont="1" applyFill="1" applyBorder="1" applyAlignment="1">
      <alignment horizontal="center" vertical="top"/>
    </xf>
    <xf numFmtId="164" fontId="5" fillId="7" borderId="53" xfId="0" applyNumberFormat="1" applyFont="1" applyFill="1" applyBorder="1" applyAlignment="1">
      <alignment horizontal="right" vertical="top"/>
    </xf>
    <xf numFmtId="164" fontId="5" fillId="7" borderId="20" xfId="0" applyNumberFormat="1" applyFont="1" applyFill="1" applyBorder="1" applyAlignment="1">
      <alignment horizontal="right" vertical="top"/>
    </xf>
    <xf numFmtId="164" fontId="5" fillId="7" borderId="21" xfId="0" applyNumberFormat="1" applyFont="1" applyFill="1" applyBorder="1" applyAlignment="1">
      <alignment horizontal="right" vertical="top"/>
    </xf>
    <xf numFmtId="164" fontId="5" fillId="7" borderId="6" xfId="0" applyNumberFormat="1" applyFont="1" applyFill="1" applyBorder="1" applyAlignment="1">
      <alignment horizontal="right" vertical="top"/>
    </xf>
    <xf numFmtId="0" fontId="13" fillId="8" borderId="28" xfId="0" applyFont="1" applyFill="1" applyBorder="1" applyAlignment="1">
      <alignment horizontal="center" vertical="top" wrapText="1"/>
    </xf>
    <xf numFmtId="0" fontId="13" fillId="0" borderId="29" xfId="0" applyFont="1" applyFill="1" applyBorder="1" applyAlignment="1">
      <alignment horizontal="center" vertical="top" wrapText="1"/>
    </xf>
    <xf numFmtId="0" fontId="13" fillId="8" borderId="87" xfId="0" applyFont="1" applyFill="1" applyBorder="1" applyAlignment="1">
      <alignment horizontal="center" vertical="top" wrapText="1"/>
    </xf>
    <xf numFmtId="3" fontId="3" fillId="8" borderId="87" xfId="0" applyNumberFormat="1" applyFont="1" applyFill="1" applyBorder="1" applyAlignment="1">
      <alignment horizontal="center" vertical="top" wrapText="1"/>
    </xf>
    <xf numFmtId="0" fontId="13" fillId="0" borderId="63" xfId="0" applyFont="1" applyFill="1" applyBorder="1" applyAlignment="1">
      <alignment horizontal="center" vertical="top" wrapText="1"/>
    </xf>
    <xf numFmtId="0" fontId="13" fillId="0" borderId="64" xfId="0" applyFont="1" applyFill="1" applyBorder="1" applyAlignment="1">
      <alignment horizontal="center" vertical="top" wrapText="1"/>
    </xf>
    <xf numFmtId="164" fontId="3" fillId="0" borderId="77" xfId="0" applyNumberFormat="1" applyFont="1" applyBorder="1" applyAlignment="1">
      <alignment horizontal="right" vertical="top" wrapText="1"/>
    </xf>
    <xf numFmtId="3" fontId="3" fillId="0" borderId="91" xfId="0" applyNumberFormat="1" applyFont="1" applyFill="1" applyBorder="1" applyAlignment="1">
      <alignment horizontal="center" vertical="top" wrapText="1"/>
    </xf>
    <xf numFmtId="3" fontId="3" fillId="0" borderId="89" xfId="0" applyNumberFormat="1" applyFont="1" applyFill="1" applyBorder="1" applyAlignment="1">
      <alignment horizontal="center" vertical="top" wrapText="1"/>
    </xf>
    <xf numFmtId="3" fontId="3" fillId="0" borderId="90" xfId="0" applyNumberFormat="1" applyFont="1" applyFill="1" applyBorder="1" applyAlignment="1">
      <alignment horizontal="center" vertical="top" wrapText="1"/>
    </xf>
    <xf numFmtId="0" fontId="3" fillId="0" borderId="75" xfId="0" applyFont="1" applyFill="1" applyBorder="1" applyAlignment="1">
      <alignment horizontal="center" vertical="top"/>
    </xf>
    <xf numFmtId="0" fontId="3" fillId="8" borderId="86" xfId="0" applyFont="1" applyFill="1" applyBorder="1" applyAlignment="1">
      <alignment horizontal="left" vertical="top" wrapText="1"/>
    </xf>
    <xf numFmtId="1" fontId="2" fillId="8" borderId="77" xfId="0" applyNumberFormat="1" applyFont="1" applyFill="1" applyBorder="1" applyAlignment="1">
      <alignment horizontal="center" vertical="top"/>
    </xf>
    <xf numFmtId="0" fontId="13" fillId="8" borderId="77" xfId="0" applyNumberFormat="1" applyFont="1" applyFill="1" applyBorder="1" applyAlignment="1">
      <alignment horizontal="center" vertical="top"/>
    </xf>
    <xf numFmtId="0" fontId="13" fillId="8" borderId="78" xfId="0" applyNumberFormat="1" applyFont="1" applyFill="1" applyBorder="1" applyAlignment="1">
      <alignment horizontal="center" vertical="top"/>
    </xf>
    <xf numFmtId="164" fontId="3" fillId="0" borderId="92" xfId="0" applyNumberFormat="1" applyFont="1" applyBorder="1" applyAlignment="1">
      <alignment horizontal="right" vertical="top"/>
    </xf>
    <xf numFmtId="164" fontId="5" fillId="7" borderId="71" xfId="0" applyNumberFormat="1" applyFont="1" applyFill="1" applyBorder="1" applyAlignment="1">
      <alignment horizontal="right" vertical="top"/>
    </xf>
    <xf numFmtId="164" fontId="5" fillId="7" borderId="10" xfId="0" applyNumberFormat="1" applyFont="1" applyFill="1" applyBorder="1" applyAlignment="1">
      <alignment horizontal="right" vertical="top"/>
    </xf>
    <xf numFmtId="164" fontId="5" fillId="7" borderId="27" xfId="0" applyNumberFormat="1" applyFont="1" applyFill="1" applyBorder="1" applyAlignment="1">
      <alignment horizontal="right" vertical="top"/>
    </xf>
    <xf numFmtId="164" fontId="5" fillId="7" borderId="47" xfId="0" applyNumberFormat="1" applyFont="1" applyFill="1" applyBorder="1" applyAlignment="1">
      <alignment horizontal="right" vertical="top"/>
    </xf>
    <xf numFmtId="0" fontId="3" fillId="0" borderId="93" xfId="0" applyFont="1" applyFill="1" applyBorder="1" applyAlignment="1">
      <alignment horizontal="center" vertical="top"/>
    </xf>
    <xf numFmtId="164" fontId="3" fillId="0" borderId="94" xfId="0" applyNumberFormat="1" applyFont="1" applyBorder="1" applyAlignment="1">
      <alignment horizontal="right" vertical="top"/>
    </xf>
    <xf numFmtId="164" fontId="3" fillId="0" borderId="95" xfId="0" applyNumberFormat="1" applyFont="1" applyBorder="1" applyAlignment="1">
      <alignment horizontal="right" vertical="top"/>
    </xf>
    <xf numFmtId="164" fontId="3" fillId="0" borderId="96" xfId="0" applyNumberFormat="1" applyFont="1" applyBorder="1" applyAlignment="1">
      <alignment horizontal="right" vertical="top"/>
    </xf>
    <xf numFmtId="164" fontId="3" fillId="7" borderId="94" xfId="0" applyNumberFormat="1" applyFont="1" applyFill="1" applyBorder="1" applyAlignment="1">
      <alignment horizontal="right" vertical="top"/>
    </xf>
    <xf numFmtId="164" fontId="3" fillId="7" borderId="95" xfId="0" applyNumberFormat="1" applyFont="1" applyFill="1" applyBorder="1" applyAlignment="1">
      <alignment horizontal="right" vertical="top"/>
    </xf>
    <xf numFmtId="164" fontId="3" fillId="7" borderId="97" xfId="0" applyNumberFormat="1" applyFont="1" applyFill="1" applyBorder="1" applyAlignment="1">
      <alignment horizontal="right" vertical="top"/>
    </xf>
    <xf numFmtId="164" fontId="3" fillId="3" borderId="93" xfId="0" applyNumberFormat="1" applyFont="1" applyFill="1" applyBorder="1" applyAlignment="1">
      <alignment horizontal="right" vertical="top" wrapText="1"/>
    </xf>
    <xf numFmtId="164" fontId="3" fillId="0" borderId="98" xfId="0" applyNumberFormat="1" applyFont="1" applyBorder="1" applyAlignment="1">
      <alignment horizontal="right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164" fontId="3" fillId="7" borderId="76" xfId="0" applyNumberFormat="1" applyFont="1" applyFill="1" applyBorder="1" applyAlignment="1">
      <alignment horizontal="right" vertical="top"/>
    </xf>
    <xf numFmtId="164" fontId="3" fillId="3" borderId="69" xfId="0" applyNumberFormat="1" applyFont="1" applyFill="1" applyBorder="1" applyAlignment="1">
      <alignment horizontal="right" vertical="top" wrapText="1"/>
    </xf>
    <xf numFmtId="164" fontId="3" fillId="3" borderId="99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/>
    </xf>
    <xf numFmtId="164" fontId="5" fillId="7" borderId="100" xfId="0" applyNumberFormat="1" applyFont="1" applyFill="1" applyBorder="1" applyAlignment="1">
      <alignment horizontal="right" vertical="top"/>
    </xf>
    <xf numFmtId="164" fontId="5" fillId="2" borderId="37" xfId="0" applyNumberFormat="1" applyFont="1" applyFill="1" applyBorder="1" applyAlignment="1">
      <alignment horizontal="right" vertical="top"/>
    </xf>
    <xf numFmtId="164" fontId="5" fillId="2" borderId="26" xfId="0" applyNumberFormat="1" applyFont="1" applyFill="1" applyBorder="1" applyAlignment="1">
      <alignment horizontal="right" vertical="top"/>
    </xf>
    <xf numFmtId="0" fontId="3" fillId="8" borderId="76" xfId="0" applyFont="1" applyFill="1" applyBorder="1" applyAlignment="1">
      <alignment horizontal="left" vertical="top" wrapText="1"/>
    </xf>
    <xf numFmtId="1" fontId="11" fillId="8" borderId="77" xfId="0" applyNumberFormat="1" applyFont="1" applyFill="1" applyBorder="1" applyAlignment="1">
      <alignment horizontal="center" vertical="center"/>
    </xf>
    <xf numFmtId="1" fontId="11" fillId="8" borderId="78" xfId="0" applyNumberFormat="1" applyFont="1" applyFill="1" applyBorder="1" applyAlignment="1">
      <alignment horizontal="center" vertical="center"/>
    </xf>
    <xf numFmtId="49" fontId="5" fillId="9" borderId="61" xfId="0" applyNumberFormat="1" applyFont="1" applyFill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164" fontId="3" fillId="3" borderId="12" xfId="0" applyNumberFormat="1" applyFont="1" applyFill="1" applyBorder="1" applyAlignment="1">
      <alignment horizontal="right" vertical="top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164" fontId="3" fillId="7" borderId="14" xfId="0" applyNumberFormat="1" applyFont="1" applyFill="1" applyBorder="1" applyAlignment="1">
      <alignment horizontal="right" vertical="top"/>
    </xf>
    <xf numFmtId="49" fontId="5" fillId="9" borderId="60" xfId="0" applyNumberFormat="1" applyFont="1" applyFill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164" fontId="3" fillId="0" borderId="52" xfId="0" applyNumberFormat="1" applyFont="1" applyBorder="1" applyAlignment="1">
      <alignment horizontal="right" vertical="top"/>
    </xf>
    <xf numFmtId="0" fontId="16" fillId="0" borderId="8" xfId="0" applyFont="1" applyFill="1" applyBorder="1" applyAlignment="1">
      <alignment horizontal="left" vertical="top" wrapText="1"/>
    </xf>
    <xf numFmtId="0" fontId="16" fillId="0" borderId="58" xfId="0" applyFont="1" applyFill="1" applyBorder="1" applyAlignment="1">
      <alignment horizontal="left" vertical="top" wrapText="1"/>
    </xf>
    <xf numFmtId="0" fontId="13" fillId="0" borderId="20" xfId="0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top" wrapText="1"/>
    </xf>
    <xf numFmtId="164" fontId="5" fillId="9" borderId="37" xfId="0" applyNumberFormat="1" applyFont="1" applyFill="1" applyBorder="1" applyAlignment="1">
      <alignment horizontal="right" vertical="top"/>
    </xf>
    <xf numFmtId="164" fontId="5" fillId="4" borderId="36" xfId="0" applyNumberFormat="1" applyFont="1" applyFill="1" applyBorder="1" applyAlignment="1">
      <alignment horizontal="right" vertical="top"/>
    </xf>
    <xf numFmtId="164" fontId="3" fillId="7" borderId="48" xfId="0" applyNumberFormat="1" applyFont="1" applyFill="1" applyBorder="1" applyAlignment="1">
      <alignment horizontal="right" vertical="top"/>
    </xf>
    <xf numFmtId="164" fontId="3" fillId="7" borderId="49" xfId="0" applyNumberFormat="1" applyFont="1" applyFill="1" applyBorder="1" applyAlignment="1">
      <alignment horizontal="right" vertical="top"/>
    </xf>
    <xf numFmtId="164" fontId="5" fillId="4" borderId="22" xfId="0" applyNumberFormat="1" applyFont="1" applyFill="1" applyBorder="1" applyAlignment="1">
      <alignment horizontal="right" vertical="top"/>
    </xf>
    <xf numFmtId="164" fontId="5" fillId="2" borderId="42" xfId="0" applyNumberFormat="1" applyFont="1" applyFill="1" applyBorder="1" applyAlignment="1">
      <alignment horizontal="right" vertical="top"/>
    </xf>
    <xf numFmtId="164" fontId="5" fillId="2" borderId="38" xfId="0" applyNumberFormat="1" applyFont="1" applyFill="1" applyBorder="1" applyAlignment="1">
      <alignment horizontal="right" vertical="top"/>
    </xf>
    <xf numFmtId="164" fontId="5" fillId="9" borderId="42" xfId="0" applyNumberFormat="1" applyFont="1" applyFill="1" applyBorder="1" applyAlignment="1">
      <alignment horizontal="right" vertical="top"/>
    </xf>
    <xf numFmtId="164" fontId="5" fillId="9" borderId="38" xfId="0" applyNumberFormat="1" applyFont="1" applyFill="1" applyBorder="1" applyAlignment="1">
      <alignment horizontal="right" vertical="top"/>
    </xf>
    <xf numFmtId="164" fontId="5" fillId="4" borderId="26" xfId="0" applyNumberFormat="1" applyFont="1" applyFill="1" applyBorder="1" applyAlignment="1">
      <alignment horizontal="right" vertical="top"/>
    </xf>
    <xf numFmtId="3" fontId="3" fillId="0" borderId="18" xfId="0" applyNumberFormat="1" applyFont="1" applyFill="1" applyBorder="1" applyAlignment="1">
      <alignment horizontal="center" vertical="top"/>
    </xf>
    <xf numFmtId="0" fontId="3" fillId="3" borderId="34" xfId="0" applyFont="1" applyFill="1" applyBorder="1" applyAlignment="1">
      <alignment horizontal="left" vertical="top" wrapText="1"/>
    </xf>
    <xf numFmtId="3" fontId="3" fillId="0" borderId="16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 textRotation="90" shrinkToFit="1"/>
    </xf>
    <xf numFmtId="0" fontId="3" fillId="0" borderId="3" xfId="0" applyFont="1" applyBorder="1" applyAlignment="1">
      <alignment horizontal="center" vertical="center" textRotation="90" shrinkToFit="1"/>
    </xf>
    <xf numFmtId="164" fontId="3" fillId="8" borderId="1" xfId="0" applyNumberFormat="1" applyFont="1" applyFill="1" applyBorder="1" applyAlignment="1">
      <alignment horizontal="right" vertical="top"/>
    </xf>
    <xf numFmtId="164" fontId="5" fillId="7" borderId="9" xfId="0" applyNumberFormat="1" applyFont="1" applyFill="1" applyBorder="1" applyAlignment="1">
      <alignment horizontal="right" vertical="top"/>
    </xf>
    <xf numFmtId="0" fontId="3" fillId="0" borderId="24" xfId="0" applyFont="1" applyFill="1" applyBorder="1" applyAlignment="1">
      <alignment horizontal="center" vertical="top" wrapText="1"/>
    </xf>
    <xf numFmtId="164" fontId="3" fillId="8" borderId="49" xfId="0" applyNumberFormat="1" applyFont="1" applyFill="1" applyBorder="1" applyAlignment="1">
      <alignment horizontal="right" vertical="top"/>
    </xf>
    <xf numFmtId="164" fontId="3" fillId="8" borderId="4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164" fontId="3" fillId="3" borderId="54" xfId="0" applyNumberFormat="1" applyFont="1" applyFill="1" applyBorder="1" applyAlignment="1">
      <alignment horizontal="right" vertical="top" wrapText="1"/>
    </xf>
    <xf numFmtId="164" fontId="5" fillId="9" borderId="26" xfId="0" applyNumberFormat="1" applyFont="1" applyFill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0" fontId="8" fillId="0" borderId="8" xfId="0" applyFont="1" applyBorder="1" applyAlignment="1">
      <alignment vertical="top" wrapText="1"/>
    </xf>
    <xf numFmtId="164" fontId="3" fillId="0" borderId="101" xfId="0" applyNumberFormat="1" applyFont="1" applyFill="1" applyBorder="1" applyAlignment="1">
      <alignment horizontal="right" vertical="top"/>
    </xf>
    <xf numFmtId="164" fontId="3" fillId="3" borderId="63" xfId="0" applyNumberFormat="1" applyFont="1" applyFill="1" applyBorder="1" applyAlignment="1">
      <alignment horizontal="right" vertical="top" wrapText="1"/>
    </xf>
    <xf numFmtId="0" fontId="3" fillId="3" borderId="34" xfId="0" applyFont="1" applyFill="1" applyBorder="1" applyAlignment="1">
      <alignment vertical="top" wrapText="1"/>
    </xf>
    <xf numFmtId="0" fontId="3" fillId="0" borderId="76" xfId="0" applyFont="1" applyFill="1" applyBorder="1" applyAlignment="1">
      <alignment vertical="top" wrapText="1"/>
    </xf>
    <xf numFmtId="3" fontId="3" fillId="0" borderId="77" xfId="0" applyNumberFormat="1" applyFont="1" applyFill="1" applyBorder="1" applyAlignment="1">
      <alignment horizontal="center" vertical="top"/>
    </xf>
    <xf numFmtId="3" fontId="3" fillId="0" borderId="78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3" fontId="3" fillId="0" borderId="27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3" fontId="3" fillId="0" borderId="27" xfId="0" applyNumberFormat="1" applyFont="1" applyFill="1" applyBorder="1" applyAlignment="1">
      <alignment horizontal="center" vertical="top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0" borderId="76" xfId="0" applyFont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top"/>
    </xf>
    <xf numFmtId="0" fontId="14" fillId="0" borderId="56" xfId="0" applyFont="1" applyBorder="1" applyAlignment="1">
      <alignment horizontal="center" vertical="center" wrapText="1"/>
    </xf>
    <xf numFmtId="164" fontId="3" fillId="8" borderId="80" xfId="0" applyNumberFormat="1" applyFont="1" applyFill="1" applyBorder="1" applyAlignment="1">
      <alignment horizontal="right" vertical="top"/>
    </xf>
    <xf numFmtId="164" fontId="3" fillId="8" borderId="81" xfId="0" applyNumberFormat="1" applyFont="1" applyFill="1" applyBorder="1" applyAlignment="1">
      <alignment horizontal="right" vertical="top"/>
    </xf>
    <xf numFmtId="164" fontId="3" fillId="8" borderId="83" xfId="0" applyNumberFormat="1" applyFont="1" applyFill="1" applyBorder="1" applyAlignment="1">
      <alignment horizontal="right" vertical="top"/>
    </xf>
    <xf numFmtId="164" fontId="3" fillId="8" borderId="12" xfId="0" applyNumberFormat="1" applyFont="1" applyFill="1" applyBorder="1" applyAlignment="1">
      <alignment horizontal="right" vertical="top"/>
    </xf>
    <xf numFmtId="164" fontId="3" fillId="8" borderId="14" xfId="0" applyNumberFormat="1" applyFont="1" applyFill="1" applyBorder="1" applyAlignment="1">
      <alignment horizontal="right" vertical="top"/>
    </xf>
    <xf numFmtId="0" fontId="16" fillId="3" borderId="8" xfId="0" applyFont="1" applyFill="1" applyBorder="1" applyAlignment="1">
      <alignment vertical="top" wrapText="1"/>
    </xf>
    <xf numFmtId="0" fontId="16" fillId="3" borderId="76" xfId="0" applyFont="1" applyFill="1" applyBorder="1" applyAlignment="1">
      <alignment vertical="top" wrapText="1"/>
    </xf>
    <xf numFmtId="0" fontId="16" fillId="8" borderId="72" xfId="0" applyFont="1" applyFill="1" applyBorder="1" applyAlignment="1">
      <alignment vertical="top" wrapText="1"/>
    </xf>
    <xf numFmtId="0" fontId="3" fillId="0" borderId="88" xfId="0" applyFont="1" applyFill="1" applyBorder="1" applyAlignment="1">
      <alignment vertical="center" wrapText="1"/>
    </xf>
    <xf numFmtId="0" fontId="3" fillId="0" borderId="76" xfId="0" applyFont="1" applyBorder="1" applyAlignment="1">
      <alignment vertical="center" wrapText="1"/>
    </xf>
    <xf numFmtId="164" fontId="3" fillId="8" borderId="48" xfId="0" applyNumberFormat="1" applyFont="1" applyFill="1" applyBorder="1" applyAlignment="1">
      <alignment horizontal="right" vertical="top"/>
    </xf>
    <xf numFmtId="164" fontId="3" fillId="8" borderId="17" xfId="0" applyNumberFormat="1" applyFont="1" applyFill="1" applyBorder="1" applyAlignment="1">
      <alignment horizontal="right" vertical="top"/>
    </xf>
    <xf numFmtId="1" fontId="19" fillId="8" borderId="28" xfId="0" applyNumberFormat="1" applyFont="1" applyFill="1" applyBorder="1" applyAlignment="1">
      <alignment horizontal="center" vertical="center"/>
    </xf>
    <xf numFmtId="1" fontId="19" fillId="8" borderId="29" xfId="0" applyNumberFormat="1" applyFont="1" applyFill="1" applyBorder="1" applyAlignment="1">
      <alignment horizontal="center" vertical="center"/>
    </xf>
    <xf numFmtId="1" fontId="11" fillId="8" borderId="106" xfId="0" applyNumberFormat="1" applyFont="1" applyFill="1" applyBorder="1" applyAlignment="1">
      <alignment horizontal="center" vertical="center"/>
    </xf>
    <xf numFmtId="1" fontId="11" fillId="8" borderId="107" xfId="0" applyNumberFormat="1" applyFont="1" applyFill="1" applyBorder="1" applyAlignment="1">
      <alignment horizontal="center" vertical="center"/>
    </xf>
    <xf numFmtId="0" fontId="16" fillId="8" borderId="76" xfId="0" applyFont="1" applyFill="1" applyBorder="1" applyAlignment="1">
      <alignment horizontal="left" vertical="top" wrapText="1"/>
    </xf>
    <xf numFmtId="0" fontId="16" fillId="8" borderId="8" xfId="0" applyFont="1" applyFill="1" applyBorder="1" applyAlignment="1">
      <alignment horizontal="left" vertical="top" wrapText="1"/>
    </xf>
    <xf numFmtId="1" fontId="3" fillId="7" borderId="70" xfId="0" applyNumberFormat="1" applyFont="1" applyFill="1" applyBorder="1" applyAlignment="1">
      <alignment horizontal="right" vertical="top"/>
    </xf>
    <xf numFmtId="1" fontId="3" fillId="0" borderId="5" xfId="0" applyNumberFormat="1" applyFont="1" applyFill="1" applyBorder="1" applyAlignment="1">
      <alignment horizontal="right" vertical="top"/>
    </xf>
    <xf numFmtId="1" fontId="3" fillId="7" borderId="69" xfId="0" applyNumberFormat="1" applyFont="1" applyFill="1" applyBorder="1" applyAlignment="1">
      <alignment horizontal="right" vertical="top"/>
    </xf>
    <xf numFmtId="1" fontId="3" fillId="3" borderId="50" xfId="0" applyNumberFormat="1" applyFont="1" applyFill="1" applyBorder="1" applyAlignment="1">
      <alignment horizontal="right" vertical="top" wrapText="1"/>
    </xf>
    <xf numFmtId="1" fontId="5" fillId="7" borderId="46" xfId="0" applyNumberFormat="1" applyFont="1" applyFill="1" applyBorder="1" applyAlignment="1">
      <alignment horizontal="right" vertical="top"/>
    </xf>
    <xf numFmtId="1" fontId="5" fillId="7" borderId="71" xfId="0" applyNumberFormat="1" applyFont="1" applyFill="1" applyBorder="1" applyAlignment="1">
      <alignment horizontal="right" vertical="top"/>
    </xf>
    <xf numFmtId="1" fontId="5" fillId="7" borderId="47" xfId="0" applyNumberFormat="1" applyFont="1" applyFill="1" applyBorder="1" applyAlignment="1">
      <alignment horizontal="right" vertical="top"/>
    </xf>
    <xf numFmtId="1" fontId="5" fillId="7" borderId="43" xfId="0" applyNumberFormat="1" applyFont="1" applyFill="1" applyBorder="1" applyAlignment="1">
      <alignment horizontal="right" vertical="top"/>
    </xf>
    <xf numFmtId="1" fontId="3" fillId="7" borderId="72" xfId="0" applyNumberFormat="1" applyFont="1" applyFill="1" applyBorder="1" applyAlignment="1">
      <alignment horizontal="right" vertical="top"/>
    </xf>
    <xf numFmtId="1" fontId="3" fillId="7" borderId="19" xfId="0" applyNumberFormat="1" applyFont="1" applyFill="1" applyBorder="1" applyAlignment="1">
      <alignment horizontal="right" vertical="top"/>
    </xf>
    <xf numFmtId="1" fontId="3" fillId="3" borderId="25" xfId="0" applyNumberFormat="1" applyFont="1" applyFill="1" applyBorder="1" applyAlignment="1">
      <alignment horizontal="right" vertical="top" wrapText="1"/>
    </xf>
    <xf numFmtId="1" fontId="3" fillId="7" borderId="56" xfId="0" applyNumberFormat="1" applyFont="1" applyFill="1" applyBorder="1" applyAlignment="1">
      <alignment horizontal="right" vertical="top"/>
    </xf>
    <xf numFmtId="1" fontId="3" fillId="3" borderId="7" xfId="0" applyNumberFormat="1" applyFont="1" applyFill="1" applyBorder="1" applyAlignment="1">
      <alignment horizontal="right" vertical="top" wrapText="1"/>
    </xf>
    <xf numFmtId="1" fontId="5" fillId="2" borderId="22" xfId="0" applyNumberFormat="1" applyFont="1" applyFill="1" applyBorder="1" applyAlignment="1">
      <alignment horizontal="right" vertical="top"/>
    </xf>
    <xf numFmtId="1" fontId="5" fillId="9" borderId="22" xfId="0" applyNumberFormat="1" applyFont="1" applyFill="1" applyBorder="1" applyAlignment="1">
      <alignment horizontal="right" vertical="top"/>
    </xf>
    <xf numFmtId="1" fontId="5" fillId="9" borderId="23" xfId="0" applyNumberFormat="1" applyFont="1" applyFill="1" applyBorder="1" applyAlignment="1">
      <alignment horizontal="right" vertical="top"/>
    </xf>
    <xf numFmtId="1" fontId="3" fillId="3" borderId="54" xfId="0" applyNumberFormat="1" applyFont="1" applyFill="1" applyBorder="1" applyAlignment="1">
      <alignment horizontal="right" vertical="top" wrapText="1"/>
    </xf>
    <xf numFmtId="3" fontId="5" fillId="4" borderId="7" xfId="0" applyNumberFormat="1" applyFont="1" applyFill="1" applyBorder="1" applyAlignment="1">
      <alignment horizontal="right" vertical="top"/>
    </xf>
    <xf numFmtId="3" fontId="3" fillId="0" borderId="25" xfId="0" applyNumberFormat="1" applyFont="1" applyBorder="1" applyAlignment="1">
      <alignment horizontal="right" vertical="top"/>
    </xf>
    <xf numFmtId="3" fontId="5" fillId="4" borderId="25" xfId="0" applyNumberFormat="1" applyFont="1" applyFill="1" applyBorder="1" applyAlignment="1">
      <alignment horizontal="right" vertical="top"/>
    </xf>
    <xf numFmtId="3" fontId="5" fillId="5" borderId="47" xfId="0" applyNumberFormat="1" applyFont="1" applyFill="1" applyBorder="1" applyAlignment="1">
      <alignment horizontal="right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165" fontId="3" fillId="0" borderId="55" xfId="0" applyNumberFormat="1" applyFont="1" applyBorder="1" applyAlignment="1">
      <alignment horizontal="center" vertical="top" wrapText="1"/>
    </xf>
    <xf numFmtId="165" fontId="3" fillId="0" borderId="39" xfId="0" applyNumberFormat="1" applyFont="1" applyBorder="1" applyAlignment="1">
      <alignment horizontal="center" vertical="top" wrapText="1"/>
    </xf>
    <xf numFmtId="165" fontId="3" fillId="0" borderId="40" xfId="0" applyNumberFormat="1" applyFont="1" applyBorder="1" applyAlignment="1">
      <alignment horizontal="center" vertical="top" wrapText="1"/>
    </xf>
    <xf numFmtId="1" fontId="3" fillId="7" borderId="102" xfId="0" applyNumberFormat="1" applyFont="1" applyFill="1" applyBorder="1" applyAlignment="1">
      <alignment vertical="top"/>
    </xf>
    <xf numFmtId="1" fontId="3" fillId="3" borderId="79" xfId="0" applyNumberFormat="1" applyFont="1" applyFill="1" applyBorder="1" applyAlignment="1">
      <alignment vertical="top" wrapText="1"/>
    </xf>
    <xf numFmtId="1" fontId="3" fillId="7" borderId="70" xfId="0" applyNumberFormat="1" applyFont="1" applyFill="1" applyBorder="1" applyAlignment="1">
      <alignment vertical="top"/>
    </xf>
    <xf numFmtId="1" fontId="3" fillId="0" borderId="5" xfId="0" applyNumberFormat="1" applyFont="1" applyFill="1" applyBorder="1" applyAlignment="1">
      <alignment vertical="top" wrapText="1"/>
    </xf>
    <xf numFmtId="1" fontId="3" fillId="0" borderId="5" xfId="0" applyNumberFormat="1" applyFont="1" applyFill="1" applyBorder="1" applyAlignment="1">
      <alignment vertical="top"/>
    </xf>
    <xf numFmtId="1" fontId="5" fillId="7" borderId="53" xfId="0" applyNumberFormat="1" applyFont="1" applyFill="1" applyBorder="1" applyAlignment="1">
      <alignment vertical="top"/>
    </xf>
    <xf numFmtId="1" fontId="5" fillId="7" borderId="6" xfId="0" applyNumberFormat="1" applyFont="1" applyFill="1" applyBorder="1" applyAlignment="1">
      <alignment vertical="top"/>
    </xf>
    <xf numFmtId="1" fontId="3" fillId="7" borderId="69" xfId="0" applyNumberFormat="1" applyFont="1" applyFill="1" applyBorder="1" applyAlignment="1">
      <alignment vertical="top"/>
    </xf>
    <xf numFmtId="1" fontId="3" fillId="3" borderId="50" xfId="0" applyNumberFormat="1" applyFont="1" applyFill="1" applyBorder="1" applyAlignment="1">
      <alignment vertical="top" wrapText="1"/>
    </xf>
    <xf numFmtId="1" fontId="3" fillId="7" borderId="0" xfId="0" applyNumberFormat="1" applyFont="1" applyFill="1" applyBorder="1" applyAlignment="1">
      <alignment vertical="top"/>
    </xf>
    <xf numFmtId="1" fontId="5" fillId="7" borderId="104" xfId="0" applyNumberFormat="1" applyFont="1" applyFill="1" applyBorder="1" applyAlignment="1">
      <alignment vertical="top"/>
    </xf>
    <xf numFmtId="1" fontId="5" fillId="7" borderId="46" xfId="0" applyNumberFormat="1" applyFont="1" applyFill="1" applyBorder="1" applyAlignment="1">
      <alignment vertical="top"/>
    </xf>
    <xf numFmtId="1" fontId="3" fillId="7" borderId="103" xfId="0" applyNumberFormat="1" applyFont="1" applyFill="1" applyBorder="1" applyAlignment="1">
      <alignment vertical="top"/>
    </xf>
    <xf numFmtId="1" fontId="3" fillId="3" borderId="93" xfId="0" applyNumberFormat="1" applyFont="1" applyFill="1" applyBorder="1" applyAlignment="1">
      <alignment vertical="top" wrapText="1"/>
    </xf>
    <xf numFmtId="1" fontId="5" fillId="7" borderId="71" xfId="0" applyNumberFormat="1" applyFont="1" applyFill="1" applyBorder="1" applyAlignment="1">
      <alignment vertical="top"/>
    </xf>
    <xf numFmtId="1" fontId="5" fillId="7" borderId="47" xfId="0" applyNumberFormat="1" applyFont="1" applyFill="1" applyBorder="1" applyAlignment="1">
      <alignment vertical="top"/>
    </xf>
    <xf numFmtId="1" fontId="5" fillId="2" borderId="37" xfId="0" applyNumberFormat="1" applyFont="1" applyFill="1" applyBorder="1" applyAlignment="1">
      <alignment vertical="top"/>
    </xf>
    <xf numFmtId="1" fontId="5" fillId="2" borderId="26" xfId="0" applyNumberFormat="1" applyFont="1" applyFill="1" applyBorder="1" applyAlignment="1">
      <alignment vertical="top"/>
    </xf>
    <xf numFmtId="1" fontId="3" fillId="7" borderId="48" xfId="0" applyNumberFormat="1" applyFont="1" applyFill="1" applyBorder="1" applyAlignment="1">
      <alignment horizontal="right" vertical="top"/>
    </xf>
    <xf numFmtId="1" fontId="3" fillId="7" borderId="49" xfId="0" applyNumberFormat="1" applyFont="1" applyFill="1" applyBorder="1" applyAlignment="1">
      <alignment horizontal="right" vertical="top"/>
    </xf>
    <xf numFmtId="1" fontId="3" fillId="8" borderId="24" xfId="0" applyNumberFormat="1" applyFont="1" applyFill="1" applyBorder="1" applyAlignment="1">
      <alignment horizontal="right" vertical="top" wrapText="1"/>
    </xf>
    <xf numFmtId="1" fontId="3" fillId="8" borderId="49" xfId="0" applyNumberFormat="1" applyFont="1" applyFill="1" applyBorder="1" applyAlignment="1">
      <alignment horizontal="right" vertical="top" wrapText="1"/>
    </xf>
    <xf numFmtId="1" fontId="5" fillId="7" borderId="84" xfId="0" applyNumberFormat="1" applyFont="1" applyFill="1" applyBorder="1" applyAlignment="1">
      <alignment horizontal="right" vertical="top"/>
    </xf>
    <xf numFmtId="1" fontId="3" fillId="7" borderId="40" xfId="0" applyNumberFormat="1" applyFont="1" applyFill="1" applyBorder="1" applyAlignment="1">
      <alignment horizontal="right" vertical="top"/>
    </xf>
    <xf numFmtId="1" fontId="3" fillId="0" borderId="24" xfId="0" applyNumberFormat="1" applyFont="1" applyFill="1" applyBorder="1" applyAlignment="1">
      <alignment horizontal="right" vertical="top" wrapText="1"/>
    </xf>
    <xf numFmtId="1" fontId="5" fillId="7" borderId="9" xfId="0" applyNumberFormat="1" applyFont="1" applyFill="1" applyBorder="1" applyAlignment="1">
      <alignment horizontal="right" vertical="top"/>
    </xf>
    <xf numFmtId="3" fontId="5" fillId="2" borderId="22" xfId="0" applyNumberFormat="1" applyFont="1" applyFill="1" applyBorder="1" applyAlignment="1">
      <alignment horizontal="right" vertical="top"/>
    </xf>
    <xf numFmtId="3" fontId="5" fillId="9" borderId="22" xfId="0" applyNumberFormat="1" applyFont="1" applyFill="1" applyBorder="1" applyAlignment="1">
      <alignment horizontal="right" vertical="top"/>
    </xf>
    <xf numFmtId="3" fontId="5" fillId="9" borderId="26" xfId="0" applyNumberFormat="1" applyFont="1" applyFill="1" applyBorder="1" applyAlignment="1">
      <alignment horizontal="right" vertical="top"/>
    </xf>
    <xf numFmtId="3" fontId="5" fillId="4" borderId="42" xfId="0" applyNumberFormat="1" applyFont="1" applyFill="1" applyBorder="1" applyAlignment="1">
      <alignment horizontal="right" vertical="top"/>
    </xf>
    <xf numFmtId="3" fontId="5" fillId="4" borderId="26" xfId="0" applyNumberFormat="1" applyFont="1" applyFill="1" applyBorder="1" applyAlignment="1">
      <alignment horizontal="right" vertical="top"/>
    </xf>
    <xf numFmtId="3" fontId="5" fillId="4" borderId="22" xfId="0" applyNumberFormat="1" applyFont="1" applyFill="1" applyBorder="1" applyAlignment="1">
      <alignment horizontal="right" vertical="top"/>
    </xf>
    <xf numFmtId="164" fontId="3" fillId="8" borderId="24" xfId="0" applyNumberFormat="1" applyFont="1" applyFill="1" applyBorder="1" applyAlignment="1">
      <alignment horizontal="right" vertical="top" wrapText="1"/>
    </xf>
    <xf numFmtId="164" fontId="3" fillId="8" borderId="49" xfId="0" applyNumberFormat="1" applyFont="1" applyFill="1" applyBorder="1" applyAlignment="1">
      <alignment horizontal="right" vertical="top" wrapText="1"/>
    </xf>
    <xf numFmtId="164" fontId="3" fillId="8" borderId="1" xfId="0" applyNumberFormat="1" applyFont="1" applyFill="1" applyBorder="1" applyAlignment="1">
      <alignment horizontal="right" vertical="top" wrapText="1"/>
    </xf>
    <xf numFmtId="164" fontId="3" fillId="0" borderId="24" xfId="0" applyNumberFormat="1" applyFont="1" applyFill="1" applyBorder="1" applyAlignment="1">
      <alignment horizontal="right" vertical="top" wrapText="1"/>
    </xf>
    <xf numFmtId="3" fontId="3" fillId="8" borderId="0" xfId="0" applyNumberFormat="1" applyFont="1" applyFill="1" applyAlignment="1">
      <alignment vertical="top"/>
    </xf>
    <xf numFmtId="164" fontId="5" fillId="4" borderId="7" xfId="0" applyNumberFormat="1" applyFont="1" applyFill="1" applyBorder="1" applyAlignment="1">
      <alignment horizontal="center" vertical="top"/>
    </xf>
    <xf numFmtId="164" fontId="3" fillId="0" borderId="25" xfId="0" applyNumberFormat="1" applyFont="1" applyBorder="1" applyAlignment="1">
      <alignment horizontal="center" vertical="top"/>
    </xf>
    <xf numFmtId="164" fontId="5" fillId="4" borderId="25" xfId="0" applyNumberFormat="1" applyFont="1" applyFill="1" applyBorder="1" applyAlignment="1">
      <alignment horizontal="center" vertical="top"/>
    </xf>
    <xf numFmtId="164" fontId="5" fillId="5" borderId="47" xfId="0" applyNumberFormat="1" applyFont="1" applyFill="1" applyBorder="1" applyAlignment="1">
      <alignment horizontal="center" vertical="top"/>
    </xf>
    <xf numFmtId="0" fontId="3" fillId="0" borderId="108" xfId="0" applyFont="1" applyFill="1" applyBorder="1" applyAlignment="1">
      <alignment horizontal="center" vertical="top" wrapText="1"/>
    </xf>
    <xf numFmtId="1" fontId="3" fillId="7" borderId="109" xfId="0" applyNumberFormat="1" applyFont="1" applyFill="1" applyBorder="1" applyAlignment="1">
      <alignment vertical="top"/>
    </xf>
    <xf numFmtId="1" fontId="3" fillId="3" borderId="108" xfId="0" applyNumberFormat="1" applyFont="1" applyFill="1" applyBorder="1" applyAlignment="1">
      <alignment vertical="top" wrapText="1"/>
    </xf>
    <xf numFmtId="1" fontId="3" fillId="3" borderId="5" xfId="0" applyNumberFormat="1" applyFont="1" applyFill="1" applyBorder="1" applyAlignment="1">
      <alignment vertical="top" wrapText="1"/>
    </xf>
    <xf numFmtId="1" fontId="3" fillId="3" borderId="5" xfId="0" applyNumberFormat="1" applyFont="1" applyFill="1" applyBorder="1" applyAlignment="1">
      <alignment horizontal="right" vertical="top" wrapText="1"/>
    </xf>
    <xf numFmtId="1" fontId="3" fillId="7" borderId="67" xfId="0" applyNumberFormat="1" applyFont="1" applyFill="1" applyBorder="1" applyAlignment="1">
      <alignment horizontal="right" vertical="top"/>
    </xf>
    <xf numFmtId="0" fontId="3" fillId="3" borderId="55" xfId="0" applyFont="1" applyFill="1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 vertical="top"/>
    </xf>
    <xf numFmtId="49" fontId="3" fillId="0" borderId="27" xfId="0" applyNumberFormat="1" applyFont="1" applyBorder="1" applyAlignment="1">
      <alignment horizontal="center" vertical="top"/>
    </xf>
    <xf numFmtId="49" fontId="5" fillId="9" borderId="34" xfId="0" applyNumberFormat="1" applyFont="1" applyFill="1" applyBorder="1" applyAlignment="1">
      <alignment horizontal="center" vertical="top"/>
    </xf>
    <xf numFmtId="49" fontId="5" fillId="9" borderId="8" xfId="0" applyNumberFormat="1" applyFont="1" applyFill="1" applyBorder="1" applyAlignment="1">
      <alignment horizontal="center" vertical="top"/>
    </xf>
    <xf numFmtId="49" fontId="5" fillId="9" borderId="9" xfId="0" applyNumberFormat="1" applyFont="1" applyFill="1" applyBorder="1" applyAlignment="1">
      <alignment horizontal="center" vertical="top"/>
    </xf>
    <xf numFmtId="49" fontId="5" fillId="2" borderId="28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0" fontId="3" fillId="3" borderId="28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11" fillId="0" borderId="72" xfId="0" applyFont="1" applyFill="1" applyBorder="1" applyAlignment="1">
      <alignment horizontal="center" vertical="center" textRotation="90" wrapText="1"/>
    </xf>
    <xf numFmtId="0" fontId="11" fillId="0" borderId="70" xfId="0" applyFont="1" applyFill="1" applyBorder="1" applyAlignment="1">
      <alignment horizontal="center" vertical="center" textRotation="90" wrapText="1"/>
    </xf>
    <xf numFmtId="0" fontId="11" fillId="0" borderId="71" xfId="0" applyFont="1" applyFill="1" applyBorder="1" applyAlignment="1">
      <alignment horizontal="center" vertical="center" textRotation="90" wrapText="1"/>
    </xf>
    <xf numFmtId="0" fontId="5" fillId="5" borderId="61" xfId="0" applyFont="1" applyFill="1" applyBorder="1" applyAlignment="1">
      <alignment horizontal="right" vertical="top" wrapText="1"/>
    </xf>
    <xf numFmtId="0" fontId="5" fillId="5" borderId="30" xfId="0" applyFont="1" applyFill="1" applyBorder="1" applyAlignment="1">
      <alignment horizontal="right" vertical="top" wrapText="1"/>
    </xf>
    <xf numFmtId="0" fontId="5" fillId="5" borderId="64" xfId="0" applyFont="1" applyFill="1" applyBorder="1" applyAlignment="1">
      <alignment horizontal="right" vertical="top" wrapText="1"/>
    </xf>
    <xf numFmtId="0" fontId="3" fillId="0" borderId="50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left" vertical="top" wrapText="1"/>
    </xf>
    <xf numFmtId="0" fontId="3" fillId="3" borderId="67" xfId="0" applyFont="1" applyFill="1" applyBorder="1" applyAlignment="1">
      <alignment horizontal="left" vertical="top" wrapText="1"/>
    </xf>
    <xf numFmtId="0" fontId="3" fillId="3" borderId="68" xfId="0" applyFont="1" applyFill="1" applyBorder="1" applyAlignment="1">
      <alignment horizontal="left" vertical="top" wrapText="1"/>
    </xf>
    <xf numFmtId="0" fontId="5" fillId="4" borderId="55" xfId="0" applyFont="1" applyFill="1" applyBorder="1" applyAlignment="1">
      <alignment horizontal="right" vertical="top" wrapText="1"/>
    </xf>
    <xf numFmtId="0" fontId="5" fillId="4" borderId="39" xfId="0" applyFont="1" applyFill="1" applyBorder="1" applyAlignment="1">
      <alignment horizontal="right" vertical="top" wrapText="1"/>
    </xf>
    <xf numFmtId="0" fontId="5" fillId="4" borderId="40" xfId="0" applyFont="1" applyFill="1" applyBorder="1" applyAlignment="1">
      <alignment horizontal="right" vertical="top" wrapText="1"/>
    </xf>
    <xf numFmtId="0" fontId="3" fillId="0" borderId="66" xfId="0" applyFont="1" applyBorder="1" applyAlignment="1">
      <alignment horizontal="left" vertical="top" wrapText="1"/>
    </xf>
    <xf numFmtId="0" fontId="3" fillId="0" borderId="67" xfId="0" applyFont="1" applyBorder="1" applyAlignment="1">
      <alignment horizontal="left" vertical="top" wrapText="1"/>
    </xf>
    <xf numFmtId="0" fontId="3" fillId="0" borderId="68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right" vertical="top" wrapText="1"/>
    </xf>
    <xf numFmtId="0" fontId="5" fillId="4" borderId="56" xfId="0" applyFont="1" applyFill="1" applyBorder="1" applyAlignment="1">
      <alignment horizontal="right" vertical="top" wrapText="1"/>
    </xf>
    <xf numFmtId="0" fontId="5" fillId="4" borderId="54" xfId="0" applyFont="1" applyFill="1" applyBorder="1" applyAlignment="1">
      <alignment horizontal="right" vertical="top" wrapText="1"/>
    </xf>
    <xf numFmtId="49" fontId="5" fillId="9" borderId="65" xfId="0" applyNumberFormat="1" applyFont="1" applyFill="1" applyBorder="1" applyAlignment="1">
      <alignment horizontal="right" vertical="top"/>
    </xf>
    <xf numFmtId="49" fontId="5" fillId="9" borderId="37" xfId="0" applyNumberFormat="1" applyFont="1" applyFill="1" applyBorder="1" applyAlignment="1">
      <alignment horizontal="right" vertical="top"/>
    </xf>
    <xf numFmtId="49" fontId="5" fillId="9" borderId="38" xfId="0" applyNumberFormat="1" applyFont="1" applyFill="1" applyBorder="1" applyAlignment="1">
      <alignment horizontal="right" vertical="top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70" xfId="0" applyFont="1" applyBorder="1" applyAlignment="1">
      <alignment horizontal="center" vertical="center" textRotation="90" wrapText="1"/>
    </xf>
    <xf numFmtId="0" fontId="2" fillId="0" borderId="71" xfId="0" applyFont="1" applyBorder="1" applyAlignment="1">
      <alignment horizontal="center" vertical="center" textRotation="90" wrapText="1"/>
    </xf>
    <xf numFmtId="49" fontId="5" fillId="2" borderId="37" xfId="0" applyNumberFormat="1" applyFont="1" applyFill="1" applyBorder="1" applyAlignment="1">
      <alignment horizontal="right" vertical="top"/>
    </xf>
    <xf numFmtId="49" fontId="5" fillId="2" borderId="38" xfId="0" applyNumberFormat="1" applyFont="1" applyFill="1" applyBorder="1" applyAlignment="1">
      <alignment horizontal="right" vertical="top"/>
    </xf>
    <xf numFmtId="0" fontId="10" fillId="4" borderId="55" xfId="0" applyFont="1" applyFill="1" applyBorder="1" applyAlignment="1">
      <alignment horizontal="left" vertical="top" wrapText="1"/>
    </xf>
    <xf numFmtId="0" fontId="10" fillId="4" borderId="39" xfId="0" applyFont="1" applyFill="1" applyBorder="1" applyAlignment="1">
      <alignment horizontal="left" vertical="top" wrapText="1"/>
    </xf>
    <xf numFmtId="0" fontId="10" fillId="4" borderId="40" xfId="0" applyFont="1" applyFill="1" applyBorder="1" applyAlignment="1">
      <alignment horizontal="left" vertical="top" wrapText="1"/>
    </xf>
    <xf numFmtId="0" fontId="5" fillId="9" borderId="41" xfId="0" applyFont="1" applyFill="1" applyBorder="1" applyAlignment="1">
      <alignment horizontal="left" vertical="top" wrapText="1"/>
    </xf>
    <xf numFmtId="0" fontId="5" fillId="9" borderId="39" xfId="0" applyFont="1" applyFill="1" applyBorder="1" applyAlignment="1">
      <alignment horizontal="left" vertical="top" wrapText="1"/>
    </xf>
    <xf numFmtId="0" fontId="5" fillId="9" borderId="40" xfId="0" applyFont="1" applyFill="1" applyBorder="1" applyAlignment="1">
      <alignment horizontal="left" vertical="top" wrapText="1"/>
    </xf>
    <xf numFmtId="0" fontId="5" fillId="2" borderId="41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left" vertical="top" wrapText="1"/>
    </xf>
    <xf numFmtId="0" fontId="3" fillId="0" borderId="5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49" fontId="10" fillId="6" borderId="52" xfId="0" applyNumberFormat="1" applyFont="1" applyFill="1" applyBorder="1" applyAlignment="1">
      <alignment horizontal="left" vertical="top" wrapText="1"/>
    </xf>
    <xf numFmtId="49" fontId="10" fillId="6" borderId="56" xfId="0" applyNumberFormat="1" applyFont="1" applyFill="1" applyBorder="1" applyAlignment="1">
      <alignment horizontal="left" vertical="top" wrapText="1"/>
    </xf>
    <xf numFmtId="49" fontId="10" fillId="6" borderId="54" xfId="0" applyNumberFormat="1" applyFont="1" applyFill="1" applyBorder="1" applyAlignment="1">
      <alignment horizontal="left" vertical="top" wrapText="1"/>
    </xf>
    <xf numFmtId="0" fontId="3" fillId="0" borderId="50" xfId="0" applyFont="1" applyBorder="1" applyAlignment="1">
      <alignment horizontal="center" textRotation="90" shrinkToFit="1"/>
    </xf>
    <xf numFmtId="0" fontId="3" fillId="0" borderId="5" xfId="0" applyFont="1" applyBorder="1" applyAlignment="1">
      <alignment horizontal="center" textRotation="90" shrinkToFit="1"/>
    </xf>
    <xf numFmtId="0" fontId="3" fillId="0" borderId="47" xfId="0" applyFont="1" applyBorder="1" applyAlignment="1">
      <alignment horizontal="center" textRotation="90" shrinkToFit="1"/>
    </xf>
    <xf numFmtId="0" fontId="5" fillId="9" borderId="65" xfId="0" applyFont="1" applyFill="1" applyBorder="1" applyAlignment="1">
      <alignment horizontal="left" vertical="top"/>
    </xf>
    <xf numFmtId="0" fontId="5" fillId="9" borderId="37" xfId="0" applyFont="1" applyFill="1" applyBorder="1" applyAlignment="1">
      <alignment horizontal="left" vertical="top"/>
    </xf>
    <xf numFmtId="0" fontId="5" fillId="9" borderId="38" xfId="0" applyFont="1" applyFill="1" applyBorder="1" applyAlignment="1">
      <alignment horizontal="left" vertical="top"/>
    </xf>
    <xf numFmtId="0" fontId="5" fillId="2" borderId="65" xfId="0" applyFont="1" applyFill="1" applyBorder="1" applyAlignment="1">
      <alignment horizontal="left" vertical="top" wrapText="1"/>
    </xf>
    <xf numFmtId="0" fontId="5" fillId="2" borderId="37" xfId="0" applyFont="1" applyFill="1" applyBorder="1" applyAlignment="1">
      <alignment horizontal="left" vertical="top" wrapText="1"/>
    </xf>
    <xf numFmtId="0" fontId="5" fillId="2" borderId="38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8" borderId="44" xfId="0" applyFont="1" applyFill="1" applyBorder="1" applyAlignment="1">
      <alignment horizontal="left" vertical="top" wrapText="1"/>
    </xf>
    <xf numFmtId="0" fontId="3" fillId="8" borderId="5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3" borderId="51" xfId="0" applyFont="1" applyFill="1" applyBorder="1" applyAlignment="1">
      <alignment vertical="top" wrapText="1"/>
    </xf>
    <xf numFmtId="0" fontId="3" fillId="3" borderId="44" xfId="0" applyFont="1" applyFill="1" applyBorder="1" applyAlignment="1">
      <alignment vertical="top" wrapText="1"/>
    </xf>
    <xf numFmtId="0" fontId="3" fillId="3" borderId="57" xfId="0" applyFont="1" applyFill="1" applyBorder="1" applyAlignment="1">
      <alignment vertical="top" wrapText="1"/>
    </xf>
    <xf numFmtId="0" fontId="3" fillId="0" borderId="28" xfId="0" applyFont="1" applyFill="1" applyBorder="1" applyAlignment="1">
      <alignment horizontal="center" vertical="top" textRotation="90" wrapText="1"/>
    </xf>
    <xf numFmtId="0" fontId="3" fillId="0" borderId="16" xfId="0" applyFont="1" applyFill="1" applyBorder="1" applyAlignment="1">
      <alignment horizontal="center" vertical="top" textRotation="90" wrapText="1"/>
    </xf>
    <xf numFmtId="0" fontId="3" fillId="0" borderId="10" xfId="0" applyFont="1" applyFill="1" applyBorder="1" applyAlignment="1">
      <alignment horizontal="center" vertical="top" textRotation="90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9" borderId="36" xfId="0" applyFont="1" applyFill="1" applyBorder="1" applyAlignment="1">
      <alignment horizontal="center" vertical="top"/>
    </xf>
    <xf numFmtId="0" fontId="3" fillId="9" borderId="37" xfId="0" applyFont="1" applyFill="1" applyBorder="1" applyAlignment="1">
      <alignment horizontal="center" vertical="top"/>
    </xf>
    <xf numFmtId="0" fontId="3" fillId="9" borderId="38" xfId="0" applyFont="1" applyFill="1" applyBorder="1" applyAlignment="1">
      <alignment horizontal="center" vertical="top"/>
    </xf>
    <xf numFmtId="0" fontId="2" fillId="0" borderId="69" xfId="0" applyNumberFormat="1" applyFont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5" fillId="0" borderId="28" xfId="0" applyNumberFormat="1" applyFont="1" applyBorder="1" applyAlignment="1">
      <alignment horizontal="center" vertical="top" wrapText="1"/>
    </xf>
    <xf numFmtId="49" fontId="5" fillId="0" borderId="16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3" fillId="2" borderId="61" xfId="0" applyFont="1" applyFill="1" applyBorder="1" applyAlignment="1">
      <alignment horizontal="center" vertical="top" wrapText="1"/>
    </xf>
    <xf numFmtId="0" fontId="3" fillId="2" borderId="30" xfId="0" applyFont="1" applyFill="1" applyBorder="1" applyAlignment="1">
      <alignment horizontal="center" vertical="top" wrapText="1"/>
    </xf>
    <xf numFmtId="0" fontId="3" fillId="2" borderId="64" xfId="0" applyFont="1" applyFill="1" applyBorder="1" applyAlignment="1">
      <alignment horizontal="center" vertical="top" wrapText="1"/>
    </xf>
    <xf numFmtId="0" fontId="3" fillId="0" borderId="8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49" fontId="5" fillId="4" borderId="65" xfId="0" applyNumberFormat="1" applyFont="1" applyFill="1" applyBorder="1" applyAlignment="1">
      <alignment horizontal="right" vertical="top"/>
    </xf>
    <xf numFmtId="49" fontId="5" fillId="4" borderId="37" xfId="0" applyNumberFormat="1" applyFont="1" applyFill="1" applyBorder="1" applyAlignment="1">
      <alignment horizontal="right" vertical="top"/>
    </xf>
    <xf numFmtId="49" fontId="5" fillId="4" borderId="38" xfId="0" applyNumberFormat="1" applyFont="1" applyFill="1" applyBorder="1" applyAlignment="1">
      <alignment horizontal="right" vertical="top"/>
    </xf>
    <xf numFmtId="0" fontId="3" fillId="4" borderId="36" xfId="0" applyFont="1" applyFill="1" applyBorder="1" applyAlignment="1">
      <alignment horizontal="center" vertical="top"/>
    </xf>
    <xf numFmtId="0" fontId="3" fillId="4" borderId="37" xfId="0" applyFont="1" applyFill="1" applyBorder="1" applyAlignment="1">
      <alignment horizontal="center" vertical="top"/>
    </xf>
    <xf numFmtId="0" fontId="3" fillId="4" borderId="38" xfId="0" applyFont="1" applyFill="1" applyBorder="1" applyAlignment="1">
      <alignment horizontal="center" vertical="top"/>
    </xf>
    <xf numFmtId="0" fontId="5" fillId="3" borderId="28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49" fontId="5" fillId="2" borderId="65" xfId="0" applyNumberFormat="1" applyFont="1" applyFill="1" applyBorder="1" applyAlignment="1">
      <alignment horizontal="right" vertical="top"/>
    </xf>
    <xf numFmtId="0" fontId="11" fillId="0" borderId="74" xfId="0" applyFont="1" applyFill="1" applyBorder="1" applyAlignment="1">
      <alignment horizontal="center" vertical="top" textRotation="90"/>
    </xf>
    <xf numFmtId="0" fontId="11" fillId="0" borderId="0" xfId="0" applyFont="1" applyFill="1" applyBorder="1" applyAlignment="1">
      <alignment horizontal="center" vertical="top" textRotation="90"/>
    </xf>
    <xf numFmtId="0" fontId="11" fillId="0" borderId="30" xfId="0" applyFont="1" applyFill="1" applyBorder="1" applyAlignment="1">
      <alignment horizontal="center" vertical="top" textRotation="90"/>
    </xf>
    <xf numFmtId="49" fontId="5" fillId="2" borderId="65" xfId="0" applyNumberFormat="1" applyFont="1" applyFill="1" applyBorder="1" applyAlignment="1">
      <alignment horizontal="left" vertical="top"/>
    </xf>
    <xf numFmtId="49" fontId="5" fillId="2" borderId="37" xfId="0" applyNumberFormat="1" applyFont="1" applyFill="1" applyBorder="1" applyAlignment="1">
      <alignment horizontal="left" vertical="top"/>
    </xf>
    <xf numFmtId="49" fontId="5" fillId="2" borderId="38" xfId="0" applyNumberFormat="1" applyFont="1" applyFill="1" applyBorder="1" applyAlignment="1">
      <alignment horizontal="left" vertical="top"/>
    </xf>
    <xf numFmtId="0" fontId="3" fillId="3" borderId="28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0" borderId="72" xfId="0" applyFont="1" applyFill="1" applyBorder="1" applyAlignment="1">
      <alignment horizontal="center" vertical="center" textRotation="90" wrapText="1"/>
    </xf>
    <xf numFmtId="0" fontId="3" fillId="0" borderId="70" xfId="0" applyFont="1" applyFill="1" applyBorder="1" applyAlignment="1">
      <alignment horizontal="center" vertical="center" textRotation="90" wrapText="1"/>
    </xf>
    <xf numFmtId="0" fontId="3" fillId="0" borderId="71" xfId="0" applyFont="1" applyFill="1" applyBorder="1" applyAlignment="1">
      <alignment horizontal="center" vertical="center" textRotation="90" wrapText="1"/>
    </xf>
    <xf numFmtId="0" fontId="3" fillId="8" borderId="18" xfId="0" applyNumberFormat="1" applyFont="1" applyFill="1" applyBorder="1" applyAlignment="1">
      <alignment horizontal="center" vertical="center" textRotation="1"/>
    </xf>
    <xf numFmtId="0" fontId="3" fillId="8" borderId="27" xfId="0" applyNumberFormat="1" applyFont="1" applyFill="1" applyBorder="1" applyAlignment="1">
      <alignment horizontal="center" vertical="center" textRotation="1"/>
    </xf>
    <xf numFmtId="165" fontId="11" fillId="8" borderId="70" xfId="0" applyNumberFormat="1" applyFont="1" applyFill="1" applyBorder="1" applyAlignment="1">
      <alignment horizontal="left" vertical="top" wrapText="1"/>
    </xf>
    <xf numFmtId="165" fontId="11" fillId="8" borderId="71" xfId="0" applyNumberFormat="1" applyFont="1" applyFill="1" applyBorder="1" applyAlignment="1">
      <alignment horizontal="left" vertical="top" wrapText="1"/>
    </xf>
    <xf numFmtId="0" fontId="3" fillId="8" borderId="16" xfId="0" applyNumberFormat="1" applyFont="1" applyFill="1" applyBorder="1" applyAlignment="1">
      <alignment horizontal="center" vertical="center" textRotation="1"/>
    </xf>
    <xf numFmtId="0" fontId="3" fillId="8" borderId="10" xfId="0" applyNumberFormat="1" applyFont="1" applyFill="1" applyBorder="1" applyAlignment="1">
      <alignment horizontal="center" vertical="center" textRotation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center" textRotation="90" shrinkToFit="1"/>
    </xf>
    <xf numFmtId="0" fontId="3" fillId="0" borderId="8" xfId="0" applyFont="1" applyBorder="1" applyAlignment="1">
      <alignment horizontal="center" vertical="center" textRotation="90" shrinkToFit="1"/>
    </xf>
    <xf numFmtId="0" fontId="3" fillId="0" borderId="9" xfId="0" applyFont="1" applyBorder="1" applyAlignment="1">
      <alignment horizontal="center" vertical="center" textRotation="90" shrinkToFit="1"/>
    </xf>
    <xf numFmtId="0" fontId="3" fillId="0" borderId="28" xfId="0" applyFont="1" applyBorder="1" applyAlignment="1">
      <alignment horizontal="center" vertical="center" textRotation="90" shrinkToFit="1"/>
    </xf>
    <xf numFmtId="0" fontId="3" fillId="0" borderId="16" xfId="0" applyFont="1" applyBorder="1" applyAlignment="1">
      <alignment horizontal="center" vertical="center" textRotation="90" shrinkToFit="1"/>
    </xf>
    <xf numFmtId="0" fontId="3" fillId="0" borderId="10" xfId="0" applyFont="1" applyBorder="1" applyAlignment="1">
      <alignment horizontal="center" vertical="center" textRotation="90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textRotation="90" shrinkToFit="1"/>
    </xf>
    <xf numFmtId="0" fontId="3" fillId="0" borderId="0" xfId="0" applyFont="1" applyBorder="1" applyAlignment="1">
      <alignment horizontal="center" vertical="center" textRotation="90" shrinkToFit="1"/>
    </xf>
    <xf numFmtId="0" fontId="3" fillId="0" borderId="30" xfId="0" applyFont="1" applyBorder="1" applyAlignment="1">
      <alignment horizontal="center" vertical="center" textRotation="90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3" fillId="0" borderId="29" xfId="0" applyNumberFormat="1" applyFont="1" applyBorder="1" applyAlignment="1">
      <alignment horizontal="center" vertical="center" textRotation="90" shrinkToFit="1"/>
    </xf>
    <xf numFmtId="0" fontId="3" fillId="0" borderId="18" xfId="0" applyNumberFormat="1" applyFont="1" applyBorder="1" applyAlignment="1">
      <alignment horizontal="center" vertical="center" textRotation="90" shrinkToFit="1"/>
    </xf>
    <xf numFmtId="0" fontId="3" fillId="0" borderId="27" xfId="0" applyNumberFormat="1" applyFont="1" applyBorder="1" applyAlignment="1">
      <alignment horizontal="center" vertical="center" textRotation="90" shrinkToFit="1"/>
    </xf>
    <xf numFmtId="0" fontId="3" fillId="0" borderId="50" xfId="0" applyFont="1" applyBorder="1" applyAlignment="1">
      <alignment horizontal="center" vertical="center" textRotation="90" shrinkToFit="1"/>
    </xf>
    <xf numFmtId="0" fontId="3" fillId="0" borderId="5" xfId="0" applyFont="1" applyBorder="1" applyAlignment="1">
      <alignment horizontal="center" vertical="center" textRotation="90" shrinkToFit="1"/>
    </xf>
    <xf numFmtId="0" fontId="3" fillId="0" borderId="47" xfId="0" applyFont="1" applyBorder="1" applyAlignment="1">
      <alignment horizontal="center" vertical="center" textRotation="90" shrinkToFit="1"/>
    </xf>
    <xf numFmtId="49" fontId="3" fillId="0" borderId="44" xfId="0" applyNumberFormat="1" applyFont="1" applyBorder="1" applyAlignment="1">
      <alignment horizontal="center" vertical="top"/>
    </xf>
    <xf numFmtId="49" fontId="3" fillId="0" borderId="57" xfId="0" applyNumberFormat="1" applyFont="1" applyBorder="1" applyAlignment="1">
      <alignment horizontal="center" vertical="top"/>
    </xf>
    <xf numFmtId="49" fontId="3" fillId="0" borderId="51" xfId="0" applyNumberFormat="1" applyFont="1" applyBorder="1" applyAlignment="1">
      <alignment horizontal="center" vertical="top"/>
    </xf>
    <xf numFmtId="0" fontId="3" fillId="3" borderId="20" xfId="0" applyFont="1" applyFill="1" applyBorder="1" applyAlignment="1">
      <alignment horizontal="left" vertical="top" wrapText="1"/>
    </xf>
    <xf numFmtId="0" fontId="3" fillId="0" borderId="70" xfId="0" applyFont="1" applyFill="1" applyBorder="1" applyAlignment="1">
      <alignment vertical="center" textRotation="90" wrapText="1"/>
    </xf>
    <xf numFmtId="0" fontId="3" fillId="0" borderId="71" xfId="0" applyFont="1" applyFill="1" applyBorder="1" applyAlignment="1">
      <alignment vertical="center" textRotation="90" wrapText="1"/>
    </xf>
    <xf numFmtId="3" fontId="3" fillId="8" borderId="0" xfId="0" applyNumberFormat="1" applyFont="1" applyFill="1" applyAlignment="1">
      <alignment vertical="top"/>
    </xf>
    <xf numFmtId="3" fontId="8" fillId="8" borderId="0" xfId="0" applyNumberFormat="1" applyFont="1" applyFill="1" applyAlignment="1">
      <alignment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51" xfId="0" applyNumberFormat="1" applyFont="1" applyBorder="1" applyAlignment="1">
      <alignment horizontal="center" vertical="top" wrapText="1"/>
    </xf>
    <xf numFmtId="49" fontId="3" fillId="0" borderId="44" xfId="0" applyNumberFormat="1" applyFont="1" applyBorder="1" applyAlignment="1">
      <alignment horizontal="center" vertical="top" wrapText="1"/>
    </xf>
    <xf numFmtId="49" fontId="3" fillId="0" borderId="57" xfId="0" applyNumberFormat="1" applyFont="1" applyBorder="1" applyAlignment="1">
      <alignment horizontal="center" vertical="top" wrapText="1"/>
    </xf>
    <xf numFmtId="165" fontId="5" fillId="5" borderId="61" xfId="0" applyNumberFormat="1" applyFont="1" applyFill="1" applyBorder="1" applyAlignment="1">
      <alignment horizontal="center" vertical="top" wrapText="1"/>
    </xf>
    <xf numFmtId="165" fontId="5" fillId="5" borderId="30" xfId="0" applyNumberFormat="1" applyFont="1" applyFill="1" applyBorder="1" applyAlignment="1">
      <alignment horizontal="center" vertical="top" wrapText="1"/>
    </xf>
    <xf numFmtId="165" fontId="5" fillId="5" borderId="64" xfId="0" applyNumberFormat="1" applyFont="1" applyFill="1" applyBorder="1" applyAlignment="1">
      <alignment horizontal="center" vertical="top" wrapText="1"/>
    </xf>
    <xf numFmtId="165" fontId="3" fillId="0" borderId="55" xfId="0" applyNumberFormat="1" applyFont="1" applyBorder="1" applyAlignment="1">
      <alignment horizontal="center" vertical="top" wrapText="1"/>
    </xf>
    <xf numFmtId="165" fontId="3" fillId="0" borderId="39" xfId="0" applyNumberFormat="1" applyFont="1" applyBorder="1" applyAlignment="1">
      <alignment horizontal="center" vertical="top" wrapText="1"/>
    </xf>
    <xf numFmtId="165" fontId="3" fillId="0" borderId="40" xfId="0" applyNumberFormat="1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0" borderId="27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0" fontId="5" fillId="9" borderId="41" xfId="0" applyFont="1" applyFill="1" applyBorder="1" applyAlignment="1">
      <alignment horizontal="left" vertical="top"/>
    </xf>
    <xf numFmtId="0" fontId="5" fillId="9" borderId="39" xfId="0" applyFont="1" applyFill="1" applyBorder="1" applyAlignment="1">
      <alignment horizontal="left" vertical="top"/>
    </xf>
    <xf numFmtId="0" fontId="5" fillId="9" borderId="40" xfId="0" applyFont="1" applyFill="1" applyBorder="1" applyAlignment="1">
      <alignment horizontal="left" vertical="top"/>
    </xf>
    <xf numFmtId="0" fontId="3" fillId="0" borderId="62" xfId="0" applyNumberFormat="1" applyFont="1" applyBorder="1" applyAlignment="1">
      <alignment horizontal="center" vertical="center" textRotation="90" shrinkToFit="1"/>
    </xf>
    <xf numFmtId="0" fontId="3" fillId="0" borderId="63" xfId="0" applyNumberFormat="1" applyFont="1" applyBorder="1" applyAlignment="1">
      <alignment horizontal="center" vertical="center" textRotation="90" shrinkToFit="1"/>
    </xf>
    <xf numFmtId="0" fontId="3" fillId="0" borderId="64" xfId="0" applyNumberFormat="1" applyFont="1" applyBorder="1" applyAlignment="1">
      <alignment horizontal="center" vertical="center" textRotation="90" shrinkToFit="1"/>
    </xf>
    <xf numFmtId="0" fontId="3" fillId="0" borderId="50" xfId="0" applyNumberFormat="1" applyFont="1" applyFill="1" applyBorder="1" applyAlignment="1">
      <alignment horizontal="center" vertical="center" textRotation="90" shrinkToFit="1"/>
    </xf>
    <xf numFmtId="0" fontId="3" fillId="0" borderId="5" xfId="0" applyNumberFormat="1" applyFont="1" applyFill="1" applyBorder="1" applyAlignment="1">
      <alignment horizontal="center" vertical="center" textRotation="90" shrinkToFit="1"/>
    </xf>
    <xf numFmtId="0" fontId="3" fillId="0" borderId="47" xfId="0" applyNumberFormat="1" applyFont="1" applyFill="1" applyBorder="1" applyAlignment="1">
      <alignment horizontal="center" vertical="center" textRotation="90" shrinkToFit="1"/>
    </xf>
    <xf numFmtId="0" fontId="5" fillId="0" borderId="5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165" fontId="5" fillId="4" borderId="55" xfId="0" applyNumberFormat="1" applyFont="1" applyFill="1" applyBorder="1" applyAlignment="1">
      <alignment horizontal="center" vertical="top" wrapText="1"/>
    </xf>
    <xf numFmtId="165" fontId="5" fillId="4" borderId="39" xfId="0" applyNumberFormat="1" applyFont="1" applyFill="1" applyBorder="1" applyAlignment="1">
      <alignment horizontal="center" vertical="top" wrapText="1"/>
    </xf>
    <xf numFmtId="165" fontId="5" fillId="4" borderId="40" xfId="0" applyNumberFormat="1" applyFont="1" applyFill="1" applyBorder="1" applyAlignment="1">
      <alignment horizontal="center" vertical="top" wrapText="1"/>
    </xf>
    <xf numFmtId="3" fontId="3" fillId="0" borderId="20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0" fontId="0" fillId="0" borderId="8" xfId="0" applyBorder="1" applyAlignment="1">
      <alignment vertical="top" wrapText="1"/>
    </xf>
    <xf numFmtId="165" fontId="5" fillId="4" borderId="52" xfId="0" applyNumberFormat="1" applyFont="1" applyFill="1" applyBorder="1" applyAlignment="1">
      <alignment horizontal="center" vertical="top" wrapText="1"/>
    </xf>
    <xf numFmtId="165" fontId="5" fillId="4" borderId="56" xfId="0" applyNumberFormat="1" applyFont="1" applyFill="1" applyBorder="1" applyAlignment="1">
      <alignment horizontal="center" vertical="top" wrapText="1"/>
    </xf>
    <xf numFmtId="165" fontId="5" fillId="4" borderId="54" xfId="0" applyNumberFormat="1" applyFont="1" applyFill="1" applyBorder="1" applyAlignment="1">
      <alignment horizontal="center" vertical="top" wrapText="1"/>
    </xf>
    <xf numFmtId="0" fontId="11" fillId="0" borderId="5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49" fontId="3" fillId="0" borderId="5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47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textRotation="90" wrapText="1"/>
    </xf>
    <xf numFmtId="0" fontId="12" fillId="0" borderId="30" xfId="0" applyFont="1" applyBorder="1" applyAlignment="1">
      <alignment horizontal="center" vertical="top" textRotation="90" wrapText="1"/>
    </xf>
    <xf numFmtId="49" fontId="5" fillId="9" borderId="34" xfId="0" applyNumberFormat="1" applyFont="1" applyFill="1" applyBorder="1" applyAlignment="1">
      <alignment horizontal="center" vertical="top" wrapText="1"/>
    </xf>
    <xf numFmtId="49" fontId="5" fillId="9" borderId="8" xfId="0" applyNumberFormat="1" applyFont="1" applyFill="1" applyBorder="1" applyAlignment="1">
      <alignment horizontal="center" vertical="top" wrapText="1"/>
    </xf>
    <xf numFmtId="49" fontId="5" fillId="9" borderId="9" xfId="0" applyNumberFormat="1" applyFont="1" applyFill="1" applyBorder="1" applyAlignment="1">
      <alignment horizontal="center" vertical="top" wrapText="1"/>
    </xf>
    <xf numFmtId="49" fontId="5" fillId="2" borderId="28" xfId="0" applyNumberFormat="1" applyFont="1" applyFill="1" applyBorder="1" applyAlignment="1">
      <alignment horizontal="center" vertical="top" wrapText="1"/>
    </xf>
    <xf numFmtId="49" fontId="5" fillId="2" borderId="16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3" fillId="0" borderId="1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5" fillId="3" borderId="28" xfId="0" applyFont="1" applyFill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3" fillId="8" borderId="34" xfId="0" applyFont="1" applyFill="1" applyBorder="1" applyAlignment="1">
      <alignment horizontal="left" vertical="top" wrapText="1"/>
    </xf>
    <xf numFmtId="0" fontId="8" fillId="0" borderId="105" xfId="0" applyFont="1" applyBorder="1" applyAlignment="1">
      <alignment horizontal="left" vertical="top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29" xfId="0" applyNumberFormat="1" applyFont="1" applyBorder="1" applyAlignment="1">
      <alignment horizontal="center" vertical="top" wrapText="1"/>
    </xf>
    <xf numFmtId="0" fontId="3" fillId="0" borderId="44" xfId="0" applyFont="1" applyFill="1" applyBorder="1" applyAlignment="1">
      <alignment horizontal="left" vertical="top" wrapText="1"/>
    </xf>
    <xf numFmtId="0" fontId="3" fillId="0" borderId="57" xfId="0" applyFont="1" applyFill="1" applyBorder="1" applyAlignment="1">
      <alignment horizontal="left" vertical="top" wrapText="1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3"/>
  <sheetViews>
    <sheetView tabSelected="1" zoomScaleNormal="100" zoomScaleSheetLayoutView="100" workbookViewId="0">
      <selection activeCell="V21" sqref="V21"/>
    </sheetView>
  </sheetViews>
  <sheetFormatPr defaultRowHeight="12.75"/>
  <cols>
    <col min="1" max="3" width="2.7109375" style="11" customWidth="1"/>
    <col min="4" max="4" width="26.7109375" style="11" customWidth="1"/>
    <col min="5" max="5" width="2.7109375" style="11" customWidth="1"/>
    <col min="6" max="6" width="2.7109375" style="12" customWidth="1"/>
    <col min="7" max="7" width="7.7109375" style="13" customWidth="1"/>
    <col min="8" max="8" width="9.140625" style="11" customWidth="1"/>
    <col min="9" max="9" width="8.5703125" style="11" customWidth="1"/>
    <col min="10" max="10" width="8.85546875" style="11" customWidth="1"/>
    <col min="11" max="11" width="37.85546875" style="11" customWidth="1"/>
    <col min="12" max="12" width="4.7109375" style="11" customWidth="1"/>
    <col min="13" max="13" width="4.28515625" style="11" customWidth="1"/>
    <col min="14" max="14" width="4.7109375" style="11" customWidth="1"/>
    <col min="15" max="16384" width="9.140625" style="8"/>
  </cols>
  <sheetData>
    <row r="1" spans="1:16" ht="15.75">
      <c r="A1" s="528" t="s">
        <v>115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</row>
    <row r="2" spans="1:16" ht="15.75">
      <c r="A2" s="529" t="s">
        <v>51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</row>
    <row r="3" spans="1:16" ht="15.75">
      <c r="A3" s="530" t="s">
        <v>37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4"/>
      <c r="P3" s="4"/>
    </row>
    <row r="4" spans="1:16" ht="13.5" thickBot="1">
      <c r="L4" s="531" t="s">
        <v>141</v>
      </c>
      <c r="M4" s="531"/>
      <c r="N4" s="531"/>
    </row>
    <row r="5" spans="1:16" ht="24" customHeight="1">
      <c r="A5" s="532" t="s">
        <v>38</v>
      </c>
      <c r="B5" s="535" t="s">
        <v>1</v>
      </c>
      <c r="C5" s="535" t="s">
        <v>2</v>
      </c>
      <c r="D5" s="538" t="s">
        <v>15</v>
      </c>
      <c r="E5" s="541" t="s">
        <v>3</v>
      </c>
      <c r="F5" s="547" t="s">
        <v>4</v>
      </c>
      <c r="G5" s="550" t="s">
        <v>5</v>
      </c>
      <c r="H5" s="412" t="s">
        <v>88</v>
      </c>
      <c r="I5" s="459" t="s">
        <v>72</v>
      </c>
      <c r="J5" s="459" t="s">
        <v>89</v>
      </c>
      <c r="K5" s="544" t="s">
        <v>14</v>
      </c>
      <c r="L5" s="545"/>
      <c r="M5" s="545"/>
      <c r="N5" s="546"/>
    </row>
    <row r="6" spans="1:16" ht="16.5" customHeight="1">
      <c r="A6" s="533"/>
      <c r="B6" s="536"/>
      <c r="C6" s="536"/>
      <c r="D6" s="539"/>
      <c r="E6" s="542"/>
      <c r="F6" s="548"/>
      <c r="G6" s="551"/>
      <c r="H6" s="413"/>
      <c r="I6" s="460"/>
      <c r="J6" s="460"/>
      <c r="K6" s="451" t="s">
        <v>15</v>
      </c>
      <c r="L6" s="453" t="s">
        <v>142</v>
      </c>
      <c r="M6" s="454"/>
      <c r="N6" s="455"/>
    </row>
    <row r="7" spans="1:16" ht="78" customHeight="1" thickBot="1">
      <c r="A7" s="534"/>
      <c r="B7" s="537"/>
      <c r="C7" s="537"/>
      <c r="D7" s="540"/>
      <c r="E7" s="543"/>
      <c r="F7" s="549"/>
      <c r="G7" s="552"/>
      <c r="H7" s="414"/>
      <c r="I7" s="461"/>
      <c r="J7" s="461"/>
      <c r="K7" s="452"/>
      <c r="L7" s="260" t="s">
        <v>45</v>
      </c>
      <c r="M7" s="260" t="s">
        <v>73</v>
      </c>
      <c r="N7" s="261" t="s">
        <v>96</v>
      </c>
    </row>
    <row r="8" spans="1:16" s="42" customFormat="1">
      <c r="A8" s="456" t="s">
        <v>70</v>
      </c>
      <c r="B8" s="457"/>
      <c r="C8" s="457"/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8"/>
    </row>
    <row r="9" spans="1:16" s="42" customFormat="1">
      <c r="A9" s="442" t="s">
        <v>52</v>
      </c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4"/>
    </row>
    <row r="10" spans="1:16" ht="24.75" customHeight="1">
      <c r="A10" s="118" t="s">
        <v>8</v>
      </c>
      <c r="B10" s="445" t="s">
        <v>53</v>
      </c>
      <c r="C10" s="446"/>
      <c r="D10" s="446"/>
      <c r="E10" s="446"/>
      <c r="F10" s="446"/>
      <c r="G10" s="446"/>
      <c r="H10" s="446"/>
      <c r="I10" s="446"/>
      <c r="J10" s="446"/>
      <c r="K10" s="446"/>
      <c r="L10" s="446"/>
      <c r="M10" s="446"/>
      <c r="N10" s="447"/>
    </row>
    <row r="11" spans="1:16">
      <c r="A11" s="119" t="s">
        <v>8</v>
      </c>
      <c r="B11" s="65" t="s">
        <v>8</v>
      </c>
      <c r="C11" s="448" t="s">
        <v>54</v>
      </c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50"/>
    </row>
    <row r="12" spans="1:16" ht="20.25" customHeight="1">
      <c r="A12" s="395" t="s">
        <v>8</v>
      </c>
      <c r="B12" s="398" t="s">
        <v>8</v>
      </c>
      <c r="C12" s="401" t="s">
        <v>8</v>
      </c>
      <c r="D12" s="556" t="s">
        <v>65</v>
      </c>
      <c r="E12" s="557" t="s">
        <v>76</v>
      </c>
      <c r="F12" s="553" t="s">
        <v>61</v>
      </c>
      <c r="G12" s="152" t="s">
        <v>46</v>
      </c>
      <c r="H12" s="341">
        <f>(125.7-26)/3.4528*1000</f>
        <v>28875.115848007415</v>
      </c>
      <c r="I12" s="342">
        <f>100/3.4528*1000</f>
        <v>28962.001853568119</v>
      </c>
      <c r="J12" s="342">
        <f>100/3.4528*1000</f>
        <v>28962.001853568119</v>
      </c>
      <c r="K12" s="138" t="s">
        <v>137</v>
      </c>
      <c r="L12" s="139">
        <v>65</v>
      </c>
      <c r="M12" s="139">
        <v>60</v>
      </c>
      <c r="N12" s="140">
        <v>60</v>
      </c>
    </row>
    <row r="13" spans="1:16" ht="25.5">
      <c r="A13" s="395"/>
      <c r="B13" s="398"/>
      <c r="C13" s="401"/>
      <c r="D13" s="517"/>
      <c r="E13" s="557"/>
      <c r="F13" s="553"/>
      <c r="G13" s="20"/>
      <c r="H13" s="343"/>
      <c r="I13" s="344"/>
      <c r="J13" s="344"/>
      <c r="K13" s="143" t="s">
        <v>123</v>
      </c>
      <c r="L13" s="144">
        <v>1</v>
      </c>
      <c r="M13" s="144">
        <v>2</v>
      </c>
      <c r="N13" s="145">
        <v>1</v>
      </c>
    </row>
    <row r="14" spans="1:16" ht="25.5">
      <c r="A14" s="395"/>
      <c r="B14" s="398"/>
      <c r="C14" s="401"/>
      <c r="D14" s="517"/>
      <c r="E14" s="557"/>
      <c r="F14" s="553"/>
      <c r="G14" s="20"/>
      <c r="H14" s="343"/>
      <c r="I14" s="344"/>
      <c r="J14" s="344"/>
      <c r="K14" s="146" t="s">
        <v>124</v>
      </c>
      <c r="L14" s="147">
        <v>90</v>
      </c>
      <c r="M14" s="148">
        <v>50</v>
      </c>
      <c r="N14" s="149">
        <v>60</v>
      </c>
    </row>
    <row r="15" spans="1:16" ht="25.5">
      <c r="A15" s="395"/>
      <c r="B15" s="398"/>
      <c r="C15" s="401"/>
      <c r="D15" s="517"/>
      <c r="E15" s="557"/>
      <c r="F15" s="553"/>
      <c r="G15" s="18"/>
      <c r="H15" s="343"/>
      <c r="I15" s="345"/>
      <c r="J15" s="345"/>
      <c r="K15" s="313" t="s">
        <v>126</v>
      </c>
      <c r="L15" s="147">
        <v>1100</v>
      </c>
      <c r="M15" s="148">
        <v>1150</v>
      </c>
      <c r="N15" s="149">
        <v>1150</v>
      </c>
      <c r="O15" s="16"/>
    </row>
    <row r="16" spans="1:16" ht="16.5" customHeight="1" thickBot="1">
      <c r="A16" s="396"/>
      <c r="B16" s="399"/>
      <c r="C16" s="402"/>
      <c r="D16" s="518"/>
      <c r="E16" s="558"/>
      <c r="F16" s="554"/>
      <c r="G16" s="186" t="s">
        <v>9</v>
      </c>
      <c r="H16" s="346">
        <f t="shared" ref="H16:J16" si="0">SUM(H12:H14)</f>
        <v>28875.115848007415</v>
      </c>
      <c r="I16" s="347">
        <f t="shared" si="0"/>
        <v>28962.001853568119</v>
      </c>
      <c r="J16" s="347">
        <f t="shared" si="0"/>
        <v>28962.001853568119</v>
      </c>
      <c r="K16" s="314" t="s">
        <v>80</v>
      </c>
      <c r="L16" s="139">
        <v>1</v>
      </c>
      <c r="M16" s="139">
        <v>1</v>
      </c>
      <c r="N16" s="140">
        <v>1</v>
      </c>
      <c r="O16" s="16"/>
    </row>
    <row r="17" spans="1:15" ht="25.5" customHeight="1">
      <c r="A17" s="394" t="s">
        <v>8</v>
      </c>
      <c r="B17" s="397" t="s">
        <v>8</v>
      </c>
      <c r="C17" s="400" t="s">
        <v>10</v>
      </c>
      <c r="D17" s="516" t="s">
        <v>81</v>
      </c>
      <c r="E17" s="519" t="s">
        <v>78</v>
      </c>
      <c r="F17" s="555" t="s">
        <v>61</v>
      </c>
      <c r="G17" s="167" t="s">
        <v>46</v>
      </c>
      <c r="H17" s="348">
        <f>(868-200)/3.4528*1000</f>
        <v>193466.17238183503</v>
      </c>
      <c r="I17" s="349">
        <f>195.7/3.4528*1000</f>
        <v>56678.637627432807</v>
      </c>
      <c r="J17" s="349">
        <f>1455.7/3.4528*1000</f>
        <v>421599.86098239111</v>
      </c>
      <c r="K17" s="102" t="s">
        <v>127</v>
      </c>
      <c r="L17" s="191">
        <v>2</v>
      </c>
      <c r="M17" s="191">
        <v>2</v>
      </c>
      <c r="N17" s="192">
        <v>2</v>
      </c>
    </row>
    <row r="18" spans="1:15" ht="25.5">
      <c r="A18" s="395"/>
      <c r="B18" s="398"/>
      <c r="C18" s="401"/>
      <c r="D18" s="517"/>
      <c r="E18" s="520"/>
      <c r="F18" s="553"/>
      <c r="G18" s="382" t="s">
        <v>120</v>
      </c>
      <c r="H18" s="383">
        <f>500/3.4528*1000</f>
        <v>144810.00926784059</v>
      </c>
      <c r="I18" s="384"/>
      <c r="J18" s="384"/>
      <c r="K18" s="180" t="s">
        <v>128</v>
      </c>
      <c r="L18" s="184">
        <v>2</v>
      </c>
      <c r="M18" s="184">
        <v>2</v>
      </c>
      <c r="N18" s="193">
        <v>2</v>
      </c>
    </row>
    <row r="19" spans="1:15">
      <c r="A19" s="395"/>
      <c r="B19" s="398"/>
      <c r="C19" s="401"/>
      <c r="D19" s="517"/>
      <c r="E19" s="520"/>
      <c r="F19" s="553"/>
      <c r="G19" s="18"/>
      <c r="H19" s="350"/>
      <c r="I19" s="385"/>
      <c r="J19" s="385"/>
      <c r="K19" s="180" t="s">
        <v>106</v>
      </c>
      <c r="L19" s="181">
        <v>100</v>
      </c>
      <c r="M19" s="181">
        <v>100</v>
      </c>
      <c r="N19" s="194">
        <v>100</v>
      </c>
    </row>
    <row r="20" spans="1:15" ht="29.25" customHeight="1">
      <c r="A20" s="395"/>
      <c r="B20" s="398"/>
      <c r="C20" s="401"/>
      <c r="D20" s="517"/>
      <c r="E20" s="520"/>
      <c r="F20" s="553"/>
      <c r="G20" s="18"/>
      <c r="H20" s="350"/>
      <c r="I20" s="385"/>
      <c r="J20" s="385"/>
      <c r="K20" s="294" t="s">
        <v>129</v>
      </c>
      <c r="L20" s="181">
        <v>100</v>
      </c>
      <c r="M20" s="181"/>
      <c r="N20" s="194">
        <v>100</v>
      </c>
    </row>
    <row r="21" spans="1:15" ht="16.5" customHeight="1">
      <c r="A21" s="395"/>
      <c r="B21" s="398"/>
      <c r="C21" s="401"/>
      <c r="D21" s="517"/>
      <c r="E21" s="520"/>
      <c r="F21" s="553"/>
      <c r="G21" s="18"/>
      <c r="H21" s="350"/>
      <c r="I21" s="345"/>
      <c r="J21" s="345"/>
      <c r="K21" s="498" t="s">
        <v>130</v>
      </c>
      <c r="L21" s="163">
        <v>1</v>
      </c>
      <c r="M21" s="163">
        <v>1</v>
      </c>
      <c r="N21" s="195">
        <v>1</v>
      </c>
    </row>
    <row r="22" spans="1:15" ht="25.5" customHeight="1" thickBot="1">
      <c r="A22" s="396"/>
      <c r="B22" s="399"/>
      <c r="C22" s="402"/>
      <c r="D22" s="518"/>
      <c r="E22" s="521"/>
      <c r="F22" s="554"/>
      <c r="G22" s="94" t="s">
        <v>9</v>
      </c>
      <c r="H22" s="351">
        <f>SUM(H17:H21)</f>
        <v>338276.18164967559</v>
      </c>
      <c r="I22" s="352">
        <f>SUM(I17:I21)</f>
        <v>56678.637627432807</v>
      </c>
      <c r="J22" s="352">
        <f>SUM(J17:J21)</f>
        <v>421599.86098239111</v>
      </c>
      <c r="K22" s="499"/>
      <c r="L22" s="164"/>
      <c r="M22" s="164"/>
      <c r="N22" s="196"/>
    </row>
    <row r="23" spans="1:15" ht="17.25" customHeight="1">
      <c r="A23" s="394" t="s">
        <v>8</v>
      </c>
      <c r="B23" s="397" t="s">
        <v>8</v>
      </c>
      <c r="C23" s="400" t="s">
        <v>48</v>
      </c>
      <c r="D23" s="403" t="s">
        <v>145</v>
      </c>
      <c r="E23" s="406" t="s">
        <v>78</v>
      </c>
      <c r="F23" s="391" t="s">
        <v>61</v>
      </c>
      <c r="G23" s="69" t="s">
        <v>46</v>
      </c>
      <c r="H23" s="348">
        <f>200/3.4528*1000</f>
        <v>57924.003707136239</v>
      </c>
      <c r="I23" s="349"/>
      <c r="J23" s="349"/>
      <c r="K23" s="133" t="s">
        <v>131</v>
      </c>
      <c r="L23" s="135">
        <v>1</v>
      </c>
      <c r="M23" s="135"/>
      <c r="N23" s="136"/>
      <c r="O23" s="16"/>
    </row>
    <row r="24" spans="1:15" ht="16.5" customHeight="1">
      <c r="A24" s="395"/>
      <c r="B24" s="398"/>
      <c r="C24" s="401"/>
      <c r="D24" s="404"/>
      <c r="E24" s="407"/>
      <c r="F24" s="392"/>
      <c r="G24" s="211"/>
      <c r="H24" s="353"/>
      <c r="I24" s="354"/>
      <c r="J24" s="354"/>
      <c r="K24" s="231"/>
      <c r="L24" s="232"/>
      <c r="M24" s="232"/>
      <c r="N24" s="233"/>
      <c r="O24" s="16"/>
    </row>
    <row r="25" spans="1:15" ht="16.5" customHeight="1" thickBot="1">
      <c r="A25" s="396"/>
      <c r="B25" s="399"/>
      <c r="C25" s="402"/>
      <c r="D25" s="405"/>
      <c r="E25" s="408"/>
      <c r="F25" s="393"/>
      <c r="G25" s="97" t="s">
        <v>9</v>
      </c>
      <c r="H25" s="355">
        <f t="shared" ref="H25:J25" si="1">SUM(H23:H24)</f>
        <v>57924.003707136239</v>
      </c>
      <c r="I25" s="356">
        <f t="shared" si="1"/>
        <v>0</v>
      </c>
      <c r="J25" s="356">
        <f t="shared" si="1"/>
        <v>0</v>
      </c>
      <c r="K25" s="107"/>
      <c r="L25" s="105"/>
      <c r="M25" s="105"/>
      <c r="N25" s="106"/>
      <c r="O25" s="16"/>
    </row>
    <row r="26" spans="1:15" ht="13.5" thickBot="1">
      <c r="A26" s="120" t="s">
        <v>8</v>
      </c>
      <c r="B26" s="14" t="s">
        <v>8</v>
      </c>
      <c r="C26" s="440" t="s">
        <v>11</v>
      </c>
      <c r="D26" s="440"/>
      <c r="E26" s="440"/>
      <c r="F26" s="440"/>
      <c r="G26" s="441"/>
      <c r="H26" s="357">
        <f>H22+H16+H25</f>
        <v>425075.30120481929</v>
      </c>
      <c r="I26" s="358">
        <f t="shared" ref="I26:J26" si="2">I22+I16+I25</f>
        <v>85640.639481000922</v>
      </c>
      <c r="J26" s="357">
        <f t="shared" si="2"/>
        <v>450561.86283595924</v>
      </c>
      <c r="K26" s="291"/>
      <c r="L26" s="292"/>
      <c r="M26" s="292"/>
      <c r="N26" s="293"/>
    </row>
    <row r="27" spans="1:15" ht="13.5" thickBot="1">
      <c r="A27" s="120" t="s">
        <v>8</v>
      </c>
      <c r="B27" s="14" t="s">
        <v>10</v>
      </c>
      <c r="C27" s="513" t="s">
        <v>132</v>
      </c>
      <c r="D27" s="514"/>
      <c r="E27" s="514"/>
      <c r="F27" s="514"/>
      <c r="G27" s="514"/>
      <c r="H27" s="514"/>
      <c r="I27" s="514"/>
      <c r="J27" s="514"/>
      <c r="K27" s="514"/>
      <c r="L27" s="514"/>
      <c r="M27" s="514"/>
      <c r="N27" s="515"/>
    </row>
    <row r="28" spans="1:15" ht="19.5" customHeight="1">
      <c r="A28" s="394" t="s">
        <v>8</v>
      </c>
      <c r="B28" s="397" t="s">
        <v>10</v>
      </c>
      <c r="C28" s="400" t="s">
        <v>8</v>
      </c>
      <c r="D28" s="516" t="s">
        <v>66</v>
      </c>
      <c r="E28" s="519" t="s">
        <v>77</v>
      </c>
      <c r="F28" s="391" t="s">
        <v>61</v>
      </c>
      <c r="G28" s="69" t="s">
        <v>46</v>
      </c>
      <c r="H28" s="317">
        <f>46.6/3.4528*1000</f>
        <v>13496.292863762743</v>
      </c>
      <c r="I28" s="318">
        <f>55/3.4528*1000</f>
        <v>15929.101019462467</v>
      </c>
      <c r="J28" s="318">
        <f>60/3.4528*1000</f>
        <v>17377.201112140869</v>
      </c>
      <c r="K28" s="134" t="s">
        <v>125</v>
      </c>
      <c r="L28" s="103">
        <v>5</v>
      </c>
      <c r="M28" s="103">
        <v>6</v>
      </c>
      <c r="N28" s="104">
        <v>6</v>
      </c>
      <c r="O28" s="16"/>
    </row>
    <row r="29" spans="1:15" ht="25.5">
      <c r="A29" s="395"/>
      <c r="B29" s="398"/>
      <c r="C29" s="401"/>
      <c r="D29" s="517"/>
      <c r="E29" s="520"/>
      <c r="F29" s="392"/>
      <c r="G29" s="20"/>
      <c r="H29" s="315"/>
      <c r="I29" s="386"/>
      <c r="J29" s="386"/>
      <c r="K29" s="202" t="s">
        <v>133</v>
      </c>
      <c r="L29" s="203">
        <v>1</v>
      </c>
      <c r="M29" s="204">
        <v>3</v>
      </c>
      <c r="N29" s="205">
        <v>3</v>
      </c>
      <c r="O29" s="16"/>
    </row>
    <row r="30" spans="1:15">
      <c r="A30" s="395"/>
      <c r="B30" s="398"/>
      <c r="C30" s="401"/>
      <c r="D30" s="517"/>
      <c r="E30" s="520"/>
      <c r="F30" s="392"/>
      <c r="G30" s="20"/>
      <c r="H30" s="315"/>
      <c r="I30" s="316"/>
      <c r="J30" s="316"/>
      <c r="K30" s="524" t="s">
        <v>134</v>
      </c>
      <c r="L30" s="526">
        <v>4</v>
      </c>
      <c r="M30" s="526">
        <v>4</v>
      </c>
      <c r="N30" s="522">
        <v>10</v>
      </c>
      <c r="O30" s="16"/>
    </row>
    <row r="31" spans="1:15" ht="15" customHeight="1" thickBot="1">
      <c r="A31" s="396"/>
      <c r="B31" s="399"/>
      <c r="C31" s="402"/>
      <c r="D31" s="518"/>
      <c r="E31" s="521"/>
      <c r="F31" s="393"/>
      <c r="G31" s="94" t="s">
        <v>9</v>
      </c>
      <c r="H31" s="322">
        <f t="shared" ref="H31:J31" si="3">SUM(H28:H30)</f>
        <v>13496.292863762743</v>
      </c>
      <c r="I31" s="319">
        <f t="shared" si="3"/>
        <v>15929.101019462467</v>
      </c>
      <c r="J31" s="319">
        <f t="shared" si="3"/>
        <v>17377.201112140869</v>
      </c>
      <c r="K31" s="525"/>
      <c r="L31" s="527"/>
      <c r="M31" s="527"/>
      <c r="N31" s="523"/>
      <c r="O31" s="16"/>
    </row>
    <row r="32" spans="1:15" ht="17.25" customHeight="1">
      <c r="A32" s="394" t="s">
        <v>8</v>
      </c>
      <c r="B32" s="397" t="s">
        <v>10</v>
      </c>
      <c r="C32" s="400" t="s">
        <v>10</v>
      </c>
      <c r="D32" s="403" t="s">
        <v>67</v>
      </c>
      <c r="E32" s="406" t="s">
        <v>140</v>
      </c>
      <c r="F32" s="391" t="s">
        <v>61</v>
      </c>
      <c r="G32" s="69" t="s">
        <v>46</v>
      </c>
      <c r="H32" s="317">
        <f>240/3.4528*1000</f>
        <v>69508.804448563475</v>
      </c>
      <c r="I32" s="318">
        <f>240/3.4528*1000</f>
        <v>69508.804448563475</v>
      </c>
      <c r="J32" s="318">
        <f>240/3.4528*1000</f>
        <v>69508.804448563475</v>
      </c>
      <c r="K32" s="133" t="s">
        <v>71</v>
      </c>
      <c r="L32" s="135">
        <v>20</v>
      </c>
      <c r="M32" s="135">
        <v>20</v>
      </c>
      <c r="N32" s="136">
        <v>30</v>
      </c>
      <c r="O32" s="16"/>
    </row>
    <row r="33" spans="1:15" ht="29.25" customHeight="1">
      <c r="A33" s="395"/>
      <c r="B33" s="398"/>
      <c r="C33" s="401"/>
      <c r="D33" s="404"/>
      <c r="E33" s="407"/>
      <c r="F33" s="392"/>
      <c r="G33" s="295"/>
      <c r="H33" s="387"/>
      <c r="I33" s="325"/>
      <c r="J33" s="325"/>
      <c r="K33" s="231" t="s">
        <v>85</v>
      </c>
      <c r="L33" s="232">
        <v>20</v>
      </c>
      <c r="M33" s="232">
        <v>20</v>
      </c>
      <c r="N33" s="233">
        <v>30</v>
      </c>
      <c r="O33" s="16"/>
    </row>
    <row r="34" spans="1:15" ht="16.5" customHeight="1" thickBot="1">
      <c r="A34" s="396"/>
      <c r="B34" s="399"/>
      <c r="C34" s="402"/>
      <c r="D34" s="405"/>
      <c r="E34" s="408"/>
      <c r="F34" s="393"/>
      <c r="G34" s="97" t="s">
        <v>9</v>
      </c>
      <c r="H34" s="320">
        <f t="shared" ref="H34:J34" si="4">SUM(H32:H33)</f>
        <v>69508.804448563475</v>
      </c>
      <c r="I34" s="321">
        <f t="shared" si="4"/>
        <v>69508.804448563475</v>
      </c>
      <c r="J34" s="321">
        <f t="shared" si="4"/>
        <v>69508.804448563475</v>
      </c>
      <c r="K34" s="107" t="s">
        <v>107</v>
      </c>
      <c r="L34" s="105">
        <v>3</v>
      </c>
      <c r="M34" s="105">
        <v>3</v>
      </c>
      <c r="N34" s="106">
        <v>4</v>
      </c>
      <c r="O34" s="16"/>
    </row>
    <row r="35" spans="1:15" ht="12.75" customHeight="1">
      <c r="A35" s="394" t="s">
        <v>8</v>
      </c>
      <c r="B35" s="397" t="s">
        <v>10</v>
      </c>
      <c r="C35" s="400" t="s">
        <v>48</v>
      </c>
      <c r="D35" s="475" t="s">
        <v>68</v>
      </c>
      <c r="E35" s="478"/>
      <c r="F35" s="391" t="s">
        <v>61</v>
      </c>
      <c r="G35" s="69" t="s">
        <v>46</v>
      </c>
      <c r="H35" s="323">
        <f>42/3.4528*1000</f>
        <v>12164.040778498609</v>
      </c>
      <c r="I35" s="318">
        <f>46.9/3.4528*1000</f>
        <v>13583.178869323447</v>
      </c>
      <c r="J35" s="318">
        <f>46.9/3.4528*1000</f>
        <v>13583.178869323447</v>
      </c>
      <c r="K35" s="468" t="s">
        <v>69</v>
      </c>
      <c r="L35" s="47">
        <v>12</v>
      </c>
      <c r="M35" s="47">
        <v>12</v>
      </c>
      <c r="N35" s="48">
        <v>12</v>
      </c>
      <c r="O35" s="16"/>
    </row>
    <row r="36" spans="1:15">
      <c r="A36" s="395"/>
      <c r="B36" s="398"/>
      <c r="C36" s="401"/>
      <c r="D36" s="476"/>
      <c r="E36" s="479"/>
      <c r="F36" s="392"/>
      <c r="G36" s="295"/>
      <c r="H36" s="324"/>
      <c r="I36" s="325"/>
      <c r="J36" s="325"/>
      <c r="K36" s="469"/>
      <c r="L36" s="259"/>
      <c r="M36" s="259"/>
      <c r="N36" s="257"/>
      <c r="O36" s="16"/>
    </row>
    <row r="37" spans="1:15" ht="13.5" thickBot="1">
      <c r="A37" s="396"/>
      <c r="B37" s="399"/>
      <c r="C37" s="402"/>
      <c r="D37" s="477"/>
      <c r="E37" s="480"/>
      <c r="F37" s="393"/>
      <c r="G37" s="94" t="s">
        <v>9</v>
      </c>
      <c r="H37" s="322">
        <f t="shared" ref="H37:J37" si="5">SUM(H35:H36)</f>
        <v>12164.040778498609</v>
      </c>
      <c r="I37" s="319">
        <f t="shared" si="5"/>
        <v>13583.178869323447</v>
      </c>
      <c r="J37" s="319">
        <f t="shared" si="5"/>
        <v>13583.178869323447</v>
      </c>
      <c r="K37" s="470"/>
      <c r="L37" s="337"/>
      <c r="M37" s="337"/>
      <c r="N37" s="336"/>
      <c r="O37" s="16"/>
    </row>
    <row r="38" spans="1:15" ht="28.5" customHeight="1">
      <c r="A38" s="240" t="s">
        <v>8</v>
      </c>
      <c r="B38" s="284" t="s">
        <v>10</v>
      </c>
      <c r="C38" s="241" t="s">
        <v>49</v>
      </c>
      <c r="D38" s="471" t="s">
        <v>108</v>
      </c>
      <c r="E38" s="473"/>
      <c r="F38" s="392" t="s">
        <v>61</v>
      </c>
      <c r="G38" s="40" t="s">
        <v>46</v>
      </c>
      <c r="H38" s="326">
        <f>14.2/3.4528*1000</f>
        <v>4112.6042632066728</v>
      </c>
      <c r="I38" s="327">
        <f>14.2/3.4528*1000</f>
        <v>4112.6042632066728</v>
      </c>
      <c r="J38" s="327">
        <f>14.2/3.4528*1000</f>
        <v>4112.6042632066728</v>
      </c>
      <c r="K38" s="243" t="s">
        <v>146</v>
      </c>
      <c r="L38" s="237">
        <v>12</v>
      </c>
      <c r="M38" s="237">
        <v>12</v>
      </c>
      <c r="N38" s="238">
        <v>12</v>
      </c>
      <c r="O38" s="16"/>
    </row>
    <row r="39" spans="1:15" ht="15" customHeight="1" thickBot="1">
      <c r="A39" s="234"/>
      <c r="B39" s="285"/>
      <c r="C39" s="235"/>
      <c r="D39" s="472"/>
      <c r="E39" s="474"/>
      <c r="F39" s="393"/>
      <c r="G39" s="94" t="s">
        <v>9</v>
      </c>
      <c r="H39" s="322">
        <f t="shared" ref="H39:J39" si="6">SUM(H38:H38)</f>
        <v>4112.6042632066728</v>
      </c>
      <c r="I39" s="319">
        <f t="shared" si="6"/>
        <v>4112.6042632066728</v>
      </c>
      <c r="J39" s="319">
        <f t="shared" si="6"/>
        <v>4112.6042632066728</v>
      </c>
      <c r="K39" s="244" t="s">
        <v>143</v>
      </c>
      <c r="L39" s="245">
        <v>4</v>
      </c>
      <c r="M39" s="245">
        <v>4</v>
      </c>
      <c r="N39" s="246">
        <v>4</v>
      </c>
      <c r="O39" s="16"/>
    </row>
    <row r="40" spans="1:15" ht="13.5" thickBot="1">
      <c r="A40" s="121" t="s">
        <v>8</v>
      </c>
      <c r="B40" s="14" t="s">
        <v>10</v>
      </c>
      <c r="C40" s="440" t="s">
        <v>11</v>
      </c>
      <c r="D40" s="440"/>
      <c r="E40" s="440"/>
      <c r="F40" s="440"/>
      <c r="G40" s="441"/>
      <c r="H40" s="328">
        <f>SUM(H37,H34,H31,H39)</f>
        <v>99281.742354031507</v>
      </c>
      <c r="I40" s="328">
        <f t="shared" ref="I40:J40" si="7">SUM(I37,I34,I31,I39)</f>
        <v>103133.68860055605</v>
      </c>
      <c r="J40" s="328">
        <f t="shared" si="7"/>
        <v>104581.78869323446</v>
      </c>
      <c r="K40" s="481"/>
      <c r="L40" s="482"/>
      <c r="M40" s="482"/>
      <c r="N40" s="483"/>
    </row>
    <row r="41" spans="1:15" ht="13.5" thickBot="1">
      <c r="A41" s="121" t="s">
        <v>8</v>
      </c>
      <c r="B41" s="434" t="s">
        <v>12</v>
      </c>
      <c r="C41" s="435"/>
      <c r="D41" s="435"/>
      <c r="E41" s="435"/>
      <c r="F41" s="435"/>
      <c r="G41" s="436"/>
      <c r="H41" s="329">
        <f t="shared" ref="H41:J41" si="8">SUM(H26,H40)</f>
        <v>524357.04355885077</v>
      </c>
      <c r="I41" s="330">
        <f t="shared" si="8"/>
        <v>188774.32808155697</v>
      </c>
      <c r="J41" s="329">
        <f t="shared" si="8"/>
        <v>555143.65152919374</v>
      </c>
      <c r="K41" s="484"/>
      <c r="L41" s="485"/>
      <c r="M41" s="485"/>
      <c r="N41" s="486"/>
    </row>
    <row r="42" spans="1:15" ht="15" customHeight="1" thickBot="1">
      <c r="A42" s="122" t="s">
        <v>10</v>
      </c>
      <c r="B42" s="462" t="s">
        <v>56</v>
      </c>
      <c r="C42" s="463"/>
      <c r="D42" s="463"/>
      <c r="E42" s="463"/>
      <c r="F42" s="463"/>
      <c r="G42" s="463"/>
      <c r="H42" s="463"/>
      <c r="I42" s="463"/>
      <c r="J42" s="463"/>
      <c r="K42" s="463"/>
      <c r="L42" s="463"/>
      <c r="M42" s="463"/>
      <c r="N42" s="464"/>
    </row>
    <row r="43" spans="1:15" ht="13.5" thickBot="1">
      <c r="A43" s="120" t="s">
        <v>10</v>
      </c>
      <c r="B43" s="14" t="s">
        <v>8</v>
      </c>
      <c r="C43" s="465" t="s">
        <v>57</v>
      </c>
      <c r="D43" s="466"/>
      <c r="E43" s="466"/>
      <c r="F43" s="466"/>
      <c r="G43" s="466"/>
      <c r="H43" s="466"/>
      <c r="I43" s="466"/>
      <c r="J43" s="466"/>
      <c r="K43" s="466"/>
      <c r="L43" s="466"/>
      <c r="M43" s="466"/>
      <c r="N43" s="467"/>
    </row>
    <row r="44" spans="1:15" ht="18" customHeight="1">
      <c r="A44" s="394" t="s">
        <v>10</v>
      </c>
      <c r="B44" s="397" t="s">
        <v>8</v>
      </c>
      <c r="C44" s="400" t="s">
        <v>8</v>
      </c>
      <c r="D44" s="506" t="s">
        <v>83</v>
      </c>
      <c r="E44" s="137" t="s">
        <v>63</v>
      </c>
      <c r="F44" s="391" t="s">
        <v>61</v>
      </c>
      <c r="G44" s="19" t="s">
        <v>58</v>
      </c>
      <c r="H44" s="359">
        <f>523.2/3.4528*1000</f>
        <v>151529.19369786841</v>
      </c>
      <c r="I44" s="327"/>
      <c r="J44" s="331"/>
      <c r="K44" s="274" t="s">
        <v>111</v>
      </c>
      <c r="L44" s="57"/>
      <c r="M44" s="57"/>
      <c r="N44" s="58"/>
      <c r="O44" s="16"/>
    </row>
    <row r="45" spans="1:15" ht="51">
      <c r="A45" s="395"/>
      <c r="B45" s="398"/>
      <c r="C45" s="401"/>
      <c r="D45" s="507"/>
      <c r="E45" s="437" t="s">
        <v>74</v>
      </c>
      <c r="F45" s="392"/>
      <c r="G45" s="38" t="s">
        <v>46</v>
      </c>
      <c r="H45" s="360">
        <f>3585.1/3.4528*1000</f>
        <v>1038316.7284522706</v>
      </c>
      <c r="I45" s="361">
        <f>3754/3.4528*1000</f>
        <v>1087233.5495829473</v>
      </c>
      <c r="J45" s="362">
        <f>3754/3.4528*1000</f>
        <v>1087233.5495829473</v>
      </c>
      <c r="K45" s="275" t="s">
        <v>144</v>
      </c>
      <c r="L45" s="276">
        <v>100</v>
      </c>
      <c r="M45" s="276"/>
      <c r="N45" s="277"/>
      <c r="O45" s="16"/>
    </row>
    <row r="46" spans="1:15" ht="22.5" customHeight="1">
      <c r="A46" s="395"/>
      <c r="B46" s="398"/>
      <c r="C46" s="401"/>
      <c r="D46" s="507"/>
      <c r="E46" s="438"/>
      <c r="F46" s="392"/>
      <c r="G46" s="38" t="s">
        <v>59</v>
      </c>
      <c r="H46" s="315">
        <f>4171.7/3.4528*1000</f>
        <v>1208207.8313253012</v>
      </c>
      <c r="I46" s="361">
        <f>4250/3.4528*1000</f>
        <v>1230885.078776645</v>
      </c>
      <c r="J46" s="362">
        <f>4250/3.4528*1000</f>
        <v>1230885.078776645</v>
      </c>
      <c r="K46" s="498" t="s">
        <v>135</v>
      </c>
      <c r="L46" s="259"/>
      <c r="M46" s="259">
        <v>40</v>
      </c>
      <c r="N46" s="257">
        <v>100</v>
      </c>
      <c r="O46" s="16"/>
    </row>
    <row r="47" spans="1:15" ht="18" customHeight="1" thickBot="1">
      <c r="A47" s="396"/>
      <c r="B47" s="399"/>
      <c r="C47" s="402"/>
      <c r="D47" s="508"/>
      <c r="E47" s="439"/>
      <c r="F47" s="393"/>
      <c r="G47" s="94" t="s">
        <v>9</v>
      </c>
      <c r="H47" s="322">
        <f t="shared" ref="H47:J47" si="9">SUM(H44:H46)</f>
        <v>2398053.7534754402</v>
      </c>
      <c r="I47" s="319">
        <f>SUM(I44:I46)</f>
        <v>2318118.6283595925</v>
      </c>
      <c r="J47" s="363">
        <f t="shared" si="9"/>
        <v>2318118.6283595925</v>
      </c>
      <c r="K47" s="499"/>
      <c r="L47" s="259"/>
      <c r="M47" s="259"/>
      <c r="N47" s="257"/>
      <c r="O47" s="16"/>
    </row>
    <row r="48" spans="1:15" ht="12.75" customHeight="1">
      <c r="A48" s="394" t="s">
        <v>10</v>
      </c>
      <c r="B48" s="397" t="s">
        <v>8</v>
      </c>
      <c r="C48" s="489" t="s">
        <v>10</v>
      </c>
      <c r="D48" s="492" t="s">
        <v>147</v>
      </c>
      <c r="E48" s="142" t="s">
        <v>63</v>
      </c>
      <c r="F48" s="391" t="s">
        <v>61</v>
      </c>
      <c r="G48" s="17" t="s">
        <v>46</v>
      </c>
      <c r="H48" s="359">
        <f>50/3.4528*1000</f>
        <v>14481.00092678406</v>
      </c>
      <c r="I48" s="327"/>
      <c r="J48" s="327"/>
      <c r="K48" s="287" t="s">
        <v>136</v>
      </c>
      <c r="L48" s="47">
        <v>1</v>
      </c>
      <c r="M48" s="47"/>
      <c r="N48" s="48"/>
      <c r="O48" s="16"/>
    </row>
    <row r="49" spans="1:34" ht="14.25" customHeight="1">
      <c r="A49" s="395"/>
      <c r="B49" s="398"/>
      <c r="C49" s="490"/>
      <c r="D49" s="493"/>
      <c r="E49" s="510" t="s">
        <v>139</v>
      </c>
      <c r="F49" s="392"/>
      <c r="G49" s="264" t="s">
        <v>58</v>
      </c>
      <c r="H49" s="364"/>
      <c r="I49" s="365">
        <f>178.4/3.4528*1000</f>
        <v>51668.21130676553</v>
      </c>
      <c r="J49" s="365">
        <f>178.4/3.4528*1000</f>
        <v>51668.21130676553</v>
      </c>
      <c r="K49" s="288" t="s">
        <v>112</v>
      </c>
      <c r="L49" s="259"/>
      <c r="M49" s="49">
        <v>50</v>
      </c>
      <c r="N49" s="257">
        <v>50</v>
      </c>
      <c r="O49" s="16"/>
    </row>
    <row r="50" spans="1:34" ht="15" customHeight="1">
      <c r="A50" s="395"/>
      <c r="B50" s="398"/>
      <c r="C50" s="490"/>
      <c r="D50" s="493"/>
      <c r="E50" s="511"/>
      <c r="F50" s="392"/>
      <c r="G50" s="40" t="s">
        <v>59</v>
      </c>
      <c r="H50" s="315"/>
      <c r="I50" s="361">
        <f>2021.2/3.4528*1000</f>
        <v>585379.98146431881</v>
      </c>
      <c r="J50" s="361">
        <f>2021.2/3.4528*1000</f>
        <v>585379.98146431881</v>
      </c>
      <c r="K50" s="271"/>
      <c r="L50" s="259"/>
      <c r="M50" s="49"/>
      <c r="N50" s="257"/>
      <c r="O50" s="16"/>
    </row>
    <row r="51" spans="1:34" ht="16.5" customHeight="1">
      <c r="A51" s="395"/>
      <c r="B51" s="398"/>
      <c r="C51" s="490"/>
      <c r="D51" s="493"/>
      <c r="E51" s="511"/>
      <c r="F51" s="392"/>
      <c r="G51" s="264" t="s">
        <v>104</v>
      </c>
      <c r="H51" s="360"/>
      <c r="I51" s="365">
        <f>178.4/3.4528*1000</f>
        <v>51668.21130676553</v>
      </c>
      <c r="J51" s="365">
        <f>178.4/3.4528*1000</f>
        <v>51668.21130676553</v>
      </c>
      <c r="K51" s="289"/>
      <c r="L51" s="259"/>
      <c r="M51" s="49"/>
      <c r="N51" s="257"/>
      <c r="O51" s="16"/>
    </row>
    <row r="52" spans="1:34" ht="18.75" customHeight="1" thickBot="1">
      <c r="A52" s="396"/>
      <c r="B52" s="399"/>
      <c r="C52" s="491"/>
      <c r="D52" s="494"/>
      <c r="E52" s="512"/>
      <c r="F52" s="393"/>
      <c r="G52" s="97" t="s">
        <v>9</v>
      </c>
      <c r="H52" s="366">
        <f t="shared" ref="H52:J52" si="10">SUM(H48:H51)</f>
        <v>14481.00092678406</v>
      </c>
      <c r="I52" s="366">
        <f t="shared" si="10"/>
        <v>688716.40407784993</v>
      </c>
      <c r="J52" s="366">
        <f t="shared" si="10"/>
        <v>688716.40407784993</v>
      </c>
      <c r="K52" s="39"/>
      <c r="L52" s="286"/>
      <c r="M52" s="50"/>
      <c r="N52" s="290"/>
      <c r="O52" s="16"/>
    </row>
    <row r="53" spans="1:34" ht="14.25" customHeight="1" thickBot="1">
      <c r="A53" s="283" t="s">
        <v>10</v>
      </c>
      <c r="B53" s="285" t="s">
        <v>8</v>
      </c>
      <c r="C53" s="509" t="s">
        <v>11</v>
      </c>
      <c r="D53" s="440"/>
      <c r="E53" s="440"/>
      <c r="F53" s="440"/>
      <c r="G53" s="441"/>
      <c r="H53" s="367">
        <f>H52+H47</f>
        <v>2412534.7544022244</v>
      </c>
      <c r="I53" s="367">
        <f t="shared" ref="I53:J53" si="11">I52+I47</f>
        <v>3006835.0324374423</v>
      </c>
      <c r="J53" s="367">
        <f t="shared" si="11"/>
        <v>3006835.0324374423</v>
      </c>
      <c r="K53" s="495"/>
      <c r="L53" s="496"/>
      <c r="M53" s="496"/>
      <c r="N53" s="497"/>
    </row>
    <row r="54" spans="1:34" ht="14.25" customHeight="1" thickBot="1">
      <c r="A54" s="120" t="s">
        <v>10</v>
      </c>
      <c r="B54" s="434" t="s">
        <v>12</v>
      </c>
      <c r="C54" s="435"/>
      <c r="D54" s="435"/>
      <c r="E54" s="435"/>
      <c r="F54" s="435"/>
      <c r="G54" s="436"/>
      <c r="H54" s="368">
        <f>H53</f>
        <v>2412534.7544022244</v>
      </c>
      <c r="I54" s="369">
        <f>SUM(I53)</f>
        <v>3006835.0324374423</v>
      </c>
      <c r="J54" s="368">
        <f t="shared" ref="J54" si="12">SUM(J53)</f>
        <v>3006835.0324374423</v>
      </c>
      <c r="K54" s="484"/>
      <c r="L54" s="485"/>
      <c r="M54" s="485"/>
      <c r="N54" s="486"/>
    </row>
    <row r="55" spans="1:34" ht="15.75" customHeight="1" thickBot="1">
      <c r="A55" s="63" t="s">
        <v>8</v>
      </c>
      <c r="B55" s="500" t="s">
        <v>36</v>
      </c>
      <c r="C55" s="501"/>
      <c r="D55" s="501"/>
      <c r="E55" s="501"/>
      <c r="F55" s="501"/>
      <c r="G55" s="502"/>
      <c r="H55" s="370">
        <f>H54+H41</f>
        <v>2936891.7979610753</v>
      </c>
      <c r="I55" s="371">
        <f>SUM(I41,I54)</f>
        <v>3195609.3605189994</v>
      </c>
      <c r="J55" s="372">
        <f>SUM(J41,J54)</f>
        <v>3561978.6839666362</v>
      </c>
      <c r="K55" s="503"/>
      <c r="L55" s="504"/>
      <c r="M55" s="504"/>
      <c r="N55" s="505"/>
    </row>
    <row r="56" spans="1:34" s="23" customFormat="1" ht="23.25" customHeight="1">
      <c r="A56" s="487"/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487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</row>
    <row r="57" spans="1:34" s="23" customFormat="1" ht="13.5" customHeight="1">
      <c r="A57" s="488"/>
      <c r="B57" s="488"/>
      <c r="C57" s="488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</row>
    <row r="58" spans="1:34" s="23" customFormat="1" ht="14.25" customHeight="1" thickBot="1">
      <c r="A58" s="427" t="s">
        <v>17</v>
      </c>
      <c r="B58" s="427"/>
      <c r="C58" s="427"/>
      <c r="D58" s="427"/>
      <c r="E58" s="427"/>
      <c r="F58" s="427"/>
      <c r="G58" s="427"/>
      <c r="H58" s="427"/>
      <c r="I58" s="5"/>
      <c r="J58" s="6"/>
      <c r="K58" s="7"/>
      <c r="L58" s="7"/>
      <c r="M58" s="7"/>
      <c r="N58" s="7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</row>
    <row r="59" spans="1:34" ht="49.5" customHeight="1" thickBot="1">
      <c r="A59" s="428" t="s">
        <v>13</v>
      </c>
      <c r="B59" s="429"/>
      <c r="C59" s="429"/>
      <c r="D59" s="429"/>
      <c r="E59" s="429"/>
      <c r="F59" s="429"/>
      <c r="G59" s="430"/>
      <c r="H59" s="296" t="s">
        <v>116</v>
      </c>
      <c r="I59" s="41" t="s">
        <v>90</v>
      </c>
      <c r="J59" s="41" t="s">
        <v>91</v>
      </c>
    </row>
    <row r="60" spans="1:34" ht="14.25" customHeight="1">
      <c r="A60" s="431" t="s">
        <v>18</v>
      </c>
      <c r="B60" s="432"/>
      <c r="C60" s="432"/>
      <c r="D60" s="432"/>
      <c r="E60" s="432"/>
      <c r="F60" s="432"/>
      <c r="G60" s="433"/>
      <c r="H60" s="332">
        <f>SUM(H61:H63)</f>
        <v>1728683.9666357737</v>
      </c>
      <c r="I60" s="332">
        <f>SUM(I61:I62)</f>
        <v>1327676.0889712698</v>
      </c>
      <c r="J60" s="332">
        <f>SUM(J61:J62)</f>
        <v>1694045.4124189063</v>
      </c>
    </row>
    <row r="61" spans="1:34" ht="14.25" customHeight="1">
      <c r="A61" s="421" t="s">
        <v>41</v>
      </c>
      <c r="B61" s="422"/>
      <c r="C61" s="422"/>
      <c r="D61" s="422"/>
      <c r="E61" s="422"/>
      <c r="F61" s="422"/>
      <c r="G61" s="423"/>
      <c r="H61" s="333">
        <f>SUMIF(G12:G55,"SB",H12:H55)</f>
        <v>1432344.7636700647</v>
      </c>
      <c r="I61" s="333">
        <f>SUMIF(G12:G55,"SB",I12:I55)</f>
        <v>1276007.8776645043</v>
      </c>
      <c r="J61" s="333">
        <f>SUMIF(G12:G55,"SB",J12:J55)</f>
        <v>1642377.2011121409</v>
      </c>
    </row>
    <row r="62" spans="1:34" ht="14.25" customHeight="1">
      <c r="A62" s="424" t="s">
        <v>42</v>
      </c>
      <c r="B62" s="425"/>
      <c r="C62" s="425"/>
      <c r="D62" s="425"/>
      <c r="E62" s="425"/>
      <c r="F62" s="425"/>
      <c r="G62" s="426"/>
      <c r="H62" s="333">
        <f>SUMIF(G12:G55,"SB(P)",H12:H55)</f>
        <v>151529.19369786841</v>
      </c>
      <c r="I62" s="333">
        <f>SUMIF(G12:G55,"SB(P)",I12:I55)</f>
        <v>51668.21130676553</v>
      </c>
      <c r="J62" s="333">
        <f>SUMIF(G12:G55,"SB(P)",J12:J55)</f>
        <v>51668.21130676553</v>
      </c>
      <c r="K62" s="76"/>
    </row>
    <row r="63" spans="1:34" ht="30" customHeight="1">
      <c r="A63" s="388" t="s">
        <v>122</v>
      </c>
      <c r="B63" s="389"/>
      <c r="C63" s="389"/>
      <c r="D63" s="389"/>
      <c r="E63" s="389"/>
      <c r="F63" s="389"/>
      <c r="G63" s="390"/>
      <c r="H63" s="333">
        <f>SUMIF(G9:G51,"SB(VB)",H9:H51)</f>
        <v>144810.00926784059</v>
      </c>
      <c r="I63" s="333"/>
      <c r="J63" s="333"/>
    </row>
    <row r="64" spans="1:34" ht="14.25" customHeight="1">
      <c r="A64" s="418" t="s">
        <v>19</v>
      </c>
      <c r="B64" s="419"/>
      <c r="C64" s="419"/>
      <c r="D64" s="419"/>
      <c r="E64" s="419"/>
      <c r="F64" s="419"/>
      <c r="G64" s="420"/>
      <c r="H64" s="334">
        <f>SUM(H65:H67)</f>
        <v>1208207.8313253012</v>
      </c>
      <c r="I64" s="334">
        <f>SUM(I65:I67)</f>
        <v>1867933.2715477294</v>
      </c>
      <c r="J64" s="334">
        <f>SUM(J65:J67)</f>
        <v>1867933.2715477294</v>
      </c>
    </row>
    <row r="65" spans="1:10" ht="18.75" customHeight="1">
      <c r="A65" s="415" t="s">
        <v>109</v>
      </c>
      <c r="B65" s="416"/>
      <c r="C65" s="416"/>
      <c r="D65" s="416"/>
      <c r="E65" s="416"/>
      <c r="F65" s="416"/>
      <c r="G65" s="417"/>
      <c r="H65" s="333">
        <f>SUMIF(G11:G54,"KVJUD",H11:H54)</f>
        <v>0</v>
      </c>
      <c r="I65" s="333">
        <f>SUMIF(G11:G54,"KVJUD",I11:I54)</f>
        <v>0</v>
      </c>
      <c r="J65" s="333">
        <f>SUMIF(G11:G54,"KVJUD",J11:J54)</f>
        <v>0</v>
      </c>
    </row>
    <row r="66" spans="1:10" ht="18.75" customHeight="1">
      <c r="A66" s="415" t="s">
        <v>110</v>
      </c>
      <c r="B66" s="416"/>
      <c r="C66" s="416"/>
      <c r="D66" s="416"/>
      <c r="E66" s="416"/>
      <c r="F66" s="416"/>
      <c r="G66" s="417"/>
      <c r="H66" s="333">
        <f>SUMIF(G12:G54,"LRVB",H12:H54)</f>
        <v>0</v>
      </c>
      <c r="I66" s="333">
        <f>SUMIF(G12:G54,"LRVB",I12:I54)</f>
        <v>51668.21130676553</v>
      </c>
      <c r="J66" s="333">
        <f>SUMIF(G12:G55,"LRVB",J12:J55)</f>
        <v>51668.21130676553</v>
      </c>
    </row>
    <row r="67" spans="1:10" ht="18.75" customHeight="1">
      <c r="A67" s="415" t="s">
        <v>43</v>
      </c>
      <c r="B67" s="416"/>
      <c r="C67" s="416"/>
      <c r="D67" s="416"/>
      <c r="E67" s="416"/>
      <c r="F67" s="416"/>
      <c r="G67" s="417"/>
      <c r="H67" s="333">
        <f>SUMIF(G12:G55,"ES",H12:H55)</f>
        <v>1208207.8313253012</v>
      </c>
      <c r="I67" s="333">
        <f>SUMIF(G12:G55,"ES",I12:I55)</f>
        <v>1816265.0602409639</v>
      </c>
      <c r="J67" s="333">
        <f>SUMIF(G12:G55,"ES",J12:J55)</f>
        <v>1816265.0602409639</v>
      </c>
    </row>
    <row r="68" spans="1:10" ht="14.25" customHeight="1" thickBot="1">
      <c r="A68" s="409" t="s">
        <v>20</v>
      </c>
      <c r="B68" s="410"/>
      <c r="C68" s="410"/>
      <c r="D68" s="410"/>
      <c r="E68" s="410"/>
      <c r="F68" s="410"/>
      <c r="G68" s="411"/>
      <c r="H68" s="335">
        <f>SUM(H60,H64)</f>
        <v>2936891.7979610749</v>
      </c>
      <c r="I68" s="335">
        <f>SUM(I60,I64)</f>
        <v>3195609.3605189994</v>
      </c>
      <c r="J68" s="335">
        <f>SUM(J60,J64)</f>
        <v>3561978.6839666357</v>
      </c>
    </row>
    <row r="73" spans="1:10">
      <c r="I73" s="270"/>
    </row>
  </sheetData>
  <mergeCells count="106">
    <mergeCell ref="K21:K22"/>
    <mergeCell ref="F12:F16"/>
    <mergeCell ref="A17:A22"/>
    <mergeCell ref="B17:B22"/>
    <mergeCell ref="C17:C22"/>
    <mergeCell ref="D17:D22"/>
    <mergeCell ref="E17:E22"/>
    <mergeCell ref="F17:F22"/>
    <mergeCell ref="A12:A16"/>
    <mergeCell ref="B12:B16"/>
    <mergeCell ref="C12:C16"/>
    <mergeCell ref="D12:D16"/>
    <mergeCell ref="E12:E16"/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K5:N5"/>
    <mergeCell ref="F5:F7"/>
    <mergeCell ref="G5:G7"/>
    <mergeCell ref="F28:F31"/>
    <mergeCell ref="E49:E52"/>
    <mergeCell ref="C26:G26"/>
    <mergeCell ref="C27:N27"/>
    <mergeCell ref="A28:A31"/>
    <mergeCell ref="B28:B31"/>
    <mergeCell ref="C28:C31"/>
    <mergeCell ref="D28:D31"/>
    <mergeCell ref="E28:E31"/>
    <mergeCell ref="N30:N31"/>
    <mergeCell ref="K30:K31"/>
    <mergeCell ref="L30:L31"/>
    <mergeCell ref="M30:M31"/>
    <mergeCell ref="D32:D34"/>
    <mergeCell ref="E32:E34"/>
    <mergeCell ref="F32:F34"/>
    <mergeCell ref="A56:N56"/>
    <mergeCell ref="A57:N57"/>
    <mergeCell ref="A48:A52"/>
    <mergeCell ref="B48:B52"/>
    <mergeCell ref="C48:C52"/>
    <mergeCell ref="D48:D52"/>
    <mergeCell ref="K53:N53"/>
    <mergeCell ref="K46:K47"/>
    <mergeCell ref="K54:N54"/>
    <mergeCell ref="B55:G55"/>
    <mergeCell ref="K55:N55"/>
    <mergeCell ref="A44:A47"/>
    <mergeCell ref="B44:B47"/>
    <mergeCell ref="C44:C47"/>
    <mergeCell ref="D44:D47"/>
    <mergeCell ref="C53:G53"/>
    <mergeCell ref="F48:F52"/>
    <mergeCell ref="B10:N10"/>
    <mergeCell ref="C11:N11"/>
    <mergeCell ref="K6:K7"/>
    <mergeCell ref="L6:N6"/>
    <mergeCell ref="A8:N8"/>
    <mergeCell ref="I5:I7"/>
    <mergeCell ref="J5:J7"/>
    <mergeCell ref="B42:N42"/>
    <mergeCell ref="C43:N43"/>
    <mergeCell ref="F35:F37"/>
    <mergeCell ref="K35:K37"/>
    <mergeCell ref="D38:D39"/>
    <mergeCell ref="E38:E39"/>
    <mergeCell ref="F38:F39"/>
    <mergeCell ref="B35:B37"/>
    <mergeCell ref="C35:C37"/>
    <mergeCell ref="D35:D37"/>
    <mergeCell ref="E35:E37"/>
    <mergeCell ref="K40:N40"/>
    <mergeCell ref="B41:G41"/>
    <mergeCell ref="K41:N41"/>
    <mergeCell ref="A32:A34"/>
    <mergeCell ref="B32:B34"/>
    <mergeCell ref="C32:C34"/>
    <mergeCell ref="A63:G63"/>
    <mergeCell ref="F23:F25"/>
    <mergeCell ref="A23:A25"/>
    <mergeCell ref="B23:B25"/>
    <mergeCell ref="C23:C25"/>
    <mergeCell ref="D23:D25"/>
    <mergeCell ref="E23:E25"/>
    <mergeCell ref="A68:G68"/>
    <mergeCell ref="H5:H7"/>
    <mergeCell ref="A66:G66"/>
    <mergeCell ref="A67:G67"/>
    <mergeCell ref="A64:G64"/>
    <mergeCell ref="A65:G65"/>
    <mergeCell ref="A61:G61"/>
    <mergeCell ref="A62:G62"/>
    <mergeCell ref="A58:H58"/>
    <mergeCell ref="A59:G59"/>
    <mergeCell ref="A60:G60"/>
    <mergeCell ref="B54:G54"/>
    <mergeCell ref="F44:F47"/>
    <mergeCell ref="E45:E47"/>
    <mergeCell ref="C40:G40"/>
    <mergeCell ref="A35:A37"/>
    <mergeCell ref="A9:N9"/>
  </mergeCells>
  <pageMargins left="0.78740157480314965" right="0.19685039370078741" top="0.78740157480314965" bottom="0.39370078740157483" header="0" footer="0"/>
  <pageSetup paperSize="9" scale="75" orientation="portrait" r:id="rId1"/>
  <rowBreaks count="1" manualBreakCount="1">
    <brk id="52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81"/>
  <sheetViews>
    <sheetView topLeftCell="A46" zoomScaleNormal="100" zoomScaleSheetLayoutView="100" workbookViewId="0">
      <selection activeCell="AF56" sqref="AF56"/>
    </sheetView>
  </sheetViews>
  <sheetFormatPr defaultRowHeight="12.75"/>
  <cols>
    <col min="1" max="4" width="2.7109375" style="11" customWidth="1"/>
    <col min="5" max="5" width="27.28515625" style="11" customWidth="1"/>
    <col min="6" max="7" width="2.7109375" style="11" customWidth="1"/>
    <col min="8" max="8" width="2.7109375" style="12" customWidth="1"/>
    <col min="9" max="9" width="10.28515625" style="12" customWidth="1"/>
    <col min="10" max="10" width="7.7109375" style="13" customWidth="1"/>
    <col min="11" max="11" width="7.28515625" style="11" customWidth="1"/>
    <col min="12" max="12" width="6.7109375" style="11" customWidth="1"/>
    <col min="13" max="13" width="5.5703125" style="11" customWidth="1"/>
    <col min="14" max="14" width="7.7109375" style="11" customWidth="1"/>
    <col min="15" max="15" width="7.28515625" style="11" customWidth="1"/>
    <col min="16" max="16" width="6.42578125" style="11" customWidth="1"/>
    <col min="17" max="17" width="6.140625" style="11" customWidth="1"/>
    <col min="18" max="18" width="7.140625" style="11" customWidth="1"/>
    <col min="19" max="19" width="7.5703125" style="11" hidden="1" customWidth="1"/>
    <col min="20" max="20" width="6.42578125" style="11" hidden="1" customWidth="1"/>
    <col min="21" max="21" width="6" style="11" hidden="1" customWidth="1"/>
    <col min="22" max="22" width="6.42578125" style="11" hidden="1" customWidth="1"/>
    <col min="23" max="23" width="9" style="11" customWidth="1"/>
    <col min="24" max="24" width="8.85546875" style="11" customWidth="1"/>
    <col min="25" max="25" width="30.5703125" style="11" customWidth="1"/>
    <col min="26" max="26" width="4.7109375" style="11" customWidth="1"/>
    <col min="27" max="27" width="4.28515625" style="11" customWidth="1"/>
    <col min="28" max="28" width="4.7109375" style="11" customWidth="1"/>
    <col min="29" max="16384" width="9.140625" style="8"/>
  </cols>
  <sheetData>
    <row r="1" spans="1:30" ht="18" customHeight="1">
      <c r="A1" s="528" t="s">
        <v>92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</row>
    <row r="2" spans="1:30" ht="18" customHeight="1">
      <c r="A2" s="529" t="s">
        <v>51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</row>
    <row r="3" spans="1:30" ht="18" customHeight="1">
      <c r="A3" s="530" t="s">
        <v>37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4"/>
      <c r="AD3" s="4"/>
    </row>
    <row r="4" spans="1:30" ht="15" customHeight="1" thickBot="1">
      <c r="Z4" s="531" t="s">
        <v>0</v>
      </c>
      <c r="AA4" s="531"/>
      <c r="AB4" s="531"/>
    </row>
    <row r="5" spans="1:30" ht="30" customHeight="1">
      <c r="A5" s="532" t="s">
        <v>38</v>
      </c>
      <c r="B5" s="535" t="s">
        <v>1</v>
      </c>
      <c r="C5" s="535" t="s">
        <v>2</v>
      </c>
      <c r="D5" s="535" t="s">
        <v>47</v>
      </c>
      <c r="E5" s="538" t="s">
        <v>15</v>
      </c>
      <c r="F5" s="541" t="s">
        <v>3</v>
      </c>
      <c r="G5" s="535" t="s">
        <v>44</v>
      </c>
      <c r="H5" s="584" t="s">
        <v>4</v>
      </c>
      <c r="I5" s="587" t="s">
        <v>39</v>
      </c>
      <c r="J5" s="550" t="s">
        <v>5</v>
      </c>
      <c r="K5" s="590" t="s">
        <v>86</v>
      </c>
      <c r="L5" s="591"/>
      <c r="M5" s="591"/>
      <c r="N5" s="592"/>
      <c r="O5" s="590" t="s">
        <v>87</v>
      </c>
      <c r="P5" s="591"/>
      <c r="Q5" s="591"/>
      <c r="R5" s="592"/>
      <c r="S5" s="590" t="s">
        <v>88</v>
      </c>
      <c r="T5" s="591"/>
      <c r="U5" s="591"/>
      <c r="V5" s="592"/>
      <c r="W5" s="459" t="s">
        <v>72</v>
      </c>
      <c r="X5" s="459" t="s">
        <v>89</v>
      </c>
      <c r="Y5" s="544" t="s">
        <v>14</v>
      </c>
      <c r="Z5" s="545"/>
      <c r="AA5" s="545"/>
      <c r="AB5" s="546"/>
    </row>
    <row r="6" spans="1:30" ht="14.25" customHeight="1">
      <c r="A6" s="533"/>
      <c r="B6" s="536"/>
      <c r="C6" s="536"/>
      <c r="D6" s="536"/>
      <c r="E6" s="539"/>
      <c r="F6" s="542"/>
      <c r="G6" s="536"/>
      <c r="H6" s="585"/>
      <c r="I6" s="588"/>
      <c r="J6" s="551"/>
      <c r="K6" s="572" t="s">
        <v>6</v>
      </c>
      <c r="L6" s="574" t="s">
        <v>7</v>
      </c>
      <c r="M6" s="575"/>
      <c r="N6" s="576" t="s">
        <v>22</v>
      </c>
      <c r="O6" s="572" t="s">
        <v>6</v>
      </c>
      <c r="P6" s="574" t="s">
        <v>7</v>
      </c>
      <c r="Q6" s="575"/>
      <c r="R6" s="576" t="s">
        <v>22</v>
      </c>
      <c r="S6" s="572" t="s">
        <v>6</v>
      </c>
      <c r="T6" s="574" t="s">
        <v>7</v>
      </c>
      <c r="U6" s="575"/>
      <c r="V6" s="576" t="s">
        <v>22</v>
      </c>
      <c r="W6" s="460"/>
      <c r="X6" s="460"/>
      <c r="Y6" s="451" t="s">
        <v>15</v>
      </c>
      <c r="Z6" s="453" t="s">
        <v>142</v>
      </c>
      <c r="AA6" s="454"/>
      <c r="AB6" s="455"/>
    </row>
    <row r="7" spans="1:30" ht="84.75" customHeight="1" thickBot="1">
      <c r="A7" s="534"/>
      <c r="B7" s="537"/>
      <c r="C7" s="537"/>
      <c r="D7" s="537"/>
      <c r="E7" s="540"/>
      <c r="F7" s="543"/>
      <c r="G7" s="537"/>
      <c r="H7" s="586"/>
      <c r="I7" s="589"/>
      <c r="J7" s="552"/>
      <c r="K7" s="573"/>
      <c r="L7" s="10" t="s">
        <v>6</v>
      </c>
      <c r="M7" s="9" t="s">
        <v>16</v>
      </c>
      <c r="N7" s="577"/>
      <c r="O7" s="573"/>
      <c r="P7" s="10" t="s">
        <v>6</v>
      </c>
      <c r="Q7" s="9" t="s">
        <v>16</v>
      </c>
      <c r="R7" s="577"/>
      <c r="S7" s="573"/>
      <c r="T7" s="10" t="s">
        <v>6</v>
      </c>
      <c r="U7" s="9" t="s">
        <v>16</v>
      </c>
      <c r="V7" s="577"/>
      <c r="W7" s="461"/>
      <c r="X7" s="461"/>
      <c r="Y7" s="452"/>
      <c r="Z7" s="260" t="s">
        <v>45</v>
      </c>
      <c r="AA7" s="260" t="s">
        <v>73</v>
      </c>
      <c r="AB7" s="261" t="s">
        <v>96</v>
      </c>
    </row>
    <row r="8" spans="1:30" s="42" customFormat="1" ht="14.25" customHeight="1">
      <c r="A8" s="456" t="s">
        <v>70</v>
      </c>
      <c r="B8" s="457"/>
      <c r="C8" s="457"/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7"/>
      <c r="Y8" s="457"/>
      <c r="Z8" s="457"/>
      <c r="AA8" s="457"/>
      <c r="AB8" s="458"/>
    </row>
    <row r="9" spans="1:30" s="42" customFormat="1" ht="14.25" customHeight="1">
      <c r="A9" s="442" t="s">
        <v>52</v>
      </c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4"/>
    </row>
    <row r="10" spans="1:30" ht="15.75" customHeight="1">
      <c r="A10" s="118" t="s">
        <v>8</v>
      </c>
      <c r="B10" s="581" t="s">
        <v>53</v>
      </c>
      <c r="C10" s="582"/>
      <c r="D10" s="582"/>
      <c r="E10" s="582"/>
      <c r="F10" s="582"/>
      <c r="G10" s="582"/>
      <c r="H10" s="582"/>
      <c r="I10" s="582"/>
      <c r="J10" s="582"/>
      <c r="K10" s="582"/>
      <c r="L10" s="582"/>
      <c r="M10" s="582"/>
      <c r="N10" s="582"/>
      <c r="O10" s="582"/>
      <c r="P10" s="582"/>
      <c r="Q10" s="582"/>
      <c r="R10" s="582"/>
      <c r="S10" s="582"/>
      <c r="T10" s="582"/>
      <c r="U10" s="582"/>
      <c r="V10" s="582"/>
      <c r="W10" s="582"/>
      <c r="X10" s="582"/>
      <c r="Y10" s="582"/>
      <c r="Z10" s="582"/>
      <c r="AA10" s="582"/>
      <c r="AB10" s="583"/>
    </row>
    <row r="11" spans="1:30" ht="15.75" customHeight="1">
      <c r="A11" s="119" t="s">
        <v>8</v>
      </c>
      <c r="B11" s="65" t="s">
        <v>8</v>
      </c>
      <c r="C11" s="448" t="s">
        <v>54</v>
      </c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49"/>
      <c r="P11" s="449"/>
      <c r="Q11" s="449"/>
      <c r="R11" s="449"/>
      <c r="S11" s="449"/>
      <c r="T11" s="449"/>
      <c r="U11" s="449"/>
      <c r="V11" s="449"/>
      <c r="W11" s="449"/>
      <c r="X11" s="449"/>
      <c r="Y11" s="449"/>
      <c r="Z11" s="449"/>
      <c r="AA11" s="449"/>
      <c r="AB11" s="450"/>
    </row>
    <row r="12" spans="1:30" ht="18" customHeight="1">
      <c r="A12" s="395" t="s">
        <v>8</v>
      </c>
      <c r="B12" s="398" t="s">
        <v>8</v>
      </c>
      <c r="C12" s="401" t="s">
        <v>8</v>
      </c>
      <c r="D12" s="401"/>
      <c r="E12" s="556" t="s">
        <v>65</v>
      </c>
      <c r="F12" s="557" t="s">
        <v>76</v>
      </c>
      <c r="G12" s="564" t="s">
        <v>49</v>
      </c>
      <c r="H12" s="553" t="s">
        <v>61</v>
      </c>
      <c r="I12" s="578" t="s">
        <v>94</v>
      </c>
      <c r="J12" s="152" t="s">
        <v>46</v>
      </c>
      <c r="K12" s="153">
        <f>L12+N12</f>
        <v>88.6</v>
      </c>
      <c r="L12" s="154">
        <v>88.6</v>
      </c>
      <c r="M12" s="154"/>
      <c r="N12" s="155"/>
      <c r="O12" s="297">
        <f>P12</f>
        <v>99.7</v>
      </c>
      <c r="P12" s="298">
        <f>125.7-26</f>
        <v>99.7</v>
      </c>
      <c r="Q12" s="298"/>
      <c r="R12" s="299"/>
      <c r="S12" s="156">
        <f>T12+V12</f>
        <v>0</v>
      </c>
      <c r="T12" s="157"/>
      <c r="U12" s="157"/>
      <c r="V12" s="158"/>
      <c r="W12" s="159">
        <v>100</v>
      </c>
      <c r="X12" s="159">
        <v>100</v>
      </c>
      <c r="Y12" s="302" t="s">
        <v>79</v>
      </c>
      <c r="Z12" s="139">
        <v>65</v>
      </c>
      <c r="AA12" s="139">
        <v>60</v>
      </c>
      <c r="AB12" s="140">
        <v>60</v>
      </c>
    </row>
    <row r="13" spans="1:30" ht="31.5" customHeight="1">
      <c r="A13" s="395"/>
      <c r="B13" s="398"/>
      <c r="C13" s="401"/>
      <c r="D13" s="401"/>
      <c r="E13" s="517"/>
      <c r="F13" s="557"/>
      <c r="G13" s="564"/>
      <c r="H13" s="553"/>
      <c r="I13" s="579"/>
      <c r="J13" s="15"/>
      <c r="K13" s="150"/>
      <c r="L13" s="29"/>
      <c r="M13" s="29"/>
      <c r="N13" s="31"/>
      <c r="O13" s="150"/>
      <c r="P13" s="29"/>
      <c r="Q13" s="29"/>
      <c r="R13" s="31"/>
      <c r="S13" s="151"/>
      <c r="T13" s="84"/>
      <c r="U13" s="84"/>
      <c r="V13" s="85"/>
      <c r="W13" s="62"/>
      <c r="X13" s="62"/>
      <c r="Y13" s="303" t="s">
        <v>97</v>
      </c>
      <c r="Z13" s="144">
        <v>1</v>
      </c>
      <c r="AA13" s="144">
        <v>2</v>
      </c>
      <c r="AB13" s="145">
        <v>1</v>
      </c>
    </row>
    <row r="14" spans="1:30" ht="33.75" customHeight="1">
      <c r="A14" s="395"/>
      <c r="B14" s="398"/>
      <c r="C14" s="401"/>
      <c r="D14" s="401"/>
      <c r="E14" s="517"/>
      <c r="F14" s="557"/>
      <c r="G14" s="564"/>
      <c r="H14" s="553"/>
      <c r="I14" s="579"/>
      <c r="J14" s="15"/>
      <c r="K14" s="116"/>
      <c r="L14" s="29"/>
      <c r="M14" s="29"/>
      <c r="N14" s="31"/>
      <c r="O14" s="116"/>
      <c r="P14" s="29"/>
      <c r="Q14" s="29"/>
      <c r="R14" s="31"/>
      <c r="S14" s="117"/>
      <c r="T14" s="84"/>
      <c r="U14" s="84"/>
      <c r="V14" s="85"/>
      <c r="W14" s="62"/>
      <c r="X14" s="62"/>
      <c r="Y14" s="146" t="s">
        <v>99</v>
      </c>
      <c r="Z14" s="147">
        <v>90</v>
      </c>
      <c r="AA14" s="148">
        <v>50</v>
      </c>
      <c r="AB14" s="149">
        <v>60</v>
      </c>
    </row>
    <row r="15" spans="1:30" ht="33.75" customHeight="1">
      <c r="A15" s="395"/>
      <c r="B15" s="398"/>
      <c r="C15" s="401"/>
      <c r="D15" s="401"/>
      <c r="E15" s="517"/>
      <c r="F15" s="557"/>
      <c r="G15" s="564"/>
      <c r="H15" s="553"/>
      <c r="I15" s="579"/>
      <c r="J15" s="18"/>
      <c r="K15" s="116"/>
      <c r="L15" s="51"/>
      <c r="M15" s="51"/>
      <c r="N15" s="31"/>
      <c r="O15" s="116"/>
      <c r="P15" s="51"/>
      <c r="Q15" s="51"/>
      <c r="R15" s="53"/>
      <c r="S15" s="117"/>
      <c r="T15" s="84"/>
      <c r="U15" s="84"/>
      <c r="V15" s="85"/>
      <c r="W15" s="54"/>
      <c r="X15" s="54"/>
      <c r="Y15" s="303" t="s">
        <v>98</v>
      </c>
      <c r="Z15" s="147">
        <v>1100</v>
      </c>
      <c r="AA15" s="148">
        <v>1150</v>
      </c>
      <c r="AB15" s="149">
        <v>1150</v>
      </c>
      <c r="AC15" s="16"/>
    </row>
    <row r="16" spans="1:30" ht="20.25" customHeight="1" thickBot="1">
      <c r="A16" s="396"/>
      <c r="B16" s="399"/>
      <c r="C16" s="402"/>
      <c r="D16" s="402"/>
      <c r="E16" s="518"/>
      <c r="F16" s="558"/>
      <c r="G16" s="565"/>
      <c r="H16" s="554"/>
      <c r="I16" s="580"/>
      <c r="J16" s="186" t="s">
        <v>9</v>
      </c>
      <c r="K16" s="187">
        <f t="shared" ref="K16:X16" si="0">SUM(K12:K14)</f>
        <v>88.6</v>
      </c>
      <c r="L16" s="188">
        <f t="shared" si="0"/>
        <v>88.6</v>
      </c>
      <c r="M16" s="188">
        <f t="shared" si="0"/>
        <v>0</v>
      </c>
      <c r="N16" s="189">
        <f t="shared" si="0"/>
        <v>0</v>
      </c>
      <c r="O16" s="187">
        <f t="shared" si="0"/>
        <v>99.7</v>
      </c>
      <c r="P16" s="188">
        <f t="shared" si="0"/>
        <v>99.7</v>
      </c>
      <c r="Q16" s="188">
        <f t="shared" si="0"/>
        <v>0</v>
      </c>
      <c r="R16" s="189">
        <f t="shared" si="0"/>
        <v>0</v>
      </c>
      <c r="S16" s="187">
        <f t="shared" si="0"/>
        <v>0</v>
      </c>
      <c r="T16" s="188">
        <f t="shared" si="0"/>
        <v>0</v>
      </c>
      <c r="U16" s="188">
        <f t="shared" si="0"/>
        <v>0</v>
      </c>
      <c r="V16" s="188">
        <f t="shared" si="0"/>
        <v>0</v>
      </c>
      <c r="W16" s="190">
        <f t="shared" si="0"/>
        <v>100</v>
      </c>
      <c r="X16" s="190">
        <f t="shared" si="0"/>
        <v>100</v>
      </c>
      <c r="Y16" s="302" t="s">
        <v>80</v>
      </c>
      <c r="Z16" s="139">
        <v>1</v>
      </c>
      <c r="AA16" s="139">
        <v>1</v>
      </c>
      <c r="AB16" s="140">
        <v>1</v>
      </c>
      <c r="AC16" s="16"/>
    </row>
    <row r="17" spans="1:34" ht="28.5" customHeight="1">
      <c r="A17" s="394" t="s">
        <v>8</v>
      </c>
      <c r="B17" s="397" t="s">
        <v>8</v>
      </c>
      <c r="C17" s="400" t="s">
        <v>10</v>
      </c>
      <c r="D17" s="400"/>
      <c r="E17" s="516" t="s">
        <v>81</v>
      </c>
      <c r="F17" s="519" t="s">
        <v>78</v>
      </c>
      <c r="G17" s="625" t="s">
        <v>49</v>
      </c>
      <c r="H17" s="555" t="s">
        <v>61</v>
      </c>
      <c r="I17" s="626" t="s">
        <v>94</v>
      </c>
      <c r="J17" s="167" t="s">
        <v>46</v>
      </c>
      <c r="K17" s="70">
        <f>L17+N17</f>
        <v>182.8</v>
      </c>
      <c r="L17" s="168">
        <v>182.8</v>
      </c>
      <c r="M17" s="71"/>
      <c r="N17" s="72"/>
      <c r="O17" s="161">
        <f>P17</f>
        <v>613.6</v>
      </c>
      <c r="P17" s="71">
        <f>813.6-200</f>
        <v>613.6</v>
      </c>
      <c r="Q17" s="71"/>
      <c r="R17" s="73"/>
      <c r="S17" s="77">
        <f>T17+V17</f>
        <v>0</v>
      </c>
      <c r="T17" s="78"/>
      <c r="U17" s="78"/>
      <c r="V17" s="169"/>
      <c r="W17" s="225">
        <v>195.7</v>
      </c>
      <c r="X17" s="74">
        <v>1455.7</v>
      </c>
      <c r="Y17" s="304" t="s">
        <v>101</v>
      </c>
      <c r="Z17" s="191">
        <v>2</v>
      </c>
      <c r="AA17" s="191">
        <v>2</v>
      </c>
      <c r="AB17" s="192">
        <v>2</v>
      </c>
    </row>
    <row r="18" spans="1:34" ht="18.75" customHeight="1">
      <c r="A18" s="395"/>
      <c r="B18" s="398"/>
      <c r="C18" s="401"/>
      <c r="D18" s="401"/>
      <c r="E18" s="517"/>
      <c r="F18" s="520"/>
      <c r="G18" s="561"/>
      <c r="H18" s="553"/>
      <c r="I18" s="579"/>
      <c r="J18" s="170" t="s">
        <v>120</v>
      </c>
      <c r="K18" s="171">
        <f>L18+N18</f>
        <v>0</v>
      </c>
      <c r="L18" s="172"/>
      <c r="M18" s="172"/>
      <c r="N18" s="173"/>
      <c r="O18" s="171">
        <f t="shared" ref="O18:O24" si="1">P18</f>
        <v>500</v>
      </c>
      <c r="P18" s="197">
        <v>500</v>
      </c>
      <c r="Q18" s="172"/>
      <c r="R18" s="175"/>
      <c r="S18" s="224"/>
      <c r="T18" s="177"/>
      <c r="U18" s="177"/>
      <c r="V18" s="178"/>
      <c r="W18" s="226"/>
      <c r="X18" s="179"/>
      <c r="Y18" s="305" t="s">
        <v>102</v>
      </c>
      <c r="Z18" s="199"/>
      <c r="AA18" s="200"/>
      <c r="AB18" s="198"/>
    </row>
    <row r="19" spans="1:34" ht="33" customHeight="1">
      <c r="A19" s="395"/>
      <c r="B19" s="398"/>
      <c r="C19" s="401"/>
      <c r="D19" s="401"/>
      <c r="E19" s="517"/>
      <c r="F19" s="520"/>
      <c r="G19" s="561"/>
      <c r="H19" s="553"/>
      <c r="I19" s="579"/>
      <c r="J19" s="170" t="s">
        <v>46</v>
      </c>
      <c r="K19" s="182">
        <f>L19+N19</f>
        <v>0</v>
      </c>
      <c r="L19" s="183"/>
      <c r="M19" s="183"/>
      <c r="N19" s="173"/>
      <c r="O19" s="171">
        <f t="shared" si="1"/>
        <v>4.2</v>
      </c>
      <c r="P19" s="174">
        <v>4.2</v>
      </c>
      <c r="Q19" s="172"/>
      <c r="R19" s="175"/>
      <c r="S19" s="224">
        <f>T19+V19</f>
        <v>0</v>
      </c>
      <c r="T19" s="177"/>
      <c r="U19" s="177"/>
      <c r="V19" s="178"/>
      <c r="W19" s="226"/>
      <c r="X19" s="179"/>
      <c r="Y19" s="306" t="s">
        <v>103</v>
      </c>
      <c r="Z19" s="184">
        <v>2</v>
      </c>
      <c r="AA19" s="184">
        <v>2</v>
      </c>
      <c r="AB19" s="193">
        <v>2</v>
      </c>
    </row>
    <row r="20" spans="1:34" ht="24.75" customHeight="1">
      <c r="A20" s="395"/>
      <c r="B20" s="398"/>
      <c r="C20" s="401"/>
      <c r="D20" s="401"/>
      <c r="E20" s="517"/>
      <c r="F20" s="520"/>
      <c r="G20" s="561"/>
      <c r="H20" s="553"/>
      <c r="I20" s="579"/>
      <c r="J20" s="170" t="s">
        <v>46</v>
      </c>
      <c r="K20" s="182"/>
      <c r="L20" s="183"/>
      <c r="M20" s="183"/>
      <c r="N20" s="173"/>
      <c r="O20" s="171">
        <f t="shared" si="1"/>
        <v>6</v>
      </c>
      <c r="P20" s="174">
        <v>6</v>
      </c>
      <c r="Q20" s="172"/>
      <c r="R20" s="175"/>
      <c r="S20" s="224"/>
      <c r="T20" s="177"/>
      <c r="U20" s="177"/>
      <c r="V20" s="178"/>
      <c r="W20" s="226"/>
      <c r="X20" s="179"/>
      <c r="Y20" s="306" t="s">
        <v>105</v>
      </c>
      <c r="Z20" s="184">
        <v>2</v>
      </c>
      <c r="AA20" s="184">
        <v>2</v>
      </c>
      <c r="AB20" s="193">
        <v>2</v>
      </c>
    </row>
    <row r="21" spans="1:34" ht="18.75" customHeight="1">
      <c r="A21" s="395"/>
      <c r="B21" s="398"/>
      <c r="C21" s="401"/>
      <c r="D21" s="401"/>
      <c r="E21" s="517"/>
      <c r="F21" s="520"/>
      <c r="G21" s="561"/>
      <c r="H21" s="553"/>
      <c r="I21" s="579"/>
      <c r="J21" s="170" t="s">
        <v>46</v>
      </c>
      <c r="K21" s="182"/>
      <c r="L21" s="183"/>
      <c r="M21" s="183"/>
      <c r="N21" s="173"/>
      <c r="O21" s="171">
        <f t="shared" si="1"/>
        <v>1.2</v>
      </c>
      <c r="P21" s="174">
        <v>1.2</v>
      </c>
      <c r="Q21" s="172"/>
      <c r="R21" s="175"/>
      <c r="S21" s="224"/>
      <c r="T21" s="177"/>
      <c r="U21" s="177"/>
      <c r="V21" s="178"/>
      <c r="W21" s="226"/>
      <c r="X21" s="179"/>
      <c r="Y21" s="306" t="s">
        <v>100</v>
      </c>
      <c r="Z21" s="184">
        <v>2</v>
      </c>
      <c r="AA21" s="184">
        <v>2</v>
      </c>
      <c r="AB21" s="193">
        <v>2</v>
      </c>
    </row>
    <row r="22" spans="1:34" ht="17.25" customHeight="1">
      <c r="A22" s="395"/>
      <c r="B22" s="398"/>
      <c r="C22" s="401"/>
      <c r="D22" s="401"/>
      <c r="E22" s="517"/>
      <c r="F22" s="520"/>
      <c r="G22" s="561"/>
      <c r="H22" s="553"/>
      <c r="I22" s="579"/>
      <c r="J22" s="170" t="s">
        <v>46</v>
      </c>
      <c r="K22" s="182"/>
      <c r="L22" s="183"/>
      <c r="M22" s="183"/>
      <c r="N22" s="173"/>
      <c r="O22" s="171">
        <f t="shared" si="1"/>
        <v>3</v>
      </c>
      <c r="P22" s="197">
        <v>3</v>
      </c>
      <c r="Q22" s="172"/>
      <c r="R22" s="175"/>
      <c r="S22" s="224"/>
      <c r="T22" s="177"/>
      <c r="U22" s="177"/>
      <c r="V22" s="178"/>
      <c r="W22" s="226"/>
      <c r="X22" s="179"/>
      <c r="Y22" s="306" t="s">
        <v>106</v>
      </c>
      <c r="Z22" s="181">
        <v>100</v>
      </c>
      <c r="AA22" s="181">
        <v>100</v>
      </c>
      <c r="AB22" s="194">
        <v>100</v>
      </c>
      <c r="AH22" s="8" t="s">
        <v>118</v>
      </c>
    </row>
    <row r="23" spans="1:34" ht="45.75" customHeight="1">
      <c r="A23" s="395"/>
      <c r="B23" s="398"/>
      <c r="C23" s="401"/>
      <c r="D23" s="401"/>
      <c r="E23" s="517"/>
      <c r="F23" s="520"/>
      <c r="G23" s="561"/>
      <c r="H23" s="553"/>
      <c r="I23" s="579"/>
      <c r="J23" s="170" t="s">
        <v>46</v>
      </c>
      <c r="K23" s="182"/>
      <c r="L23" s="183"/>
      <c r="M23" s="183"/>
      <c r="N23" s="173"/>
      <c r="O23" s="171">
        <f t="shared" si="1"/>
        <v>30</v>
      </c>
      <c r="P23" s="197">
        <v>30</v>
      </c>
      <c r="Q23" s="172"/>
      <c r="R23" s="175"/>
      <c r="S23" s="224"/>
      <c r="T23" s="177"/>
      <c r="U23" s="177"/>
      <c r="V23" s="178"/>
      <c r="W23" s="226"/>
      <c r="X23" s="179"/>
      <c r="Y23" s="306" t="s">
        <v>114</v>
      </c>
      <c r="Z23" s="181">
        <v>100</v>
      </c>
      <c r="AA23" s="181"/>
      <c r="AB23" s="194"/>
    </row>
    <row r="24" spans="1:34" ht="18.75" customHeight="1">
      <c r="A24" s="395"/>
      <c r="B24" s="398"/>
      <c r="C24" s="401"/>
      <c r="D24" s="401"/>
      <c r="E24" s="517"/>
      <c r="F24" s="520"/>
      <c r="G24" s="561"/>
      <c r="H24" s="553"/>
      <c r="I24" s="579"/>
      <c r="J24" s="18" t="s">
        <v>46</v>
      </c>
      <c r="K24" s="116"/>
      <c r="L24" s="51"/>
      <c r="M24" s="51"/>
      <c r="N24" s="160"/>
      <c r="O24" s="165">
        <f t="shared" si="1"/>
        <v>10</v>
      </c>
      <c r="P24" s="162">
        <v>10</v>
      </c>
      <c r="Q24" s="51"/>
      <c r="R24" s="53"/>
      <c r="S24" s="151"/>
      <c r="T24" s="84"/>
      <c r="U24" s="84"/>
      <c r="V24" s="96"/>
      <c r="W24" s="227"/>
      <c r="X24" s="54"/>
      <c r="Y24" s="618" t="s">
        <v>148</v>
      </c>
      <c r="Z24" s="163">
        <v>1</v>
      </c>
      <c r="AA24" s="163">
        <v>1</v>
      </c>
      <c r="AB24" s="195">
        <v>1</v>
      </c>
    </row>
    <row r="25" spans="1:34" ht="18.75" customHeight="1" thickBot="1">
      <c r="A25" s="396"/>
      <c r="B25" s="399"/>
      <c r="C25" s="402"/>
      <c r="D25" s="402"/>
      <c r="E25" s="518"/>
      <c r="F25" s="521"/>
      <c r="G25" s="562"/>
      <c r="H25" s="554"/>
      <c r="I25" s="580"/>
      <c r="J25" s="94" t="s">
        <v>9</v>
      </c>
      <c r="K25" s="86">
        <f>SUM(K17:K19)</f>
        <v>182.8</v>
      </c>
      <c r="L25" s="87">
        <f>SUM(L17:L19)</f>
        <v>182.8</v>
      </c>
      <c r="M25" s="87">
        <f>SUM(M17:M19)</f>
        <v>0</v>
      </c>
      <c r="N25" s="132">
        <f>SUM(N17:N19)</f>
        <v>0</v>
      </c>
      <c r="O25" s="99">
        <f>SUM(O17:O24)</f>
        <v>1168</v>
      </c>
      <c r="P25" s="86">
        <f t="shared" ref="P25:X25" si="2">SUM(P17:P24)</f>
        <v>1168</v>
      </c>
      <c r="Q25" s="86">
        <f t="shared" si="2"/>
        <v>0</v>
      </c>
      <c r="R25" s="166">
        <f t="shared" si="2"/>
        <v>0</v>
      </c>
      <c r="S25" s="99">
        <f t="shared" si="2"/>
        <v>0</v>
      </c>
      <c r="T25" s="86">
        <f t="shared" si="2"/>
        <v>0</v>
      </c>
      <c r="U25" s="86">
        <f t="shared" si="2"/>
        <v>0</v>
      </c>
      <c r="V25" s="166">
        <f t="shared" si="2"/>
        <v>0</v>
      </c>
      <c r="W25" s="228">
        <f t="shared" si="2"/>
        <v>195.7</v>
      </c>
      <c r="X25" s="95">
        <f t="shared" si="2"/>
        <v>1455.7</v>
      </c>
      <c r="Y25" s="619"/>
      <c r="Z25" s="164"/>
      <c r="AA25" s="164"/>
      <c r="AB25" s="196"/>
    </row>
    <row r="26" spans="1:34" ht="17.25" customHeight="1">
      <c r="A26" s="394" t="s">
        <v>8</v>
      </c>
      <c r="B26" s="397" t="s">
        <v>8</v>
      </c>
      <c r="C26" s="400" t="s">
        <v>48</v>
      </c>
      <c r="D26" s="400"/>
      <c r="E26" s="516" t="s">
        <v>145</v>
      </c>
      <c r="F26" s="406" t="s">
        <v>78</v>
      </c>
      <c r="G26" s="563" t="s">
        <v>49</v>
      </c>
      <c r="H26" s="391" t="s">
        <v>61</v>
      </c>
      <c r="I26" s="604" t="s">
        <v>117</v>
      </c>
      <c r="J26" s="69" t="s">
        <v>46</v>
      </c>
      <c r="K26" s="70"/>
      <c r="L26" s="71"/>
      <c r="M26" s="71"/>
      <c r="N26" s="72"/>
      <c r="O26" s="161">
        <f>P26+R26</f>
        <v>200</v>
      </c>
      <c r="P26" s="71">
        <v>200</v>
      </c>
      <c r="Q26" s="71"/>
      <c r="R26" s="73"/>
      <c r="S26" s="77">
        <f>T26+V26</f>
        <v>0</v>
      </c>
      <c r="T26" s="78">
        <v>0</v>
      </c>
      <c r="U26" s="78"/>
      <c r="V26" s="79"/>
      <c r="W26" s="74"/>
      <c r="X26" s="74"/>
      <c r="Y26" s="623" t="s">
        <v>119</v>
      </c>
      <c r="Z26" s="135">
        <v>1</v>
      </c>
      <c r="AA26" s="309"/>
      <c r="AB26" s="310"/>
      <c r="AC26" s="16"/>
    </row>
    <row r="27" spans="1:34" ht="15" customHeight="1">
      <c r="A27" s="395"/>
      <c r="B27" s="398"/>
      <c r="C27" s="401"/>
      <c r="D27" s="401"/>
      <c r="E27" s="517"/>
      <c r="F27" s="407"/>
      <c r="G27" s="564"/>
      <c r="H27" s="392"/>
      <c r="I27" s="605"/>
      <c r="J27" s="211"/>
      <c r="K27" s="212"/>
      <c r="L27" s="213"/>
      <c r="M27" s="213"/>
      <c r="N27" s="214"/>
      <c r="O27" s="219"/>
      <c r="P27" s="213"/>
      <c r="Q27" s="213"/>
      <c r="R27" s="214"/>
      <c r="S27" s="215"/>
      <c r="T27" s="216"/>
      <c r="U27" s="216"/>
      <c r="V27" s="217"/>
      <c r="W27" s="218"/>
      <c r="X27" s="218"/>
      <c r="Y27" s="624"/>
      <c r="Z27" s="311"/>
      <c r="AA27" s="311"/>
      <c r="AB27" s="312"/>
      <c r="AC27" s="16"/>
    </row>
    <row r="28" spans="1:34" ht="18" customHeight="1" thickBot="1">
      <c r="A28" s="396"/>
      <c r="B28" s="399"/>
      <c r="C28" s="402"/>
      <c r="D28" s="402"/>
      <c r="E28" s="518"/>
      <c r="F28" s="408"/>
      <c r="G28" s="565"/>
      <c r="H28" s="393"/>
      <c r="I28" s="606"/>
      <c r="J28" s="97" t="s">
        <v>9</v>
      </c>
      <c r="K28" s="207">
        <f t="shared" ref="K28:X28" si="3">SUM(K26:K27)</f>
        <v>0</v>
      </c>
      <c r="L28" s="208">
        <f t="shared" si="3"/>
        <v>0</v>
      </c>
      <c r="M28" s="208">
        <f t="shared" si="3"/>
        <v>0</v>
      </c>
      <c r="N28" s="209">
        <f t="shared" si="3"/>
        <v>0</v>
      </c>
      <c r="O28" s="207">
        <f t="shared" si="3"/>
        <v>200</v>
      </c>
      <c r="P28" s="208">
        <f t="shared" si="3"/>
        <v>200</v>
      </c>
      <c r="Q28" s="208">
        <f t="shared" si="3"/>
        <v>0</v>
      </c>
      <c r="R28" s="209">
        <f t="shared" si="3"/>
        <v>0</v>
      </c>
      <c r="S28" s="207">
        <f t="shared" si="3"/>
        <v>0</v>
      </c>
      <c r="T28" s="208">
        <f t="shared" si="3"/>
        <v>0</v>
      </c>
      <c r="U28" s="208">
        <f t="shared" si="3"/>
        <v>0</v>
      </c>
      <c r="V28" s="208">
        <f t="shared" si="3"/>
        <v>0</v>
      </c>
      <c r="W28" s="210">
        <f t="shared" si="3"/>
        <v>0</v>
      </c>
      <c r="X28" s="210">
        <f t="shared" si="3"/>
        <v>0</v>
      </c>
      <c r="Y28" s="107"/>
      <c r="Z28" s="105"/>
      <c r="AA28" s="105"/>
      <c r="AB28" s="106"/>
      <c r="AC28" s="16"/>
    </row>
    <row r="29" spans="1:34" ht="16.5" customHeight="1" thickBot="1">
      <c r="A29" s="120" t="s">
        <v>8</v>
      </c>
      <c r="B29" s="14" t="s">
        <v>8</v>
      </c>
      <c r="C29" s="440" t="s">
        <v>11</v>
      </c>
      <c r="D29" s="440"/>
      <c r="E29" s="440"/>
      <c r="F29" s="440"/>
      <c r="G29" s="440"/>
      <c r="H29" s="440"/>
      <c r="I29" s="440"/>
      <c r="J29" s="441"/>
      <c r="K29" s="36">
        <f>K25+K16</f>
        <v>271.39999999999998</v>
      </c>
      <c r="L29" s="36">
        <f t="shared" ref="L29:N29" si="4">L25+L16</f>
        <v>271.39999999999998</v>
      </c>
      <c r="M29" s="36">
        <f t="shared" si="4"/>
        <v>0</v>
      </c>
      <c r="N29" s="36">
        <f t="shared" si="4"/>
        <v>0</v>
      </c>
      <c r="O29" s="36">
        <f>O25+O16+O28</f>
        <v>1467.7</v>
      </c>
      <c r="P29" s="36">
        <f t="shared" ref="P29:X29" si="5">P25+P16+P28</f>
        <v>1467.7</v>
      </c>
      <c r="Q29" s="36">
        <f t="shared" si="5"/>
        <v>0</v>
      </c>
      <c r="R29" s="36">
        <f t="shared" si="5"/>
        <v>0</v>
      </c>
      <c r="S29" s="36">
        <f t="shared" si="5"/>
        <v>0</v>
      </c>
      <c r="T29" s="36">
        <f t="shared" si="5"/>
        <v>0</v>
      </c>
      <c r="U29" s="36">
        <f t="shared" si="5"/>
        <v>0</v>
      </c>
      <c r="V29" s="36">
        <f t="shared" si="5"/>
        <v>0</v>
      </c>
      <c r="W29" s="36">
        <f t="shared" si="5"/>
        <v>295.7</v>
      </c>
      <c r="X29" s="36">
        <f t="shared" si="5"/>
        <v>1555.7</v>
      </c>
      <c r="Y29" s="108"/>
      <c r="Z29" s="109"/>
      <c r="AA29" s="109"/>
      <c r="AB29" s="110"/>
    </row>
    <row r="30" spans="1:34" ht="14.25" customHeight="1" thickBot="1">
      <c r="A30" s="120" t="s">
        <v>8</v>
      </c>
      <c r="B30" s="14" t="s">
        <v>10</v>
      </c>
      <c r="C30" s="513" t="s">
        <v>55</v>
      </c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5"/>
    </row>
    <row r="31" spans="1:34" ht="26.25" customHeight="1">
      <c r="A31" s="394" t="s">
        <v>8</v>
      </c>
      <c r="B31" s="397" t="s">
        <v>10</v>
      </c>
      <c r="C31" s="400" t="s">
        <v>8</v>
      </c>
      <c r="D31" s="400"/>
      <c r="E31" s="516" t="s">
        <v>66</v>
      </c>
      <c r="F31" s="519" t="s">
        <v>77</v>
      </c>
      <c r="G31" s="563" t="s">
        <v>49</v>
      </c>
      <c r="H31" s="391" t="s">
        <v>61</v>
      </c>
      <c r="I31" s="604" t="s">
        <v>94</v>
      </c>
      <c r="J31" s="69" t="s">
        <v>46</v>
      </c>
      <c r="K31" s="70">
        <f>L31+N31</f>
        <v>37.4</v>
      </c>
      <c r="L31" s="71">
        <v>37.4</v>
      </c>
      <c r="M31" s="71"/>
      <c r="N31" s="72"/>
      <c r="O31" s="161">
        <f>P31+R31</f>
        <v>46.6</v>
      </c>
      <c r="P31" s="206">
        <v>46.6</v>
      </c>
      <c r="Q31" s="71"/>
      <c r="R31" s="73"/>
      <c r="S31" s="77">
        <f>T31+V31</f>
        <v>0</v>
      </c>
      <c r="T31" s="78">
        <v>0</v>
      </c>
      <c r="U31" s="78"/>
      <c r="V31" s="79"/>
      <c r="W31" s="74">
        <v>55</v>
      </c>
      <c r="X31" s="74">
        <v>60</v>
      </c>
      <c r="Y31" s="134" t="s">
        <v>82</v>
      </c>
      <c r="Z31" s="103">
        <v>5</v>
      </c>
      <c r="AA31" s="103">
        <v>6</v>
      </c>
      <c r="AB31" s="104">
        <v>6</v>
      </c>
      <c r="AC31" s="16"/>
    </row>
    <row r="32" spans="1:34" ht="27" customHeight="1">
      <c r="A32" s="395"/>
      <c r="B32" s="398"/>
      <c r="C32" s="401"/>
      <c r="D32" s="401"/>
      <c r="E32" s="517"/>
      <c r="F32" s="520"/>
      <c r="G32" s="564"/>
      <c r="H32" s="392"/>
      <c r="I32" s="605"/>
      <c r="J32" s="201"/>
      <c r="K32" s="182"/>
      <c r="L32" s="172"/>
      <c r="M32" s="172"/>
      <c r="N32" s="175"/>
      <c r="O32" s="182"/>
      <c r="P32" s="172"/>
      <c r="Q32" s="172"/>
      <c r="R32" s="175"/>
      <c r="S32" s="176"/>
      <c r="T32" s="177"/>
      <c r="U32" s="177"/>
      <c r="V32" s="185"/>
      <c r="W32" s="179"/>
      <c r="X32" s="179"/>
      <c r="Y32" s="202" t="s">
        <v>93</v>
      </c>
      <c r="Z32" s="203">
        <v>1</v>
      </c>
      <c r="AA32" s="204">
        <v>3</v>
      </c>
      <c r="AB32" s="205">
        <v>3</v>
      </c>
      <c r="AC32" s="16"/>
    </row>
    <row r="33" spans="1:29" ht="19.5" customHeight="1">
      <c r="A33" s="395"/>
      <c r="B33" s="398"/>
      <c r="C33" s="401"/>
      <c r="D33" s="401"/>
      <c r="E33" s="517"/>
      <c r="F33" s="520"/>
      <c r="G33" s="564"/>
      <c r="H33" s="392"/>
      <c r="I33" s="605"/>
      <c r="J33" s="20"/>
      <c r="K33" s="32"/>
      <c r="L33" s="51"/>
      <c r="M33" s="51"/>
      <c r="N33" s="52"/>
      <c r="O33" s="32"/>
      <c r="P33" s="51"/>
      <c r="Q33" s="51"/>
      <c r="R33" s="53"/>
      <c r="S33" s="83"/>
      <c r="T33" s="84"/>
      <c r="U33" s="84"/>
      <c r="V33" s="85"/>
      <c r="W33" s="54"/>
      <c r="X33" s="54"/>
      <c r="Y33" s="524" t="s">
        <v>84</v>
      </c>
      <c r="Z33" s="526">
        <v>4</v>
      </c>
      <c r="AA33" s="526">
        <v>4</v>
      </c>
      <c r="AB33" s="522">
        <v>10</v>
      </c>
      <c r="AC33" s="16"/>
    </row>
    <row r="34" spans="1:29" ht="17.25" customHeight="1" thickBot="1">
      <c r="A34" s="396"/>
      <c r="B34" s="399"/>
      <c r="C34" s="402"/>
      <c r="D34" s="402"/>
      <c r="E34" s="518"/>
      <c r="F34" s="521"/>
      <c r="G34" s="565"/>
      <c r="H34" s="393"/>
      <c r="I34" s="606"/>
      <c r="J34" s="94" t="s">
        <v>9</v>
      </c>
      <c r="K34" s="86">
        <f t="shared" ref="K34:X34" si="6">SUM(K31:K33)</f>
        <v>37.4</v>
      </c>
      <c r="L34" s="87">
        <f t="shared" si="6"/>
        <v>37.4</v>
      </c>
      <c r="M34" s="87">
        <f t="shared" si="6"/>
        <v>0</v>
      </c>
      <c r="N34" s="98">
        <f t="shared" si="6"/>
        <v>0</v>
      </c>
      <c r="O34" s="86">
        <f t="shared" si="6"/>
        <v>46.6</v>
      </c>
      <c r="P34" s="87">
        <f t="shared" si="6"/>
        <v>46.6</v>
      </c>
      <c r="Q34" s="87">
        <f t="shared" si="6"/>
        <v>0</v>
      </c>
      <c r="R34" s="98">
        <f t="shared" si="6"/>
        <v>0</v>
      </c>
      <c r="S34" s="86">
        <f t="shared" si="6"/>
        <v>0</v>
      </c>
      <c r="T34" s="87">
        <f t="shared" si="6"/>
        <v>0</v>
      </c>
      <c r="U34" s="87">
        <f t="shared" si="6"/>
        <v>0</v>
      </c>
      <c r="V34" s="87">
        <f t="shared" si="6"/>
        <v>0</v>
      </c>
      <c r="W34" s="95">
        <f t="shared" si="6"/>
        <v>55</v>
      </c>
      <c r="X34" s="95">
        <f t="shared" si="6"/>
        <v>60</v>
      </c>
      <c r="Y34" s="525"/>
      <c r="Z34" s="527"/>
      <c r="AA34" s="527"/>
      <c r="AB34" s="523"/>
      <c r="AC34" s="16"/>
    </row>
    <row r="35" spans="1:29" ht="27.75" customHeight="1">
      <c r="A35" s="394" t="s">
        <v>8</v>
      </c>
      <c r="B35" s="397" t="s">
        <v>10</v>
      </c>
      <c r="C35" s="400" t="s">
        <v>10</v>
      </c>
      <c r="D35" s="400"/>
      <c r="E35" s="403" t="s">
        <v>67</v>
      </c>
      <c r="F35" s="406" t="s">
        <v>140</v>
      </c>
      <c r="G35" s="563" t="s">
        <v>49</v>
      </c>
      <c r="H35" s="391" t="s">
        <v>61</v>
      </c>
      <c r="I35" s="604" t="s">
        <v>94</v>
      </c>
      <c r="J35" s="69" t="s">
        <v>46</v>
      </c>
      <c r="K35" s="70">
        <f>L35+N35</f>
        <v>180</v>
      </c>
      <c r="L35" s="71">
        <v>180</v>
      </c>
      <c r="M35" s="71"/>
      <c r="N35" s="72"/>
      <c r="O35" s="161">
        <f>P35+R35</f>
        <v>240</v>
      </c>
      <c r="P35" s="71">
        <v>240</v>
      </c>
      <c r="Q35" s="71"/>
      <c r="R35" s="73"/>
      <c r="S35" s="77">
        <f>T35+V35</f>
        <v>0</v>
      </c>
      <c r="T35" s="78">
        <v>0</v>
      </c>
      <c r="U35" s="78"/>
      <c r="V35" s="79"/>
      <c r="W35" s="74">
        <v>240</v>
      </c>
      <c r="X35" s="74">
        <v>240</v>
      </c>
      <c r="Y35" s="133" t="s">
        <v>71</v>
      </c>
      <c r="Z35" s="135">
        <v>20</v>
      </c>
      <c r="AA35" s="135">
        <v>20</v>
      </c>
      <c r="AB35" s="136">
        <v>30</v>
      </c>
      <c r="AC35" s="16"/>
    </row>
    <row r="36" spans="1:29" ht="25.5" customHeight="1">
      <c r="A36" s="395"/>
      <c r="B36" s="398"/>
      <c r="C36" s="401"/>
      <c r="D36" s="401"/>
      <c r="E36" s="404"/>
      <c r="F36" s="407"/>
      <c r="G36" s="564"/>
      <c r="H36" s="392"/>
      <c r="I36" s="605"/>
      <c r="J36" s="211"/>
      <c r="K36" s="212"/>
      <c r="L36" s="213"/>
      <c r="M36" s="213"/>
      <c r="N36" s="214"/>
      <c r="O36" s="219"/>
      <c r="P36" s="213"/>
      <c r="Q36" s="213"/>
      <c r="R36" s="214"/>
      <c r="S36" s="215"/>
      <c r="T36" s="216"/>
      <c r="U36" s="216"/>
      <c r="V36" s="217"/>
      <c r="W36" s="218"/>
      <c r="X36" s="218"/>
      <c r="Y36" s="231" t="s">
        <v>85</v>
      </c>
      <c r="Z36" s="232">
        <v>20</v>
      </c>
      <c r="AA36" s="232">
        <v>20</v>
      </c>
      <c r="AB36" s="233">
        <v>30</v>
      </c>
      <c r="AC36" s="16"/>
    </row>
    <row r="37" spans="1:29" ht="27" customHeight="1" thickBot="1">
      <c r="A37" s="396"/>
      <c r="B37" s="399"/>
      <c r="C37" s="402"/>
      <c r="D37" s="402"/>
      <c r="E37" s="405"/>
      <c r="F37" s="408"/>
      <c r="G37" s="565"/>
      <c r="H37" s="393"/>
      <c r="I37" s="606"/>
      <c r="J37" s="97" t="s">
        <v>9</v>
      </c>
      <c r="K37" s="207">
        <f t="shared" ref="K37:X37" si="7">SUM(K35:K36)</f>
        <v>180</v>
      </c>
      <c r="L37" s="208">
        <f t="shared" si="7"/>
        <v>180</v>
      </c>
      <c r="M37" s="208">
        <f t="shared" si="7"/>
        <v>0</v>
      </c>
      <c r="N37" s="209">
        <f t="shared" si="7"/>
        <v>0</v>
      </c>
      <c r="O37" s="207">
        <f t="shared" si="7"/>
        <v>240</v>
      </c>
      <c r="P37" s="208">
        <f t="shared" si="7"/>
        <v>240</v>
      </c>
      <c r="Q37" s="208">
        <f t="shared" si="7"/>
        <v>0</v>
      </c>
      <c r="R37" s="209">
        <f t="shared" si="7"/>
        <v>0</v>
      </c>
      <c r="S37" s="207">
        <f t="shared" si="7"/>
        <v>0</v>
      </c>
      <c r="T37" s="208">
        <f t="shared" si="7"/>
        <v>0</v>
      </c>
      <c r="U37" s="208">
        <f t="shared" si="7"/>
        <v>0</v>
      </c>
      <c r="V37" s="208">
        <f t="shared" si="7"/>
        <v>0</v>
      </c>
      <c r="W37" s="210">
        <f t="shared" si="7"/>
        <v>240</v>
      </c>
      <c r="X37" s="210">
        <f t="shared" si="7"/>
        <v>240</v>
      </c>
      <c r="Y37" s="107" t="s">
        <v>107</v>
      </c>
      <c r="Z37" s="105">
        <v>3</v>
      </c>
      <c r="AA37" s="105">
        <v>3</v>
      </c>
      <c r="AB37" s="106">
        <v>4</v>
      </c>
      <c r="AC37" s="16"/>
    </row>
    <row r="38" spans="1:29" ht="21.75" customHeight="1">
      <c r="A38" s="394" t="s">
        <v>8</v>
      </c>
      <c r="B38" s="397" t="s">
        <v>10</v>
      </c>
      <c r="C38" s="400" t="s">
        <v>48</v>
      </c>
      <c r="D38" s="400"/>
      <c r="E38" s="475" t="s">
        <v>68</v>
      </c>
      <c r="F38" s="478"/>
      <c r="G38" s="563" t="s">
        <v>49</v>
      </c>
      <c r="H38" s="391" t="s">
        <v>61</v>
      </c>
      <c r="I38" s="604" t="s">
        <v>94</v>
      </c>
      <c r="J38" s="19" t="s">
        <v>46</v>
      </c>
      <c r="K38" s="24">
        <f>L38+N38</f>
        <v>42</v>
      </c>
      <c r="L38" s="25">
        <v>42</v>
      </c>
      <c r="M38" s="25"/>
      <c r="N38" s="26"/>
      <c r="O38" s="24">
        <f>P38</f>
        <v>42</v>
      </c>
      <c r="P38" s="75">
        <v>42</v>
      </c>
      <c r="Q38" s="25"/>
      <c r="R38" s="27"/>
      <c r="S38" s="88">
        <f>T38+V38</f>
        <v>0</v>
      </c>
      <c r="T38" s="89"/>
      <c r="U38" s="89"/>
      <c r="V38" s="90"/>
      <c r="W38" s="56">
        <v>46.9</v>
      </c>
      <c r="X38" s="56">
        <v>46.9</v>
      </c>
      <c r="Y38" s="468" t="s">
        <v>69</v>
      </c>
      <c r="Z38" s="47">
        <v>12</v>
      </c>
      <c r="AA38" s="47">
        <v>12</v>
      </c>
      <c r="AB38" s="48">
        <v>12</v>
      </c>
      <c r="AC38" s="16"/>
    </row>
    <row r="39" spans="1:29" ht="20.25" customHeight="1">
      <c r="A39" s="395"/>
      <c r="B39" s="398"/>
      <c r="C39" s="401"/>
      <c r="D39" s="401"/>
      <c r="E39" s="476"/>
      <c r="F39" s="479"/>
      <c r="G39" s="564"/>
      <c r="H39" s="392"/>
      <c r="I39" s="605"/>
      <c r="J39" s="38"/>
      <c r="K39" s="28"/>
      <c r="L39" s="29"/>
      <c r="M39" s="29"/>
      <c r="N39" s="30"/>
      <c r="O39" s="28"/>
      <c r="P39" s="29"/>
      <c r="Q39" s="29"/>
      <c r="R39" s="31"/>
      <c r="S39" s="91">
        <f>T39+V39</f>
        <v>0</v>
      </c>
      <c r="T39" s="84"/>
      <c r="U39" s="84"/>
      <c r="V39" s="85"/>
      <c r="W39" s="62"/>
      <c r="X39" s="62"/>
      <c r="Y39" s="469"/>
      <c r="Z39" s="43"/>
      <c r="AA39" s="43"/>
      <c r="AB39" s="44"/>
      <c r="AC39" s="16"/>
    </row>
    <row r="40" spans="1:29" ht="31.5" customHeight="1" thickBot="1">
      <c r="A40" s="396"/>
      <c r="B40" s="399"/>
      <c r="C40" s="402"/>
      <c r="D40" s="402"/>
      <c r="E40" s="477"/>
      <c r="F40" s="480"/>
      <c r="G40" s="565"/>
      <c r="H40" s="393"/>
      <c r="I40" s="606"/>
      <c r="J40" s="94" t="s">
        <v>9</v>
      </c>
      <c r="K40" s="86">
        <f t="shared" ref="K40:X40" si="8">SUM(K38:K39)</f>
        <v>42</v>
      </c>
      <c r="L40" s="87">
        <f t="shared" si="8"/>
        <v>42</v>
      </c>
      <c r="M40" s="87">
        <f t="shared" si="8"/>
        <v>0</v>
      </c>
      <c r="N40" s="98">
        <f t="shared" si="8"/>
        <v>0</v>
      </c>
      <c r="O40" s="86">
        <f t="shared" si="8"/>
        <v>42</v>
      </c>
      <c r="P40" s="87">
        <f t="shared" si="8"/>
        <v>42</v>
      </c>
      <c r="Q40" s="87">
        <f t="shared" si="8"/>
        <v>0</v>
      </c>
      <c r="R40" s="98">
        <f t="shared" si="8"/>
        <v>0</v>
      </c>
      <c r="S40" s="86">
        <f t="shared" si="8"/>
        <v>0</v>
      </c>
      <c r="T40" s="87">
        <f t="shared" si="8"/>
        <v>0</v>
      </c>
      <c r="U40" s="87">
        <f t="shared" si="8"/>
        <v>0</v>
      </c>
      <c r="V40" s="87">
        <f t="shared" si="8"/>
        <v>0</v>
      </c>
      <c r="W40" s="95">
        <f t="shared" si="8"/>
        <v>46.9</v>
      </c>
      <c r="X40" s="95">
        <f t="shared" si="8"/>
        <v>46.9</v>
      </c>
      <c r="Y40" s="470"/>
      <c r="Z40" s="45"/>
      <c r="AA40" s="45"/>
      <c r="AB40" s="46"/>
      <c r="AC40" s="16"/>
    </row>
    <row r="41" spans="1:29" ht="43.5" customHeight="1">
      <c r="A41" s="240" t="s">
        <v>8</v>
      </c>
      <c r="B41" s="220" t="s">
        <v>10</v>
      </c>
      <c r="C41" s="241" t="s">
        <v>49</v>
      </c>
      <c r="D41" s="222"/>
      <c r="E41" s="627" t="s">
        <v>108</v>
      </c>
      <c r="F41" s="473"/>
      <c r="G41" s="561" t="s">
        <v>49</v>
      </c>
      <c r="H41" s="392" t="s">
        <v>61</v>
      </c>
      <c r="I41" s="605" t="s">
        <v>94</v>
      </c>
      <c r="J41" s="40" t="s">
        <v>46</v>
      </c>
      <c r="K41" s="24">
        <f>L41+N41</f>
        <v>0</v>
      </c>
      <c r="L41" s="236">
        <v>0</v>
      </c>
      <c r="M41" s="25"/>
      <c r="N41" s="26"/>
      <c r="O41" s="242">
        <v>14.2</v>
      </c>
      <c r="P41" s="25">
        <v>14.2</v>
      </c>
      <c r="Q41" s="25"/>
      <c r="R41" s="26"/>
      <c r="S41" s="88">
        <f>T41+V41</f>
        <v>0</v>
      </c>
      <c r="T41" s="89">
        <v>0</v>
      </c>
      <c r="U41" s="89"/>
      <c r="V41" s="239"/>
      <c r="W41" s="56">
        <v>14.2</v>
      </c>
      <c r="X41" s="56">
        <v>14.2</v>
      </c>
      <c r="Y41" s="243" t="s">
        <v>146</v>
      </c>
      <c r="Z41" s="237">
        <v>12</v>
      </c>
      <c r="AA41" s="237">
        <v>12</v>
      </c>
      <c r="AB41" s="238">
        <v>12</v>
      </c>
      <c r="AC41" s="16"/>
    </row>
    <row r="42" spans="1:29" ht="22.5" customHeight="1" thickBot="1">
      <c r="A42" s="234"/>
      <c r="B42" s="221"/>
      <c r="C42" s="235"/>
      <c r="D42" s="223"/>
      <c r="E42" s="628"/>
      <c r="F42" s="474"/>
      <c r="G42" s="562"/>
      <c r="H42" s="393"/>
      <c r="I42" s="606"/>
      <c r="J42" s="94" t="s">
        <v>9</v>
      </c>
      <c r="K42" s="86">
        <f t="shared" ref="K42:X42" si="9">SUM(K41:K41)</f>
        <v>0</v>
      </c>
      <c r="L42" s="87">
        <f t="shared" si="9"/>
        <v>0</v>
      </c>
      <c r="M42" s="87">
        <f t="shared" si="9"/>
        <v>0</v>
      </c>
      <c r="N42" s="98">
        <f t="shared" si="9"/>
        <v>0</v>
      </c>
      <c r="O42" s="86">
        <f t="shared" si="9"/>
        <v>14.2</v>
      </c>
      <c r="P42" s="87">
        <f t="shared" si="9"/>
        <v>14.2</v>
      </c>
      <c r="Q42" s="87">
        <f t="shared" si="9"/>
        <v>0</v>
      </c>
      <c r="R42" s="132">
        <f t="shared" si="9"/>
        <v>0</v>
      </c>
      <c r="S42" s="99">
        <f t="shared" si="9"/>
        <v>0</v>
      </c>
      <c r="T42" s="87">
        <f t="shared" si="9"/>
        <v>0</v>
      </c>
      <c r="U42" s="87">
        <f t="shared" si="9"/>
        <v>0</v>
      </c>
      <c r="V42" s="98">
        <f t="shared" si="9"/>
        <v>0</v>
      </c>
      <c r="W42" s="95">
        <f t="shared" si="9"/>
        <v>14.2</v>
      </c>
      <c r="X42" s="95">
        <f t="shared" si="9"/>
        <v>14.2</v>
      </c>
      <c r="Y42" s="244" t="s">
        <v>143</v>
      </c>
      <c r="Z42" s="245">
        <v>4</v>
      </c>
      <c r="AA42" s="245">
        <v>4</v>
      </c>
      <c r="AB42" s="246">
        <v>4</v>
      </c>
      <c r="AC42" s="16"/>
    </row>
    <row r="43" spans="1:29" ht="15" customHeight="1" thickBot="1">
      <c r="A43" s="121" t="s">
        <v>8</v>
      </c>
      <c r="B43" s="14" t="s">
        <v>10</v>
      </c>
      <c r="C43" s="440" t="s">
        <v>11</v>
      </c>
      <c r="D43" s="440"/>
      <c r="E43" s="440"/>
      <c r="F43" s="440"/>
      <c r="G43" s="440"/>
      <c r="H43" s="440"/>
      <c r="I43" s="440"/>
      <c r="J43" s="441"/>
      <c r="K43" s="36">
        <f>SUM(K40,K37,K34)</f>
        <v>259.39999999999998</v>
      </c>
      <c r="L43" s="36">
        <f>SUM(L40,L37,L34)</f>
        <v>259.39999999999998</v>
      </c>
      <c r="M43" s="36">
        <f>SUM(M40,M37,M34)</f>
        <v>0</v>
      </c>
      <c r="N43" s="37">
        <f>SUM(N40,N37,N34)</f>
        <v>0</v>
      </c>
      <c r="O43" s="36">
        <f>SUM(O40,O37,O34,O42)</f>
        <v>342.8</v>
      </c>
      <c r="P43" s="36">
        <f t="shared" ref="P43:X43" si="10">SUM(P40,P37,P34,P42)</f>
        <v>342.8</v>
      </c>
      <c r="Q43" s="36">
        <f t="shared" si="10"/>
        <v>0</v>
      </c>
      <c r="R43" s="36">
        <f t="shared" si="10"/>
        <v>0</v>
      </c>
      <c r="S43" s="36">
        <f t="shared" si="10"/>
        <v>0</v>
      </c>
      <c r="T43" s="36">
        <f t="shared" si="10"/>
        <v>0</v>
      </c>
      <c r="U43" s="36">
        <f t="shared" si="10"/>
        <v>0</v>
      </c>
      <c r="V43" s="36">
        <f t="shared" si="10"/>
        <v>0</v>
      </c>
      <c r="W43" s="36">
        <f t="shared" si="10"/>
        <v>356.09999999999997</v>
      </c>
      <c r="X43" s="36">
        <f t="shared" si="10"/>
        <v>361.09999999999997</v>
      </c>
      <c r="Y43" s="481"/>
      <c r="Z43" s="482"/>
      <c r="AA43" s="482"/>
      <c r="AB43" s="483"/>
    </row>
    <row r="44" spans="1:29" ht="14.25" customHeight="1" thickBot="1">
      <c r="A44" s="121" t="s">
        <v>8</v>
      </c>
      <c r="B44" s="434" t="s">
        <v>12</v>
      </c>
      <c r="C44" s="435"/>
      <c r="D44" s="435"/>
      <c r="E44" s="435"/>
      <c r="F44" s="435"/>
      <c r="G44" s="435"/>
      <c r="H44" s="435"/>
      <c r="I44" s="435"/>
      <c r="J44" s="436"/>
      <c r="K44" s="124">
        <f t="shared" ref="K44:X44" si="11">SUM(K29,K43)</f>
        <v>530.79999999999995</v>
      </c>
      <c r="L44" s="124">
        <f t="shared" si="11"/>
        <v>530.79999999999995</v>
      </c>
      <c r="M44" s="124">
        <f t="shared" si="11"/>
        <v>0</v>
      </c>
      <c r="N44" s="125">
        <f t="shared" si="11"/>
        <v>0</v>
      </c>
      <c r="O44" s="124">
        <f t="shared" si="11"/>
        <v>1810.5</v>
      </c>
      <c r="P44" s="124">
        <f t="shared" si="11"/>
        <v>1810.5</v>
      </c>
      <c r="Q44" s="124">
        <f t="shared" si="11"/>
        <v>0</v>
      </c>
      <c r="R44" s="125">
        <f t="shared" si="11"/>
        <v>0</v>
      </c>
      <c r="S44" s="124">
        <f t="shared" si="11"/>
        <v>0</v>
      </c>
      <c r="T44" s="124">
        <f t="shared" si="11"/>
        <v>0</v>
      </c>
      <c r="U44" s="124">
        <f t="shared" si="11"/>
        <v>0</v>
      </c>
      <c r="V44" s="125">
        <f t="shared" si="11"/>
        <v>0</v>
      </c>
      <c r="W44" s="125">
        <f t="shared" si="11"/>
        <v>651.79999999999995</v>
      </c>
      <c r="X44" s="124">
        <f t="shared" si="11"/>
        <v>1916.8</v>
      </c>
      <c r="Y44" s="484"/>
      <c r="Z44" s="485"/>
      <c r="AA44" s="485"/>
      <c r="AB44" s="486"/>
    </row>
    <row r="45" spans="1:29" ht="14.25" customHeight="1" thickBot="1">
      <c r="A45" s="122" t="s">
        <v>10</v>
      </c>
      <c r="B45" s="462" t="s">
        <v>56</v>
      </c>
      <c r="C45" s="463"/>
      <c r="D45" s="463"/>
      <c r="E45" s="463"/>
      <c r="F45" s="463"/>
      <c r="G45" s="463"/>
      <c r="H45" s="463"/>
      <c r="I45" s="463"/>
      <c r="J45" s="463"/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  <c r="V45" s="463"/>
      <c r="W45" s="463"/>
      <c r="X45" s="463"/>
      <c r="Y45" s="463"/>
      <c r="Z45" s="463"/>
      <c r="AA45" s="463"/>
      <c r="AB45" s="464"/>
    </row>
    <row r="46" spans="1:29" ht="14.25" customHeight="1" thickBot="1">
      <c r="A46" s="120" t="s">
        <v>10</v>
      </c>
      <c r="B46" s="14" t="s">
        <v>8</v>
      </c>
      <c r="C46" s="465" t="s">
        <v>57</v>
      </c>
      <c r="D46" s="466"/>
      <c r="E46" s="466"/>
      <c r="F46" s="466"/>
      <c r="G46" s="466"/>
      <c r="H46" s="466"/>
      <c r="I46" s="466"/>
      <c r="J46" s="466"/>
      <c r="K46" s="466"/>
      <c r="L46" s="466"/>
      <c r="M46" s="466"/>
      <c r="N46" s="466"/>
      <c r="O46" s="466"/>
      <c r="P46" s="466"/>
      <c r="Q46" s="466"/>
      <c r="R46" s="466"/>
      <c r="S46" s="466"/>
      <c r="T46" s="466"/>
      <c r="U46" s="466"/>
      <c r="V46" s="466"/>
      <c r="W46" s="466"/>
      <c r="X46" s="466"/>
      <c r="Y46" s="466"/>
      <c r="Z46" s="466"/>
      <c r="AA46" s="466"/>
      <c r="AB46" s="467"/>
    </row>
    <row r="47" spans="1:29" ht="19.5" customHeight="1">
      <c r="A47" s="394" t="s">
        <v>10</v>
      </c>
      <c r="B47" s="397" t="s">
        <v>8</v>
      </c>
      <c r="C47" s="400" t="s">
        <v>8</v>
      </c>
      <c r="D47" s="400"/>
      <c r="E47" s="506" t="s">
        <v>83</v>
      </c>
      <c r="F47" s="137" t="s">
        <v>63</v>
      </c>
      <c r="G47" s="615" t="s">
        <v>49</v>
      </c>
      <c r="H47" s="391" t="s">
        <v>61</v>
      </c>
      <c r="I47" s="604" t="s">
        <v>60</v>
      </c>
      <c r="J47" s="19" t="s">
        <v>58</v>
      </c>
      <c r="K47" s="24">
        <f>L47+N47</f>
        <v>2263.9</v>
      </c>
      <c r="L47" s="25"/>
      <c r="M47" s="25"/>
      <c r="N47" s="60">
        <f>543.2+1720.7</f>
        <v>2263.9</v>
      </c>
      <c r="O47" s="307">
        <f>P47+R47</f>
        <v>523.20000000000005</v>
      </c>
      <c r="P47" s="300"/>
      <c r="Q47" s="300"/>
      <c r="R47" s="301">
        <v>523.20000000000005</v>
      </c>
      <c r="S47" s="88">
        <f>T47+V47</f>
        <v>0</v>
      </c>
      <c r="T47" s="89"/>
      <c r="U47" s="89"/>
      <c r="V47" s="90"/>
      <c r="W47" s="56"/>
      <c r="X47" s="268"/>
      <c r="Y47" s="274" t="s">
        <v>111</v>
      </c>
      <c r="Z47" s="57"/>
      <c r="AA47" s="57"/>
      <c r="AB47" s="58"/>
      <c r="AC47" s="16"/>
    </row>
    <row r="48" spans="1:29" ht="53.25" customHeight="1">
      <c r="A48" s="395"/>
      <c r="B48" s="398"/>
      <c r="C48" s="401"/>
      <c r="D48" s="401"/>
      <c r="E48" s="507"/>
      <c r="F48" s="437" t="s">
        <v>74</v>
      </c>
      <c r="G48" s="616"/>
      <c r="H48" s="392"/>
      <c r="I48" s="605"/>
      <c r="J48" s="38" t="s">
        <v>46</v>
      </c>
      <c r="K48" s="67">
        <f>L48+N48</f>
        <v>0</v>
      </c>
      <c r="L48" s="55"/>
      <c r="M48" s="55"/>
      <c r="N48" s="60"/>
      <c r="O48" s="265">
        <f>P48+R48</f>
        <v>3585.1</v>
      </c>
      <c r="P48" s="262"/>
      <c r="Q48" s="262"/>
      <c r="R48" s="308">
        <v>3585.1</v>
      </c>
      <c r="S48" s="91">
        <f>T48+V48</f>
        <v>0</v>
      </c>
      <c r="T48" s="92"/>
      <c r="U48" s="92"/>
      <c r="V48" s="93">
        <v>0</v>
      </c>
      <c r="W48" s="373">
        <v>3754</v>
      </c>
      <c r="X48" s="374">
        <v>3754</v>
      </c>
      <c r="Y48" s="275" t="s">
        <v>144</v>
      </c>
      <c r="Z48" s="276">
        <v>100</v>
      </c>
      <c r="AA48" s="276"/>
      <c r="AB48" s="277"/>
      <c r="AC48" s="16"/>
    </row>
    <row r="49" spans="1:29" ht="24.75" customHeight="1">
      <c r="A49" s="395"/>
      <c r="B49" s="398"/>
      <c r="C49" s="401"/>
      <c r="D49" s="401"/>
      <c r="E49" s="507"/>
      <c r="F49" s="438"/>
      <c r="G49" s="616"/>
      <c r="H49" s="392"/>
      <c r="I49" s="605"/>
      <c r="J49" s="38" t="s">
        <v>59</v>
      </c>
      <c r="K49" s="32">
        <f>L49+N49</f>
        <v>4333.3</v>
      </c>
      <c r="L49" s="29"/>
      <c r="M49" s="29"/>
      <c r="N49" s="61">
        <v>4333.3</v>
      </c>
      <c r="O49" s="32">
        <f>P49+R49</f>
        <v>4171.7</v>
      </c>
      <c r="P49" s="29"/>
      <c r="Q49" s="29"/>
      <c r="R49" s="375">
        <v>4171.7</v>
      </c>
      <c r="S49" s="80">
        <f>T49+V49</f>
        <v>0</v>
      </c>
      <c r="T49" s="84"/>
      <c r="U49" s="84"/>
      <c r="V49" s="85">
        <v>0</v>
      </c>
      <c r="W49" s="373">
        <v>4250</v>
      </c>
      <c r="X49" s="374">
        <v>4250</v>
      </c>
      <c r="Y49" s="498" t="s">
        <v>135</v>
      </c>
      <c r="Z49" s="43"/>
      <c r="AA49" s="43">
        <v>40</v>
      </c>
      <c r="AB49" s="44">
        <v>100</v>
      </c>
      <c r="AC49" s="16"/>
    </row>
    <row r="50" spans="1:29" ht="26.25" customHeight="1" thickBot="1">
      <c r="A50" s="396"/>
      <c r="B50" s="399"/>
      <c r="C50" s="402"/>
      <c r="D50" s="402"/>
      <c r="E50" s="508"/>
      <c r="F50" s="439"/>
      <c r="G50" s="617"/>
      <c r="H50" s="393"/>
      <c r="I50" s="606"/>
      <c r="J50" s="94" t="s">
        <v>9</v>
      </c>
      <c r="K50" s="99">
        <f t="shared" ref="K50:X50" si="12">SUM(K47:K49)</f>
        <v>6597.2000000000007</v>
      </c>
      <c r="L50" s="87">
        <f t="shared" si="12"/>
        <v>0</v>
      </c>
      <c r="M50" s="87">
        <f t="shared" si="12"/>
        <v>0</v>
      </c>
      <c r="N50" s="98">
        <f t="shared" si="12"/>
        <v>6597.2000000000007</v>
      </c>
      <c r="O50" s="86">
        <f>SUM(O47:O49)</f>
        <v>8280</v>
      </c>
      <c r="P50" s="87">
        <f t="shared" si="12"/>
        <v>0</v>
      </c>
      <c r="Q50" s="87">
        <f t="shared" si="12"/>
        <v>0</v>
      </c>
      <c r="R50" s="98">
        <f t="shared" si="12"/>
        <v>8280</v>
      </c>
      <c r="S50" s="86">
        <f t="shared" si="12"/>
        <v>0</v>
      </c>
      <c r="T50" s="87">
        <f t="shared" si="12"/>
        <v>0</v>
      </c>
      <c r="U50" s="87">
        <f t="shared" si="12"/>
        <v>0</v>
      </c>
      <c r="V50" s="132">
        <f t="shared" si="12"/>
        <v>0</v>
      </c>
      <c r="W50" s="95">
        <f>SUM(W47:W49)</f>
        <v>8004</v>
      </c>
      <c r="X50" s="166">
        <f t="shared" si="12"/>
        <v>8004</v>
      </c>
      <c r="Y50" s="499"/>
      <c r="Z50" s="101"/>
      <c r="AA50" s="101"/>
      <c r="AB50" s="100"/>
      <c r="AC50" s="16"/>
    </row>
    <row r="51" spans="1:29" ht="14.25" customHeight="1">
      <c r="A51" s="394" t="s">
        <v>10</v>
      </c>
      <c r="B51" s="397" t="s">
        <v>8</v>
      </c>
      <c r="C51" s="489" t="s">
        <v>10</v>
      </c>
      <c r="D51" s="489"/>
      <c r="E51" s="492" t="s">
        <v>147</v>
      </c>
      <c r="F51" s="142" t="s">
        <v>63</v>
      </c>
      <c r="G51" s="615" t="s">
        <v>50</v>
      </c>
      <c r="H51" s="391" t="s">
        <v>61</v>
      </c>
      <c r="I51" s="604" t="s">
        <v>95</v>
      </c>
      <c r="J51" s="17" t="s">
        <v>46</v>
      </c>
      <c r="K51" s="24"/>
      <c r="L51" s="25"/>
      <c r="M51" s="25"/>
      <c r="N51" s="26"/>
      <c r="O51" s="24">
        <f>R51</f>
        <v>50</v>
      </c>
      <c r="P51" s="25"/>
      <c r="Q51" s="25"/>
      <c r="R51" s="27">
        <v>50</v>
      </c>
      <c r="S51" s="249"/>
      <c r="T51" s="89"/>
      <c r="U51" s="89"/>
      <c r="V51" s="90"/>
      <c r="W51" s="56"/>
      <c r="X51" s="56"/>
      <c r="Y51" s="279" t="s">
        <v>113</v>
      </c>
      <c r="Z51" s="47">
        <v>1</v>
      </c>
      <c r="AA51" s="47"/>
      <c r="AB51" s="48"/>
      <c r="AC51" s="16"/>
    </row>
    <row r="52" spans="1:29" ht="14.25" customHeight="1">
      <c r="A52" s="395"/>
      <c r="B52" s="398"/>
      <c r="C52" s="490"/>
      <c r="D52" s="490"/>
      <c r="E52" s="493"/>
      <c r="F52" s="510" t="s">
        <v>139</v>
      </c>
      <c r="G52" s="616"/>
      <c r="H52" s="392"/>
      <c r="I52" s="605"/>
      <c r="J52" s="40" t="s">
        <v>58</v>
      </c>
      <c r="K52" s="126"/>
      <c r="L52" s="127"/>
      <c r="M52" s="127"/>
      <c r="N52" s="128"/>
      <c r="O52" s="59"/>
      <c r="P52" s="29"/>
      <c r="Q52" s="29"/>
      <c r="R52" s="61"/>
      <c r="S52" s="250"/>
      <c r="T52" s="84"/>
      <c r="U52" s="84"/>
      <c r="V52" s="85"/>
      <c r="W52" s="376">
        <v>178.4</v>
      </c>
      <c r="X52" s="376">
        <v>178.4</v>
      </c>
      <c r="Y52" s="280" t="s">
        <v>112</v>
      </c>
      <c r="Z52" s="259"/>
      <c r="AA52" s="49">
        <v>50</v>
      </c>
      <c r="AB52" s="257">
        <v>50</v>
      </c>
      <c r="AC52" s="16"/>
    </row>
    <row r="53" spans="1:29" ht="15" customHeight="1">
      <c r="A53" s="395"/>
      <c r="B53" s="398"/>
      <c r="C53" s="490"/>
      <c r="D53" s="490"/>
      <c r="E53" s="493"/>
      <c r="F53" s="511"/>
      <c r="G53" s="616"/>
      <c r="H53" s="392"/>
      <c r="I53" s="605"/>
      <c r="J53" s="40" t="s">
        <v>59</v>
      </c>
      <c r="K53" s="129"/>
      <c r="L53" s="130"/>
      <c r="M53" s="130"/>
      <c r="N53" s="131"/>
      <c r="O53" s="66"/>
      <c r="P53" s="33"/>
      <c r="Q53" s="33"/>
      <c r="R53" s="68"/>
      <c r="S53" s="83"/>
      <c r="T53" s="81"/>
      <c r="U53" s="81"/>
      <c r="V53" s="82"/>
      <c r="W53" s="373">
        <v>2021.2</v>
      </c>
      <c r="X53" s="373">
        <v>2021.2</v>
      </c>
      <c r="Y53" s="271"/>
      <c r="Z53" s="259"/>
      <c r="AA53" s="49"/>
      <c r="AB53" s="257"/>
      <c r="AC53" s="16"/>
    </row>
    <row r="54" spans="1:29" ht="16.5" customHeight="1">
      <c r="A54" s="395"/>
      <c r="B54" s="398"/>
      <c r="C54" s="490"/>
      <c r="D54" s="490"/>
      <c r="E54" s="493"/>
      <c r="F54" s="511"/>
      <c r="G54" s="616"/>
      <c r="H54" s="392"/>
      <c r="I54" s="605"/>
      <c r="J54" s="264" t="s">
        <v>104</v>
      </c>
      <c r="K54" s="265"/>
      <c r="L54" s="262"/>
      <c r="M54" s="262"/>
      <c r="N54" s="266"/>
      <c r="O54" s="59"/>
      <c r="P54" s="267"/>
      <c r="Q54" s="267"/>
      <c r="R54" s="60"/>
      <c r="S54" s="250"/>
      <c r="T54" s="92"/>
      <c r="U54" s="92"/>
      <c r="V54" s="93"/>
      <c r="W54" s="376">
        <v>178.4</v>
      </c>
      <c r="X54" s="376">
        <v>178.4</v>
      </c>
      <c r="Y54" s="281"/>
      <c r="Z54" s="259"/>
      <c r="AA54" s="49"/>
      <c r="AB54" s="257"/>
      <c r="AC54" s="16"/>
    </row>
    <row r="55" spans="1:29" ht="18.75" customHeight="1" thickBot="1">
      <c r="A55" s="396"/>
      <c r="B55" s="399"/>
      <c r="C55" s="491"/>
      <c r="D55" s="491"/>
      <c r="E55" s="494"/>
      <c r="F55" s="512"/>
      <c r="G55" s="617"/>
      <c r="H55" s="393"/>
      <c r="I55" s="606"/>
      <c r="J55" s="97" t="s">
        <v>9</v>
      </c>
      <c r="K55" s="263">
        <f>SUM(K51:K54)</f>
        <v>0</v>
      </c>
      <c r="L55" s="263">
        <f t="shared" ref="L55:X55" si="13">SUM(L51:L54)</f>
        <v>0</v>
      </c>
      <c r="M55" s="263">
        <f t="shared" si="13"/>
        <v>0</v>
      </c>
      <c r="N55" s="263">
        <f t="shared" si="13"/>
        <v>0</v>
      </c>
      <c r="O55" s="263">
        <f t="shared" si="13"/>
        <v>50</v>
      </c>
      <c r="P55" s="263">
        <f t="shared" si="13"/>
        <v>0</v>
      </c>
      <c r="Q55" s="263">
        <f t="shared" si="13"/>
        <v>0</v>
      </c>
      <c r="R55" s="263">
        <f t="shared" si="13"/>
        <v>50</v>
      </c>
      <c r="S55" s="263">
        <f t="shared" si="13"/>
        <v>0</v>
      </c>
      <c r="T55" s="263">
        <f t="shared" si="13"/>
        <v>0</v>
      </c>
      <c r="U55" s="263">
        <f t="shared" si="13"/>
        <v>0</v>
      </c>
      <c r="V55" s="263">
        <f t="shared" si="13"/>
        <v>0</v>
      </c>
      <c r="W55" s="263">
        <f t="shared" si="13"/>
        <v>2378</v>
      </c>
      <c r="X55" s="263">
        <f t="shared" si="13"/>
        <v>2378</v>
      </c>
      <c r="Y55" s="39"/>
      <c r="Z55" s="278"/>
      <c r="AA55" s="50"/>
      <c r="AB55" s="282"/>
      <c r="AC55" s="16"/>
    </row>
    <row r="56" spans="1:29" ht="37.5" customHeight="1">
      <c r="A56" s="609" t="s">
        <v>10</v>
      </c>
      <c r="B56" s="612" t="s">
        <v>8</v>
      </c>
      <c r="C56" s="489" t="s">
        <v>48</v>
      </c>
      <c r="D56" s="489"/>
      <c r="E56" s="620" t="s">
        <v>64</v>
      </c>
      <c r="F56" s="141" t="s">
        <v>63</v>
      </c>
      <c r="G56" s="615" t="s">
        <v>49</v>
      </c>
      <c r="H56" s="626" t="s">
        <v>61</v>
      </c>
      <c r="I56" s="604" t="s">
        <v>95</v>
      </c>
      <c r="J56" s="40" t="s">
        <v>58</v>
      </c>
      <c r="K56" s="126">
        <f>L56+N56</f>
        <v>681.90000000000009</v>
      </c>
      <c r="L56" s="127"/>
      <c r="M56" s="127"/>
      <c r="N56" s="128">
        <f>129.8+552.1</f>
        <v>681.90000000000009</v>
      </c>
      <c r="O56" s="24"/>
      <c r="P56" s="25"/>
      <c r="Q56" s="25"/>
      <c r="R56" s="27"/>
      <c r="S56" s="88"/>
      <c r="T56" s="89"/>
      <c r="U56" s="89"/>
      <c r="V56" s="90"/>
      <c r="W56" s="56"/>
      <c r="X56" s="268"/>
      <c r="Y56" s="258"/>
      <c r="Z56" s="57"/>
      <c r="AA56" s="57"/>
      <c r="AB56" s="58"/>
    </row>
    <row r="57" spans="1:29" ht="29.25" customHeight="1">
      <c r="A57" s="610"/>
      <c r="B57" s="613"/>
      <c r="C57" s="490"/>
      <c r="D57" s="490"/>
      <c r="E57" s="621"/>
      <c r="F57" s="607"/>
      <c r="G57" s="616"/>
      <c r="H57" s="579"/>
      <c r="I57" s="605"/>
      <c r="J57" s="40" t="s">
        <v>59</v>
      </c>
      <c r="K57" s="129">
        <f>L57+N57</f>
        <v>488.7</v>
      </c>
      <c r="L57" s="130"/>
      <c r="M57" s="130"/>
      <c r="N57" s="131">
        <v>488.7</v>
      </c>
      <c r="O57" s="66"/>
      <c r="P57" s="33"/>
      <c r="Q57" s="33"/>
      <c r="R57" s="34"/>
      <c r="S57" s="83"/>
      <c r="T57" s="81"/>
      <c r="U57" s="81"/>
      <c r="V57" s="82"/>
      <c r="W57" s="35"/>
      <c r="X57" s="272"/>
      <c r="Y57" s="602"/>
      <c r="Z57" s="596"/>
      <c r="AA57" s="596"/>
      <c r="AB57" s="629"/>
    </row>
    <row r="58" spans="1:29" ht="24.75" customHeight="1" thickBot="1">
      <c r="A58" s="611"/>
      <c r="B58" s="614"/>
      <c r="C58" s="491"/>
      <c r="D58" s="491"/>
      <c r="E58" s="622"/>
      <c r="F58" s="608"/>
      <c r="G58" s="617"/>
      <c r="H58" s="580"/>
      <c r="I58" s="606"/>
      <c r="J58" s="94" t="s">
        <v>9</v>
      </c>
      <c r="K58" s="99">
        <f>SUM(K56:K57)</f>
        <v>1170.6000000000001</v>
      </c>
      <c r="L58" s="87">
        <f>SUM(L56:L57)</f>
        <v>0</v>
      </c>
      <c r="M58" s="87">
        <f>SUM(M56:M57)</f>
        <v>0</v>
      </c>
      <c r="N58" s="132">
        <f>SUM(N56:N57)</f>
        <v>1170.6000000000001</v>
      </c>
      <c r="O58" s="99"/>
      <c r="P58" s="87"/>
      <c r="Q58" s="87"/>
      <c r="R58" s="98"/>
      <c r="S58" s="86"/>
      <c r="T58" s="87"/>
      <c r="U58" s="87"/>
      <c r="V58" s="132"/>
      <c r="W58" s="95"/>
      <c r="X58" s="166"/>
      <c r="Y58" s="603"/>
      <c r="Z58" s="597"/>
      <c r="AA58" s="597"/>
      <c r="AB58" s="630"/>
      <c r="AC58" s="16"/>
    </row>
    <row r="59" spans="1:29" ht="14.25" customHeight="1">
      <c r="A59" s="394" t="s">
        <v>10</v>
      </c>
      <c r="B59" s="397" t="s">
        <v>8</v>
      </c>
      <c r="C59" s="489" t="s">
        <v>49</v>
      </c>
      <c r="D59" s="489"/>
      <c r="E59" s="492" t="s">
        <v>62</v>
      </c>
      <c r="F59" s="142" t="s">
        <v>63</v>
      </c>
      <c r="G59" s="615" t="s">
        <v>50</v>
      </c>
      <c r="H59" s="391" t="s">
        <v>61</v>
      </c>
      <c r="I59" s="604" t="s">
        <v>95</v>
      </c>
      <c r="J59" s="17" t="s">
        <v>46</v>
      </c>
      <c r="K59" s="24">
        <f>L59+N59</f>
        <v>0</v>
      </c>
      <c r="L59" s="25"/>
      <c r="M59" s="25"/>
      <c r="N59" s="26"/>
      <c r="O59" s="24"/>
      <c r="P59" s="25"/>
      <c r="Q59" s="25"/>
      <c r="R59" s="27"/>
      <c r="S59" s="249"/>
      <c r="T59" s="89"/>
      <c r="U59" s="89"/>
      <c r="V59" s="90"/>
      <c r="W59" s="56"/>
      <c r="X59" s="268"/>
      <c r="Y59" s="468"/>
      <c r="Z59" s="47"/>
      <c r="AA59" s="47"/>
      <c r="AB59" s="48"/>
      <c r="AC59" s="16"/>
    </row>
    <row r="60" spans="1:29" ht="14.25" customHeight="1">
      <c r="A60" s="395"/>
      <c r="B60" s="398"/>
      <c r="C60" s="490"/>
      <c r="D60" s="490"/>
      <c r="E60" s="493"/>
      <c r="F60" s="510" t="s">
        <v>75</v>
      </c>
      <c r="G60" s="616"/>
      <c r="H60" s="392"/>
      <c r="I60" s="605"/>
      <c r="J60" s="40" t="s">
        <v>58</v>
      </c>
      <c r="K60" s="126">
        <f>L60+N60</f>
        <v>43.5</v>
      </c>
      <c r="L60" s="127"/>
      <c r="M60" s="127"/>
      <c r="N60" s="128">
        <v>43.5</v>
      </c>
      <c r="O60" s="59"/>
      <c r="P60" s="29"/>
      <c r="Q60" s="29"/>
      <c r="R60" s="61"/>
      <c r="S60" s="250"/>
      <c r="T60" s="84"/>
      <c r="U60" s="84"/>
      <c r="V60" s="85"/>
      <c r="W60" s="62"/>
      <c r="X60" s="273"/>
      <c r="Y60" s="469"/>
      <c r="Z60" s="114"/>
      <c r="AA60" s="49"/>
      <c r="AB60" s="112"/>
      <c r="AC60" s="16"/>
    </row>
    <row r="61" spans="1:29" ht="16.5" customHeight="1">
      <c r="A61" s="395"/>
      <c r="B61" s="398"/>
      <c r="C61" s="490"/>
      <c r="D61" s="490"/>
      <c r="E61" s="493"/>
      <c r="F61" s="511"/>
      <c r="G61" s="616"/>
      <c r="H61" s="392"/>
      <c r="I61" s="605"/>
      <c r="J61" s="40" t="s">
        <v>59</v>
      </c>
      <c r="K61" s="129">
        <f>L61+N61</f>
        <v>58</v>
      </c>
      <c r="L61" s="130"/>
      <c r="M61" s="130"/>
      <c r="N61" s="131">
        <v>58</v>
      </c>
      <c r="O61" s="66"/>
      <c r="P61" s="33"/>
      <c r="Q61" s="33"/>
      <c r="R61" s="68"/>
      <c r="S61" s="83"/>
      <c r="T61" s="81"/>
      <c r="U61" s="81"/>
      <c r="V61" s="82"/>
      <c r="W61" s="35"/>
      <c r="X61" s="272"/>
      <c r="Y61" s="598"/>
      <c r="Z61" s="114"/>
      <c r="AA61" s="49"/>
      <c r="AB61" s="112"/>
      <c r="AC61" s="16"/>
    </row>
    <row r="62" spans="1:29" ht="21.75" customHeight="1" thickBot="1">
      <c r="A62" s="396"/>
      <c r="B62" s="399"/>
      <c r="C62" s="491"/>
      <c r="D62" s="491"/>
      <c r="E62" s="494"/>
      <c r="F62" s="512"/>
      <c r="G62" s="617"/>
      <c r="H62" s="393"/>
      <c r="I62" s="606"/>
      <c r="J62" s="97" t="s">
        <v>9</v>
      </c>
      <c r="K62" s="99">
        <f t="shared" ref="K62:N62" si="14">SUM(K59:K61)</f>
        <v>101.5</v>
      </c>
      <c r="L62" s="87">
        <f t="shared" si="14"/>
        <v>0</v>
      </c>
      <c r="M62" s="87">
        <f t="shared" si="14"/>
        <v>0</v>
      </c>
      <c r="N62" s="132">
        <f t="shared" si="14"/>
        <v>101.5</v>
      </c>
      <c r="O62" s="99"/>
      <c r="P62" s="87"/>
      <c r="Q62" s="87"/>
      <c r="R62" s="98"/>
      <c r="S62" s="86"/>
      <c r="T62" s="87"/>
      <c r="U62" s="87"/>
      <c r="V62" s="132"/>
      <c r="W62" s="95"/>
      <c r="X62" s="166"/>
      <c r="Y62" s="39"/>
      <c r="Z62" s="115"/>
      <c r="AA62" s="50"/>
      <c r="AB62" s="113"/>
      <c r="AC62" s="16"/>
    </row>
    <row r="63" spans="1:29" ht="15.75" customHeight="1" thickBot="1">
      <c r="A63" s="123" t="s">
        <v>10</v>
      </c>
      <c r="B63" s="21" t="s">
        <v>8</v>
      </c>
      <c r="C63" s="509" t="s">
        <v>11</v>
      </c>
      <c r="D63" s="440"/>
      <c r="E63" s="440"/>
      <c r="F63" s="440"/>
      <c r="G63" s="440"/>
      <c r="H63" s="440"/>
      <c r="I63" s="440"/>
      <c r="J63" s="441"/>
      <c r="K63" s="36">
        <f>K62+K58+K55+K50</f>
        <v>7869.3000000000011</v>
      </c>
      <c r="L63" s="36">
        <f t="shared" ref="L63:X63" si="15">L62+L58+L55+L50</f>
        <v>0</v>
      </c>
      <c r="M63" s="36">
        <f t="shared" si="15"/>
        <v>0</v>
      </c>
      <c r="N63" s="229">
        <f t="shared" si="15"/>
        <v>7869.3000000000011</v>
      </c>
      <c r="O63" s="252">
        <f>O62+O58+O55+O50</f>
        <v>8330</v>
      </c>
      <c r="P63" s="36">
        <f t="shared" si="15"/>
        <v>0</v>
      </c>
      <c r="Q63" s="36">
        <f t="shared" si="15"/>
        <v>0</v>
      </c>
      <c r="R63" s="253">
        <f t="shared" si="15"/>
        <v>8330</v>
      </c>
      <c r="S63" s="36">
        <f t="shared" si="15"/>
        <v>0</v>
      </c>
      <c r="T63" s="36">
        <f t="shared" si="15"/>
        <v>0</v>
      </c>
      <c r="U63" s="36">
        <f t="shared" si="15"/>
        <v>0</v>
      </c>
      <c r="V63" s="229">
        <f t="shared" si="15"/>
        <v>0</v>
      </c>
      <c r="W63" s="230">
        <f t="shared" si="15"/>
        <v>10382</v>
      </c>
      <c r="X63" s="36">
        <f t="shared" si="15"/>
        <v>10382</v>
      </c>
      <c r="Y63" s="495"/>
      <c r="Z63" s="496"/>
      <c r="AA63" s="496"/>
      <c r="AB63" s="497"/>
    </row>
    <row r="64" spans="1:29" ht="15.75" customHeight="1" thickBot="1">
      <c r="A64" s="120" t="s">
        <v>10</v>
      </c>
      <c r="B64" s="434" t="s">
        <v>12</v>
      </c>
      <c r="C64" s="435"/>
      <c r="D64" s="435"/>
      <c r="E64" s="435"/>
      <c r="F64" s="435"/>
      <c r="G64" s="435"/>
      <c r="H64" s="435"/>
      <c r="I64" s="435"/>
      <c r="J64" s="436"/>
      <c r="K64" s="124">
        <f t="shared" ref="K64:X64" si="16">SUM(K63)</f>
        <v>7869.3000000000011</v>
      </c>
      <c r="L64" s="124">
        <f t="shared" si="16"/>
        <v>0</v>
      </c>
      <c r="M64" s="124">
        <f t="shared" si="16"/>
        <v>0</v>
      </c>
      <c r="N64" s="247">
        <f t="shared" si="16"/>
        <v>7869.3000000000011</v>
      </c>
      <c r="O64" s="254">
        <f t="shared" si="16"/>
        <v>8330</v>
      </c>
      <c r="P64" s="124">
        <f t="shared" si="16"/>
        <v>0</v>
      </c>
      <c r="Q64" s="124">
        <f t="shared" si="16"/>
        <v>0</v>
      </c>
      <c r="R64" s="255">
        <f t="shared" si="16"/>
        <v>8330</v>
      </c>
      <c r="S64" s="124">
        <f t="shared" si="16"/>
        <v>0</v>
      </c>
      <c r="T64" s="124">
        <f t="shared" si="16"/>
        <v>0</v>
      </c>
      <c r="U64" s="124">
        <f t="shared" si="16"/>
        <v>0</v>
      </c>
      <c r="V64" s="247">
        <f t="shared" si="16"/>
        <v>0</v>
      </c>
      <c r="W64" s="269">
        <f>SUM(W63)</f>
        <v>10382</v>
      </c>
      <c r="X64" s="124">
        <f t="shared" si="16"/>
        <v>10382</v>
      </c>
      <c r="Y64" s="484"/>
      <c r="Z64" s="485"/>
      <c r="AA64" s="485"/>
      <c r="AB64" s="486"/>
    </row>
    <row r="65" spans="1:48" ht="15.75" customHeight="1" thickBot="1">
      <c r="A65" s="63" t="s">
        <v>8</v>
      </c>
      <c r="B65" s="500" t="s">
        <v>36</v>
      </c>
      <c r="C65" s="501"/>
      <c r="D65" s="501"/>
      <c r="E65" s="501"/>
      <c r="F65" s="501"/>
      <c r="G65" s="501"/>
      <c r="H65" s="501"/>
      <c r="I65" s="501"/>
      <c r="J65" s="502"/>
      <c r="K65" s="64">
        <f t="shared" ref="K65:X65" si="17">SUM(K44,K64)</f>
        <v>8400.1</v>
      </c>
      <c r="L65" s="64">
        <f t="shared" si="17"/>
        <v>530.79999999999995</v>
      </c>
      <c r="M65" s="64">
        <f t="shared" si="17"/>
        <v>0</v>
      </c>
      <c r="N65" s="248">
        <f t="shared" si="17"/>
        <v>7869.3000000000011</v>
      </c>
      <c r="O65" s="64">
        <f t="shared" si="17"/>
        <v>10140.5</v>
      </c>
      <c r="P65" s="64">
        <f t="shared" si="17"/>
        <v>1810.5</v>
      </c>
      <c r="Q65" s="64">
        <f t="shared" si="17"/>
        <v>0</v>
      </c>
      <c r="R65" s="256">
        <f t="shared" si="17"/>
        <v>8330</v>
      </c>
      <c r="S65" s="251">
        <f t="shared" si="17"/>
        <v>0</v>
      </c>
      <c r="T65" s="64">
        <f t="shared" si="17"/>
        <v>0</v>
      </c>
      <c r="U65" s="64">
        <f t="shared" si="17"/>
        <v>0</v>
      </c>
      <c r="V65" s="248">
        <f t="shared" si="17"/>
        <v>0</v>
      </c>
      <c r="W65" s="256">
        <f t="shared" si="17"/>
        <v>11033.8</v>
      </c>
      <c r="X65" s="251">
        <f t="shared" si="17"/>
        <v>12298.8</v>
      </c>
      <c r="Y65" s="503"/>
      <c r="Z65" s="504"/>
      <c r="AA65" s="504"/>
      <c r="AB65" s="505"/>
    </row>
    <row r="66" spans="1:48" s="23" customFormat="1" ht="23.25" customHeight="1">
      <c r="A66" s="487" t="s">
        <v>149</v>
      </c>
      <c r="B66" s="487"/>
      <c r="C66" s="487"/>
      <c r="D66" s="487"/>
      <c r="E66" s="487"/>
      <c r="F66" s="487"/>
      <c r="G66" s="487"/>
      <c r="H66" s="487"/>
      <c r="I66" s="487"/>
      <c r="J66" s="487"/>
      <c r="K66" s="487"/>
      <c r="L66" s="487"/>
      <c r="M66" s="487"/>
      <c r="N66" s="487"/>
      <c r="O66" s="487"/>
      <c r="P66" s="487"/>
      <c r="Q66" s="487"/>
      <c r="R66" s="487"/>
      <c r="S66" s="487"/>
      <c r="T66" s="487"/>
      <c r="U66" s="487"/>
      <c r="V66" s="487"/>
      <c r="W66" s="487"/>
      <c r="X66" s="487"/>
      <c r="Y66" s="487"/>
      <c r="Z66" s="487"/>
      <c r="AA66" s="487"/>
      <c r="AB66" s="487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</row>
    <row r="67" spans="1:48" s="23" customFormat="1" ht="20.25" customHeight="1">
      <c r="A67" s="488"/>
      <c r="B67" s="488"/>
      <c r="C67" s="488"/>
      <c r="D67" s="488"/>
      <c r="E67" s="488"/>
      <c r="F67" s="488"/>
      <c r="G67" s="488"/>
      <c r="H67" s="488"/>
      <c r="I67" s="488"/>
      <c r="J67" s="488"/>
      <c r="K67" s="488"/>
      <c r="L67" s="488"/>
      <c r="M67" s="488"/>
      <c r="N67" s="488"/>
      <c r="O67" s="488"/>
      <c r="P67" s="488"/>
      <c r="Q67" s="488"/>
      <c r="R67" s="488"/>
      <c r="S67" s="488"/>
      <c r="T67" s="488"/>
      <c r="U67" s="488"/>
      <c r="V67" s="488"/>
      <c r="W67" s="488"/>
      <c r="X67" s="488"/>
      <c r="Y67" s="488"/>
      <c r="Z67" s="488"/>
      <c r="AA67" s="488"/>
      <c r="AB67" s="488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</row>
    <row r="68" spans="1:48" s="23" customFormat="1" ht="14.25" customHeight="1" thickBot="1">
      <c r="A68" s="427" t="s">
        <v>17</v>
      </c>
      <c r="B68" s="427"/>
      <c r="C68" s="427"/>
      <c r="D68" s="427"/>
      <c r="E68" s="427"/>
      <c r="F68" s="427"/>
      <c r="G68" s="427"/>
      <c r="H68" s="427"/>
      <c r="I68" s="427"/>
      <c r="J68" s="427"/>
      <c r="K68" s="427"/>
      <c r="L68" s="427"/>
      <c r="M68" s="427"/>
      <c r="N68" s="427"/>
      <c r="O68" s="427"/>
      <c r="P68" s="427"/>
      <c r="Q68" s="427"/>
      <c r="R68" s="427"/>
      <c r="S68" s="427"/>
      <c r="T68" s="427"/>
      <c r="U68" s="427"/>
      <c r="V68" s="427"/>
      <c r="W68" s="5"/>
      <c r="X68" s="6"/>
      <c r="Y68" s="7"/>
      <c r="Z68" s="7"/>
      <c r="AA68" s="7"/>
      <c r="AB68" s="7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</row>
    <row r="69" spans="1:48" ht="45" customHeight="1" thickBot="1">
      <c r="A69" s="428" t="s">
        <v>13</v>
      </c>
      <c r="B69" s="429"/>
      <c r="C69" s="429"/>
      <c r="D69" s="429"/>
      <c r="E69" s="429"/>
      <c r="F69" s="429"/>
      <c r="G69" s="429"/>
      <c r="H69" s="429"/>
      <c r="I69" s="429"/>
      <c r="J69" s="430"/>
      <c r="K69" s="590" t="s">
        <v>138</v>
      </c>
      <c r="L69" s="591"/>
      <c r="M69" s="591"/>
      <c r="N69" s="592"/>
      <c r="O69" s="590" t="s">
        <v>87</v>
      </c>
      <c r="P69" s="591"/>
      <c r="Q69" s="591"/>
      <c r="R69" s="592"/>
      <c r="S69" s="590" t="s">
        <v>88</v>
      </c>
      <c r="T69" s="591"/>
      <c r="U69" s="591"/>
      <c r="V69" s="592"/>
      <c r="W69" s="41" t="s">
        <v>90</v>
      </c>
      <c r="X69" s="41" t="s">
        <v>91</v>
      </c>
    </row>
    <row r="70" spans="1:48" ht="14.25" customHeight="1">
      <c r="A70" s="431" t="s">
        <v>18</v>
      </c>
      <c r="B70" s="432"/>
      <c r="C70" s="432"/>
      <c r="D70" s="432"/>
      <c r="E70" s="432"/>
      <c r="F70" s="432"/>
      <c r="G70" s="432"/>
      <c r="H70" s="432"/>
      <c r="I70" s="432"/>
      <c r="J70" s="433"/>
      <c r="K70" s="599">
        <f>SUM(K71:N73)</f>
        <v>3520.1000000000004</v>
      </c>
      <c r="L70" s="600"/>
      <c r="M70" s="600"/>
      <c r="N70" s="601"/>
      <c r="O70" s="599">
        <f>SUM(O71:R73)</f>
        <v>5968.8</v>
      </c>
      <c r="P70" s="600"/>
      <c r="Q70" s="600"/>
      <c r="R70" s="601"/>
      <c r="S70" s="599">
        <f>SUM(S71:V73)</f>
        <v>0</v>
      </c>
      <c r="T70" s="600"/>
      <c r="U70" s="600"/>
      <c r="V70" s="601"/>
      <c r="W70" s="378">
        <f>SUM(W71:W73)</f>
        <v>4584.2</v>
      </c>
      <c r="X70" s="378">
        <f>SUM(X71:X73)</f>
        <v>5849.2</v>
      </c>
    </row>
    <row r="71" spans="1:48" ht="14.25" customHeight="1">
      <c r="A71" s="421" t="s">
        <v>41</v>
      </c>
      <c r="B71" s="422"/>
      <c r="C71" s="422"/>
      <c r="D71" s="422"/>
      <c r="E71" s="422"/>
      <c r="F71" s="422"/>
      <c r="G71" s="422"/>
      <c r="H71" s="422"/>
      <c r="I71" s="422"/>
      <c r="J71" s="423"/>
      <c r="K71" s="569">
        <f>SUMIF(J12:J65,"SB",K12:K65)</f>
        <v>530.79999999999995</v>
      </c>
      <c r="L71" s="570"/>
      <c r="M71" s="570"/>
      <c r="N71" s="571"/>
      <c r="O71" s="569">
        <f>SUMIF(J12:J65,"SB",O12:O65)</f>
        <v>4945.6000000000004</v>
      </c>
      <c r="P71" s="570"/>
      <c r="Q71" s="570"/>
      <c r="R71" s="571"/>
      <c r="S71" s="569">
        <f>SUMIF(J12:J65,"SB",S12:S65)</f>
        <v>0</v>
      </c>
      <c r="T71" s="570"/>
      <c r="U71" s="570"/>
      <c r="V71" s="571"/>
      <c r="W71" s="379">
        <f>SUMIF(J12:J65,"SB",W12:W65)</f>
        <v>4405.8</v>
      </c>
      <c r="X71" s="379">
        <f>SUMIF(J12:J65,"SB",X12:X65)</f>
        <v>5670.8</v>
      </c>
    </row>
    <row r="72" spans="1:48" ht="14.25" customHeight="1">
      <c r="A72" s="424" t="s">
        <v>121</v>
      </c>
      <c r="B72" s="425"/>
      <c r="C72" s="425"/>
      <c r="D72" s="425"/>
      <c r="E72" s="425"/>
      <c r="F72" s="425"/>
      <c r="G72" s="425"/>
      <c r="H72" s="425"/>
      <c r="I72" s="425"/>
      <c r="J72" s="426"/>
      <c r="K72" s="569"/>
      <c r="L72" s="570"/>
      <c r="M72" s="570"/>
      <c r="N72" s="571"/>
      <c r="O72" s="569">
        <f>SUMIF(J12:J65,"SB(VB)",O12:O65)</f>
        <v>500</v>
      </c>
      <c r="P72" s="570"/>
      <c r="Q72" s="570"/>
      <c r="R72" s="571"/>
      <c r="S72" s="338"/>
      <c r="T72" s="339"/>
      <c r="U72" s="339"/>
      <c r="V72" s="340"/>
      <c r="W72" s="379"/>
      <c r="X72" s="379"/>
    </row>
    <row r="73" spans="1:48" ht="14.25" customHeight="1">
      <c r="A73" s="424" t="s">
        <v>42</v>
      </c>
      <c r="B73" s="425"/>
      <c r="C73" s="425"/>
      <c r="D73" s="425"/>
      <c r="E73" s="425"/>
      <c r="F73" s="425"/>
      <c r="G73" s="425"/>
      <c r="H73" s="425"/>
      <c r="I73" s="425"/>
      <c r="J73" s="426"/>
      <c r="K73" s="569">
        <f>SUMIF(J12:J65,"SB(P)",K12:K65)</f>
        <v>2989.3</v>
      </c>
      <c r="L73" s="570"/>
      <c r="M73" s="570"/>
      <c r="N73" s="571"/>
      <c r="O73" s="569">
        <f>SUMIF(J12:J65,"SB(P)",O12:O65)</f>
        <v>523.20000000000005</v>
      </c>
      <c r="P73" s="570"/>
      <c r="Q73" s="570"/>
      <c r="R73" s="571"/>
      <c r="S73" s="569">
        <f>SUMIF(J12:J65,"SB(P)",S12:S65)</f>
        <v>0</v>
      </c>
      <c r="T73" s="570"/>
      <c r="U73" s="570"/>
      <c r="V73" s="571"/>
      <c r="W73" s="379">
        <f>SUMIF(J12:J65,"SB(P)",W12:W65)</f>
        <v>178.4</v>
      </c>
      <c r="X73" s="379">
        <f>SUMIF(J12:J65,"SB(P)",X12:X65)</f>
        <v>178.4</v>
      </c>
      <c r="Y73" s="76"/>
    </row>
    <row r="74" spans="1:48" ht="14.25" customHeight="1">
      <c r="A74" s="418" t="s">
        <v>19</v>
      </c>
      <c r="B74" s="419"/>
      <c r="C74" s="419"/>
      <c r="D74" s="419"/>
      <c r="E74" s="419"/>
      <c r="F74" s="419"/>
      <c r="G74" s="419"/>
      <c r="H74" s="419"/>
      <c r="I74" s="419"/>
      <c r="J74" s="420"/>
      <c r="K74" s="593">
        <f>SUM(K75:N77)</f>
        <v>4880</v>
      </c>
      <c r="L74" s="594"/>
      <c r="M74" s="594"/>
      <c r="N74" s="595"/>
      <c r="O74" s="593">
        <f>SUM(O75:R77)</f>
        <v>4171.7</v>
      </c>
      <c r="P74" s="594"/>
      <c r="Q74" s="594"/>
      <c r="R74" s="595"/>
      <c r="S74" s="593">
        <f>SUM(S75:V77)</f>
        <v>0</v>
      </c>
      <c r="T74" s="594"/>
      <c r="U74" s="594"/>
      <c r="V74" s="595"/>
      <c r="W74" s="380">
        <f>SUM(W75:W77)</f>
        <v>6449.5999999999995</v>
      </c>
      <c r="X74" s="380">
        <f>SUM(X75:X77)</f>
        <v>6449.5999999999995</v>
      </c>
    </row>
    <row r="75" spans="1:48" ht="18.75" customHeight="1">
      <c r="A75" s="415" t="s">
        <v>109</v>
      </c>
      <c r="B75" s="416"/>
      <c r="C75" s="416"/>
      <c r="D75" s="416"/>
      <c r="E75" s="416"/>
      <c r="F75" s="416"/>
      <c r="G75" s="416"/>
      <c r="H75" s="416"/>
      <c r="I75" s="416"/>
      <c r="J75" s="417"/>
      <c r="K75" s="569">
        <f>SUMIF(J11:J64,"KVJUD",K11:K64)</f>
        <v>0</v>
      </c>
      <c r="L75" s="570"/>
      <c r="M75" s="570"/>
      <c r="N75" s="571"/>
      <c r="O75" s="569">
        <f>SUMIF(J11:J65,"KVJUD",O11:O65)</f>
        <v>0</v>
      </c>
      <c r="P75" s="570"/>
      <c r="Q75" s="570"/>
      <c r="R75" s="571"/>
      <c r="S75" s="569">
        <f>SUMIF(J12:J64,"KVJUD",S12:S64)</f>
        <v>0</v>
      </c>
      <c r="T75" s="570"/>
      <c r="U75" s="570"/>
      <c r="V75" s="571"/>
      <c r="W75" s="379">
        <f>SUMIF(J11:J64,"KVJUD",W11:W64)</f>
        <v>0</v>
      </c>
      <c r="X75" s="379">
        <f>SUMIF(J11:J64,"KVJUD",X11:X64)</f>
        <v>0</v>
      </c>
    </row>
    <row r="76" spans="1:48" ht="18.75" customHeight="1">
      <c r="A76" s="415" t="s">
        <v>110</v>
      </c>
      <c r="B76" s="416"/>
      <c r="C76" s="416"/>
      <c r="D76" s="416"/>
      <c r="E76" s="416"/>
      <c r="F76" s="416"/>
      <c r="G76" s="416"/>
      <c r="H76" s="416"/>
      <c r="I76" s="416"/>
      <c r="J76" s="417"/>
      <c r="K76" s="569">
        <f>SUMIF(J11:J64,"LRVB",K11:K64)</f>
        <v>0</v>
      </c>
      <c r="L76" s="570"/>
      <c r="M76" s="570"/>
      <c r="N76" s="571"/>
      <c r="O76" s="569">
        <f>SUMIF(J11:J64,"LRVB",O11:O64)</f>
        <v>0</v>
      </c>
      <c r="P76" s="570"/>
      <c r="Q76" s="570"/>
      <c r="R76" s="571"/>
      <c r="S76" s="569">
        <f>SUMIF(J11:J64,"LRVB",S11:S64)</f>
        <v>0</v>
      </c>
      <c r="T76" s="570"/>
      <c r="U76" s="570"/>
      <c r="V76" s="571"/>
      <c r="W76" s="379">
        <f>SUMIF(J12:J64,"LRVB",W12:W64)</f>
        <v>178.4</v>
      </c>
      <c r="X76" s="379">
        <f>SUMIF(J12:J65,"LRVB",X12:X65)</f>
        <v>178.4</v>
      </c>
    </row>
    <row r="77" spans="1:48" ht="18.75" customHeight="1">
      <c r="A77" s="415" t="s">
        <v>43</v>
      </c>
      <c r="B77" s="416"/>
      <c r="C77" s="416"/>
      <c r="D77" s="416"/>
      <c r="E77" s="416"/>
      <c r="F77" s="416"/>
      <c r="G77" s="416"/>
      <c r="H77" s="416"/>
      <c r="I77" s="416"/>
      <c r="J77" s="417"/>
      <c r="K77" s="569">
        <f>SUMIF(J12:J65,"ES",K12:K65)</f>
        <v>4880</v>
      </c>
      <c r="L77" s="570"/>
      <c r="M77" s="570"/>
      <c r="N77" s="571"/>
      <c r="O77" s="569">
        <f>SUMIF(J12:J65,"ES",O12:O65)</f>
        <v>4171.7</v>
      </c>
      <c r="P77" s="570"/>
      <c r="Q77" s="570"/>
      <c r="R77" s="571"/>
      <c r="S77" s="569">
        <f>SUMIF(J12:J65,"ES",S12:S65)</f>
        <v>0</v>
      </c>
      <c r="T77" s="570"/>
      <c r="U77" s="570"/>
      <c r="V77" s="571"/>
      <c r="W77" s="379">
        <f>SUMIF(J12:J65,"ES",W12:W65)</f>
        <v>6271.2</v>
      </c>
      <c r="X77" s="379">
        <f>SUMIF(J12:J65,"ES",X12:X65)</f>
        <v>6271.2</v>
      </c>
    </row>
    <row r="78" spans="1:48" ht="14.25" customHeight="1" thickBot="1">
      <c r="A78" s="409" t="s">
        <v>20</v>
      </c>
      <c r="B78" s="410"/>
      <c r="C78" s="410"/>
      <c r="D78" s="410"/>
      <c r="E78" s="410"/>
      <c r="F78" s="410"/>
      <c r="G78" s="410"/>
      <c r="H78" s="410"/>
      <c r="I78" s="410"/>
      <c r="J78" s="411"/>
      <c r="K78" s="566">
        <f>SUM(K70,K74)</f>
        <v>8400.1</v>
      </c>
      <c r="L78" s="567"/>
      <c r="M78" s="567"/>
      <c r="N78" s="568"/>
      <c r="O78" s="566">
        <f>SUM(O70,O74)</f>
        <v>10140.5</v>
      </c>
      <c r="P78" s="567"/>
      <c r="Q78" s="567"/>
      <c r="R78" s="568"/>
      <c r="S78" s="566">
        <f>SUM(S70,S74)</f>
        <v>0</v>
      </c>
      <c r="T78" s="567"/>
      <c r="U78" s="567"/>
      <c r="V78" s="568"/>
      <c r="W78" s="381">
        <f>SUM(W70,W74)</f>
        <v>11033.8</v>
      </c>
      <c r="X78" s="381">
        <f>SUM(X70,X74)</f>
        <v>12298.8</v>
      </c>
    </row>
    <row r="79" spans="1:48">
      <c r="N79" s="111" t="s">
        <v>141</v>
      </c>
      <c r="O79" s="111"/>
      <c r="P79" s="559">
        <f>O78/3.4528*1000</f>
        <v>2936891.7979610753</v>
      </c>
      <c r="Q79" s="560"/>
      <c r="R79" s="377"/>
      <c r="S79" s="377">
        <f t="shared" ref="S79:V79" si="18">R78/3.4528</f>
        <v>0</v>
      </c>
      <c r="T79" s="377">
        <f t="shared" si="18"/>
        <v>0</v>
      </c>
      <c r="U79" s="377">
        <f t="shared" si="18"/>
        <v>0</v>
      </c>
      <c r="V79" s="377">
        <f t="shared" si="18"/>
        <v>0</v>
      </c>
      <c r="W79" s="377">
        <f>W78/3.4528*1000</f>
        <v>3195609.3605189989</v>
      </c>
      <c r="X79" s="377">
        <f>X78/3.4528*1000</f>
        <v>3561978.6839666357</v>
      </c>
    </row>
    <row r="81" spans="23:23">
      <c r="W81" s="270"/>
    </row>
  </sheetData>
  <mergeCells count="200">
    <mergeCell ref="A68:V68"/>
    <mergeCell ref="A69:J69"/>
    <mergeCell ref="H47:H50"/>
    <mergeCell ref="A72:J72"/>
    <mergeCell ref="K72:N72"/>
    <mergeCell ref="O72:R72"/>
    <mergeCell ref="I41:I42"/>
    <mergeCell ref="A59:A62"/>
    <mergeCell ref="B59:B62"/>
    <mergeCell ref="C59:C62"/>
    <mergeCell ref="D59:D62"/>
    <mergeCell ref="E59:E62"/>
    <mergeCell ref="G59:G62"/>
    <mergeCell ref="H59:H62"/>
    <mergeCell ref="A66:AB66"/>
    <mergeCell ref="I59:I62"/>
    <mergeCell ref="S70:V70"/>
    <mergeCell ref="E41:E42"/>
    <mergeCell ref="F41:F42"/>
    <mergeCell ref="AB57:AB58"/>
    <mergeCell ref="Y49:Y50"/>
    <mergeCell ref="H56:H58"/>
    <mergeCell ref="K69:N69"/>
    <mergeCell ref="O69:R69"/>
    <mergeCell ref="A17:A25"/>
    <mergeCell ref="A31:A34"/>
    <mergeCell ref="C31:C34"/>
    <mergeCell ref="D31:D34"/>
    <mergeCell ref="E31:E34"/>
    <mergeCell ref="A35:A37"/>
    <mergeCell ref="B35:B37"/>
    <mergeCell ref="C35:C37"/>
    <mergeCell ref="H35:H37"/>
    <mergeCell ref="H31:H34"/>
    <mergeCell ref="D35:D37"/>
    <mergeCell ref="E35:E37"/>
    <mergeCell ref="F35:F37"/>
    <mergeCell ref="G35:G37"/>
    <mergeCell ref="B17:B25"/>
    <mergeCell ref="C17:C25"/>
    <mergeCell ref="D17:D25"/>
    <mergeCell ref="E17:E25"/>
    <mergeCell ref="F17:F25"/>
    <mergeCell ref="G17:G25"/>
    <mergeCell ref="H17:H25"/>
    <mergeCell ref="C29:J29"/>
    <mergeCell ref="I17:I25"/>
    <mergeCell ref="B31:B34"/>
    <mergeCell ref="Y24:Y25"/>
    <mergeCell ref="C30:AB30"/>
    <mergeCell ref="C47:C50"/>
    <mergeCell ref="D47:D50"/>
    <mergeCell ref="E47:E50"/>
    <mergeCell ref="C56:C58"/>
    <mergeCell ref="D56:D58"/>
    <mergeCell ref="E56:E58"/>
    <mergeCell ref="AB33:AB34"/>
    <mergeCell ref="I35:I37"/>
    <mergeCell ref="H26:H28"/>
    <mergeCell ref="I26:I28"/>
    <mergeCell ref="Y26:Y27"/>
    <mergeCell ref="G56:G58"/>
    <mergeCell ref="G47:G50"/>
    <mergeCell ref="B45:AB45"/>
    <mergeCell ref="C46:AB46"/>
    <mergeCell ref="Y43:AB43"/>
    <mergeCell ref="C43:J43"/>
    <mergeCell ref="I38:I40"/>
    <mergeCell ref="Y38:Y40"/>
    <mergeCell ref="H38:H40"/>
    <mergeCell ref="I47:I50"/>
    <mergeCell ref="B51:B55"/>
    <mergeCell ref="C51:C55"/>
    <mergeCell ref="D51:D55"/>
    <mergeCell ref="E51:E55"/>
    <mergeCell ref="G51:G55"/>
    <mergeCell ref="H51:H55"/>
    <mergeCell ref="I51:I55"/>
    <mergeCell ref="F52:F55"/>
    <mergeCell ref="A47:A50"/>
    <mergeCell ref="B47:B50"/>
    <mergeCell ref="Z33:Z34"/>
    <mergeCell ref="AA33:AA34"/>
    <mergeCell ref="I31:I34"/>
    <mergeCell ref="Y33:Y34"/>
    <mergeCell ref="F31:F34"/>
    <mergeCell ref="G31:G34"/>
    <mergeCell ref="E38:E40"/>
    <mergeCell ref="B44:J44"/>
    <mergeCell ref="Y44:AB44"/>
    <mergeCell ref="F38:F40"/>
    <mergeCell ref="AA57:AA58"/>
    <mergeCell ref="Y59:Y61"/>
    <mergeCell ref="F60:F62"/>
    <mergeCell ref="A71:J71"/>
    <mergeCell ref="S71:V71"/>
    <mergeCell ref="S73:V73"/>
    <mergeCell ref="A73:J73"/>
    <mergeCell ref="Y64:AB64"/>
    <mergeCell ref="B65:J65"/>
    <mergeCell ref="Y65:AB65"/>
    <mergeCell ref="B64:J64"/>
    <mergeCell ref="K70:N70"/>
    <mergeCell ref="Y63:AB63"/>
    <mergeCell ref="C63:J63"/>
    <mergeCell ref="Y57:Y58"/>
    <mergeCell ref="Z57:Z58"/>
    <mergeCell ref="I56:I58"/>
    <mergeCell ref="F57:F58"/>
    <mergeCell ref="A56:A58"/>
    <mergeCell ref="B56:B58"/>
    <mergeCell ref="A70:J70"/>
    <mergeCell ref="A67:AB67"/>
    <mergeCell ref="O70:R70"/>
    <mergeCell ref="S69:V69"/>
    <mergeCell ref="S78:V78"/>
    <mergeCell ref="A74:J74"/>
    <mergeCell ref="K74:N74"/>
    <mergeCell ref="O74:R74"/>
    <mergeCell ref="S74:V74"/>
    <mergeCell ref="A77:J77"/>
    <mergeCell ref="K77:N77"/>
    <mergeCell ref="O77:R77"/>
    <mergeCell ref="S77:V77"/>
    <mergeCell ref="A75:J75"/>
    <mergeCell ref="K75:N75"/>
    <mergeCell ref="O75:R75"/>
    <mergeCell ref="S75:V75"/>
    <mergeCell ref="A76:J76"/>
    <mergeCell ref="K76:N76"/>
    <mergeCell ref="O76:R76"/>
    <mergeCell ref="S76:V76"/>
    <mergeCell ref="A1:AB1"/>
    <mergeCell ref="A2:AB2"/>
    <mergeCell ref="A3:AB3"/>
    <mergeCell ref="Z4:AB4"/>
    <mergeCell ref="A5:A7"/>
    <mergeCell ref="B5:B7"/>
    <mergeCell ref="C5:C7"/>
    <mergeCell ref="W5:W7"/>
    <mergeCell ref="X5:X7"/>
    <mergeCell ref="E5:E7"/>
    <mergeCell ref="F5:F7"/>
    <mergeCell ref="G5:G7"/>
    <mergeCell ref="D5:D7"/>
    <mergeCell ref="P6:Q6"/>
    <mergeCell ref="R6:R7"/>
    <mergeCell ref="S6:S7"/>
    <mergeCell ref="H5:H7"/>
    <mergeCell ref="I5:I7"/>
    <mergeCell ref="J5:J7"/>
    <mergeCell ref="K5:N5"/>
    <mergeCell ref="O5:R5"/>
    <mergeCell ref="S5:V5"/>
    <mergeCell ref="T6:U6"/>
    <mergeCell ref="Y5:AB5"/>
    <mergeCell ref="K6:K7"/>
    <mergeCell ref="L6:M6"/>
    <mergeCell ref="N6:N7"/>
    <mergeCell ref="V6:V7"/>
    <mergeCell ref="Y6:Y7"/>
    <mergeCell ref="Z6:AB6"/>
    <mergeCell ref="O6:O7"/>
    <mergeCell ref="I12:I16"/>
    <mergeCell ref="H12:H16"/>
    <mergeCell ref="A8:AB8"/>
    <mergeCell ref="A9:AB9"/>
    <mergeCell ref="B10:AB10"/>
    <mergeCell ref="C11:AB11"/>
    <mergeCell ref="A12:A16"/>
    <mergeCell ref="B12:B16"/>
    <mergeCell ref="C12:C16"/>
    <mergeCell ref="E12:E16"/>
    <mergeCell ref="F12:F16"/>
    <mergeCell ref="G12:G16"/>
    <mergeCell ref="D12:D16"/>
    <mergeCell ref="P79:Q79"/>
    <mergeCell ref="F48:F50"/>
    <mergeCell ref="G41:G42"/>
    <mergeCell ref="H41:H42"/>
    <mergeCell ref="A26:A28"/>
    <mergeCell ref="B26:B28"/>
    <mergeCell ref="C26:C28"/>
    <mergeCell ref="D26:D28"/>
    <mergeCell ref="E26:E28"/>
    <mergeCell ref="F26:F28"/>
    <mergeCell ref="G26:G28"/>
    <mergeCell ref="A38:A40"/>
    <mergeCell ref="B38:B40"/>
    <mergeCell ref="C38:C40"/>
    <mergeCell ref="G38:G40"/>
    <mergeCell ref="D38:D40"/>
    <mergeCell ref="A78:J78"/>
    <mergeCell ref="K78:N78"/>
    <mergeCell ref="O78:R78"/>
    <mergeCell ref="K73:N73"/>
    <mergeCell ref="O73:R73"/>
    <mergeCell ref="K71:N71"/>
    <mergeCell ref="O71:R71"/>
    <mergeCell ref="A51:A55"/>
  </mergeCells>
  <phoneticPr fontId="15" type="noConversion"/>
  <printOptions horizontalCentered="1"/>
  <pageMargins left="0" right="0" top="0.39370078740157483" bottom="0" header="0" footer="0"/>
  <pageSetup paperSize="9" scale="80" orientation="landscape" r:id="rId1"/>
  <headerFooter alignWithMargins="0">
    <oddFooter>Puslapių &amp;P iš &amp;N</oddFooter>
  </headerFooter>
  <rowBreaks count="2" manualBreakCount="2">
    <brk id="29" max="27" man="1"/>
    <brk id="55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0" sqref="A10:B10"/>
    </sheetView>
  </sheetViews>
  <sheetFormatPr defaultRowHeight="15.7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>
      <c r="A1" s="631" t="s">
        <v>23</v>
      </c>
      <c r="B1" s="631"/>
    </row>
    <row r="2" spans="1:2" ht="31.5">
      <c r="A2" s="2" t="s">
        <v>4</v>
      </c>
      <c r="B2" s="1" t="s">
        <v>21</v>
      </c>
    </row>
    <row r="3" spans="1:2" ht="15.75" customHeight="1">
      <c r="A3" s="2" t="s">
        <v>24</v>
      </c>
      <c r="B3" s="1" t="s">
        <v>25</v>
      </c>
    </row>
    <row r="4" spans="1:2" ht="15.75" customHeight="1">
      <c r="A4" s="2" t="s">
        <v>26</v>
      </c>
      <c r="B4" s="1" t="s">
        <v>27</v>
      </c>
    </row>
    <row r="5" spans="1:2" ht="15.75" customHeight="1">
      <c r="A5" s="2" t="s">
        <v>28</v>
      </c>
      <c r="B5" s="1" t="s">
        <v>29</v>
      </c>
    </row>
    <row r="6" spans="1:2" ht="15.75" customHeight="1">
      <c r="A6" s="2" t="s">
        <v>30</v>
      </c>
      <c r="B6" s="1" t="s">
        <v>31</v>
      </c>
    </row>
    <row r="7" spans="1:2" ht="15.75" customHeight="1">
      <c r="A7" s="2" t="s">
        <v>32</v>
      </c>
      <c r="B7" s="1" t="s">
        <v>33</v>
      </c>
    </row>
    <row r="8" spans="1:2" ht="15.75" customHeight="1">
      <c r="A8" s="2" t="s">
        <v>34</v>
      </c>
      <c r="B8" s="1" t="s">
        <v>35</v>
      </c>
    </row>
    <row r="9" spans="1:2" ht="15.75" customHeight="1"/>
    <row r="10" spans="1:2" ht="15.75" customHeight="1">
      <c r="A10" s="632" t="s">
        <v>40</v>
      </c>
      <c r="B10" s="632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0" sqref="J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2 programa</vt:lpstr>
      <vt:lpstr>Aiškinamoji lentelė</vt:lpstr>
      <vt:lpstr>Asignavimų valdytojų kodai</vt:lpstr>
      <vt:lpstr>Lapas1</vt:lpstr>
      <vt:lpstr>'2 programa'!Print_Area</vt:lpstr>
      <vt:lpstr>'Aiškinamoji lentelė'!Print_Area</vt:lpstr>
      <vt:lpstr>'2 programa'!Print_Titles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2014-11-26T08:47:33Z</cp:lastPrinted>
  <dcterms:created xsi:type="dcterms:W3CDTF">2007-07-27T10:32:34Z</dcterms:created>
  <dcterms:modified xsi:type="dcterms:W3CDTF">2014-12-17T12:44:11Z</dcterms:modified>
</cp:coreProperties>
</file>