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705" windowWidth="19200" windowHeight="9480" tabRatio="595" firstSheet="2" activeTab="2"/>
  </bookViews>
  <sheets>
    <sheet name="KMSA išlaikymas" sheetId="19" state="hidden" r:id="rId1"/>
    <sheet name="Asignavimų valdytojų kodai" sheetId="29" state="hidden" r:id="rId2"/>
    <sheet name="3 programa" sheetId="41" r:id="rId3"/>
    <sheet name="Aiškinamoji lentelė" sheetId="40" state="hidden" r:id="rId4"/>
  </sheets>
  <definedNames>
    <definedName name="_xlnm.Print_Area" localSheetId="2">'3 programa'!$A$1:$N$128</definedName>
    <definedName name="_xlnm.Print_Area" localSheetId="3">'Aiškinamoji lentelė'!$A$1:$AB$161</definedName>
    <definedName name="_xlnm.Print_Titles" localSheetId="2">'3 programa'!$5:$7</definedName>
    <definedName name="_xlnm.Print_Titles" localSheetId="3">'Aiškinamoji lentelė'!$5:$7</definedName>
  </definedNames>
  <calcPr calcId="145621"/>
</workbook>
</file>

<file path=xl/calcChain.xml><?xml version="1.0" encoding="utf-8"?>
<calcChain xmlns="http://schemas.openxmlformats.org/spreadsheetml/2006/main">
  <c r="H15" i="41" l="1"/>
  <c r="I66" i="41"/>
  <c r="I67" i="41"/>
  <c r="H66" i="41"/>
  <c r="L85" i="40"/>
  <c r="M85" i="40"/>
  <c r="N85" i="40"/>
  <c r="P85" i="40"/>
  <c r="Q85" i="40"/>
  <c r="R85" i="40"/>
  <c r="T85" i="40"/>
  <c r="U85" i="40"/>
  <c r="V85" i="40"/>
  <c r="W85" i="40"/>
  <c r="X85" i="40"/>
  <c r="H65" i="41"/>
  <c r="H64" i="41"/>
  <c r="H118" i="41" l="1"/>
  <c r="H24" i="41"/>
  <c r="H67" i="41" s="1"/>
  <c r="I108" i="41"/>
  <c r="I118" i="41"/>
  <c r="J15" i="41"/>
  <c r="I15" i="41"/>
  <c r="O14" i="40"/>
  <c r="M43" i="40"/>
  <c r="N43" i="40"/>
  <c r="Q43" i="40"/>
  <c r="R43" i="40"/>
  <c r="T43" i="40"/>
  <c r="U43" i="40"/>
  <c r="V43" i="40"/>
  <c r="H75" i="41" l="1"/>
  <c r="I104" i="41" l="1"/>
  <c r="H104" i="41"/>
  <c r="I103" i="41"/>
  <c r="H103" i="41"/>
  <c r="H93" i="41"/>
  <c r="H89" i="41"/>
  <c r="H87" i="41"/>
  <c r="H86" i="41"/>
  <c r="H82" i="41"/>
  <c r="H81" i="41"/>
  <c r="H79" i="41"/>
  <c r="H78" i="41"/>
  <c r="H76" i="41"/>
  <c r="J69" i="41"/>
  <c r="I69" i="41"/>
  <c r="H69" i="41"/>
  <c r="J65" i="41"/>
  <c r="I65" i="41"/>
  <c r="J64" i="41"/>
  <c r="I64" i="41"/>
  <c r="J62" i="41"/>
  <c r="I62" i="41"/>
  <c r="H62" i="41"/>
  <c r="J44" i="41"/>
  <c r="I44" i="41"/>
  <c r="H44" i="41"/>
  <c r="J43" i="41"/>
  <c r="I43" i="41"/>
  <c r="H43" i="41"/>
  <c r="J42" i="41"/>
  <c r="I42" i="41"/>
  <c r="H42" i="41"/>
  <c r="J40" i="41"/>
  <c r="I40" i="41"/>
  <c r="H40" i="41"/>
  <c r="J38" i="41"/>
  <c r="I38" i="41"/>
  <c r="H38" i="41"/>
  <c r="J35" i="41"/>
  <c r="I35" i="41"/>
  <c r="H35" i="41"/>
  <c r="J34" i="41"/>
  <c r="I34" i="41"/>
  <c r="H34" i="41"/>
  <c r="J31" i="41"/>
  <c r="I31" i="41"/>
  <c r="H31" i="41"/>
  <c r="J29" i="41"/>
  <c r="I29" i="41"/>
  <c r="H29" i="41"/>
  <c r="J27" i="41"/>
  <c r="I27" i="41"/>
  <c r="H27" i="41"/>
  <c r="J25" i="41"/>
  <c r="I25" i="41"/>
  <c r="H25" i="41"/>
  <c r="J14" i="41"/>
  <c r="I14" i="41"/>
  <c r="H14" i="41"/>
  <c r="J13" i="41"/>
  <c r="I13" i="41"/>
  <c r="H13" i="41"/>
  <c r="J12" i="41"/>
  <c r="I12" i="41"/>
  <c r="H12" i="41"/>
  <c r="O48" i="40" l="1"/>
  <c r="Q47" i="40"/>
  <c r="P47" i="40"/>
  <c r="O46" i="40"/>
  <c r="O47" i="40" s="1"/>
  <c r="O44" i="40"/>
  <c r="O15" i="40"/>
  <c r="O13" i="40"/>
  <c r="X41" i="40" l="1"/>
  <c r="W41" i="40"/>
  <c r="P41" i="40"/>
  <c r="P32" i="40" l="1"/>
  <c r="W32" i="40"/>
  <c r="W43" i="40" s="1"/>
  <c r="P103" i="40" l="1"/>
  <c r="Q103" i="40"/>
  <c r="R103" i="40"/>
  <c r="T103" i="40"/>
  <c r="U103" i="40"/>
  <c r="V103" i="40"/>
  <c r="W103" i="40"/>
  <c r="X103" i="40"/>
  <c r="O94" i="40"/>
  <c r="O89" i="40"/>
  <c r="O103" i="40" l="1"/>
  <c r="O39" i="40"/>
  <c r="P25" i="40"/>
  <c r="I37" i="41" l="1"/>
  <c r="J37" i="41"/>
  <c r="H37" i="41"/>
  <c r="H32" i="41" l="1"/>
  <c r="I32" i="41" l="1"/>
  <c r="J32" i="41"/>
  <c r="J126" i="41"/>
  <c r="I126" i="41"/>
  <c r="H126" i="41"/>
  <c r="H127" i="41"/>
  <c r="I127" i="41"/>
  <c r="J127" i="41"/>
  <c r="X158" i="40"/>
  <c r="W158" i="40"/>
  <c r="W156" i="40"/>
  <c r="K158" i="40"/>
  <c r="P51" i="40" l="1"/>
  <c r="Q51" i="40"/>
  <c r="R51" i="40"/>
  <c r="T51" i="40"/>
  <c r="U51" i="40"/>
  <c r="V51" i="40"/>
  <c r="W51" i="40"/>
  <c r="X51" i="40"/>
  <c r="O158" i="40"/>
  <c r="J74" i="41" l="1"/>
  <c r="J66" i="41"/>
  <c r="J61" i="41"/>
  <c r="J24" i="41"/>
  <c r="J120" i="41" l="1"/>
  <c r="J118" i="41"/>
  <c r="I119" i="41"/>
  <c r="J116" i="41"/>
  <c r="I117" i="41"/>
  <c r="I116" i="41"/>
  <c r="I124" i="41"/>
  <c r="I121" i="41"/>
  <c r="I120" i="41"/>
  <c r="H120" i="41"/>
  <c r="H125" i="41"/>
  <c r="H124" i="41"/>
  <c r="H121" i="41"/>
  <c r="H119" i="41"/>
  <c r="H117" i="41"/>
  <c r="H116" i="41"/>
  <c r="H102" i="41"/>
  <c r="H123" i="41" l="1"/>
  <c r="H122" i="41"/>
  <c r="H90" i="41"/>
  <c r="H105" i="41"/>
  <c r="I102" i="41"/>
  <c r="J102" i="41"/>
  <c r="H88" i="41"/>
  <c r="H80" i="41"/>
  <c r="H83" i="41"/>
  <c r="H77" i="41"/>
  <c r="I74" i="41"/>
  <c r="H74" i="41"/>
  <c r="I61" i="41"/>
  <c r="H61" i="41"/>
  <c r="H63" i="41"/>
  <c r="H41" i="41"/>
  <c r="H39" i="41"/>
  <c r="H30" i="41"/>
  <c r="H28" i="41"/>
  <c r="H26" i="41"/>
  <c r="I24" i="41"/>
  <c r="H115" i="41" l="1"/>
  <c r="H114" i="41" s="1"/>
  <c r="H106" i="41"/>
  <c r="H91" i="41"/>
  <c r="H84" i="41"/>
  <c r="J125" i="41"/>
  <c r="I125" i="41"/>
  <c r="I123" i="41" s="1"/>
  <c r="J124" i="41"/>
  <c r="J122" i="41"/>
  <c r="I122" i="41"/>
  <c r="J121" i="41"/>
  <c r="J119" i="41"/>
  <c r="J117" i="41"/>
  <c r="J105" i="41"/>
  <c r="J106" i="41" s="1"/>
  <c r="I105" i="41"/>
  <c r="I106" i="41" s="1"/>
  <c r="J88" i="41"/>
  <c r="J91" i="41" s="1"/>
  <c r="I88" i="41"/>
  <c r="I91" i="41" s="1"/>
  <c r="J80" i="41"/>
  <c r="I80" i="41"/>
  <c r="J77" i="41"/>
  <c r="I77" i="41"/>
  <c r="J63" i="41"/>
  <c r="I63" i="41"/>
  <c r="J41" i="41"/>
  <c r="I41" i="41"/>
  <c r="J39" i="41"/>
  <c r="I39" i="41"/>
  <c r="J30" i="41"/>
  <c r="I30" i="41"/>
  <c r="J28" i="41"/>
  <c r="I28" i="41"/>
  <c r="J26" i="41"/>
  <c r="I26" i="41"/>
  <c r="J84" i="41" l="1"/>
  <c r="J123" i="41"/>
  <c r="J67" i="41"/>
  <c r="H128" i="41"/>
  <c r="H107" i="41"/>
  <c r="H108" i="41" s="1"/>
  <c r="I84" i="41"/>
  <c r="I115" i="41"/>
  <c r="I114" i="41" s="1"/>
  <c r="J115" i="41"/>
  <c r="J114" i="41" s="1"/>
  <c r="J107" i="41" l="1"/>
  <c r="J108" i="41" s="1"/>
  <c r="J128" i="41"/>
  <c r="I107" i="41"/>
  <c r="I128" i="41"/>
  <c r="K67" i="40" l="1"/>
  <c r="K69" i="40"/>
  <c r="X153" i="40"/>
  <c r="W153" i="40"/>
  <c r="W134" i="40" l="1"/>
  <c r="X80" i="40" l="1"/>
  <c r="S151" i="40" l="1"/>
  <c r="S153" i="40"/>
  <c r="O112" i="40" l="1"/>
  <c r="P117" i="40"/>
  <c r="S118" i="40"/>
  <c r="O133" i="40" l="1"/>
  <c r="O132" i="40"/>
  <c r="L106" i="40"/>
  <c r="M106" i="40"/>
  <c r="N106" i="40"/>
  <c r="P106" i="40"/>
  <c r="Q106" i="40"/>
  <c r="R106" i="40"/>
  <c r="S106" i="40"/>
  <c r="T106" i="40"/>
  <c r="U106" i="40"/>
  <c r="V106" i="40"/>
  <c r="W106" i="40"/>
  <c r="X106" i="40"/>
  <c r="O105" i="40"/>
  <c r="O104" i="40"/>
  <c r="O153" i="40" s="1"/>
  <c r="O106" i="40" l="1"/>
  <c r="O134" i="40"/>
  <c r="S54" i="40"/>
  <c r="O54" i="40"/>
  <c r="Q80" i="40" l="1"/>
  <c r="R80" i="40"/>
  <c r="T80" i="40"/>
  <c r="U80" i="40"/>
  <c r="V80" i="40"/>
  <c r="O77" i="40"/>
  <c r="S130" i="40" l="1"/>
  <c r="O130" i="40"/>
  <c r="K130" i="40"/>
  <c r="S73" i="40"/>
  <c r="O73" i="40"/>
  <c r="S72" i="40"/>
  <c r="O75" i="40"/>
  <c r="W69" i="40"/>
  <c r="W80" i="40" s="1"/>
  <c r="O72" i="40" l="1"/>
  <c r="P80" i="40"/>
  <c r="K42" i="40"/>
  <c r="L103" i="40" l="1"/>
  <c r="M103" i="40"/>
  <c r="P112" i="40"/>
  <c r="Q112" i="40"/>
  <c r="R112" i="40"/>
  <c r="S112" i="40"/>
  <c r="T112" i="40"/>
  <c r="U112" i="40"/>
  <c r="V112" i="40"/>
  <c r="O108" i="40"/>
  <c r="O107" i="40"/>
  <c r="O157" i="40" s="1"/>
  <c r="O109" i="40" l="1"/>
  <c r="L131" i="40" l="1"/>
  <c r="M131" i="40"/>
  <c r="N131" i="40"/>
  <c r="Q131" i="40"/>
  <c r="R131" i="40"/>
  <c r="T131" i="40"/>
  <c r="U131" i="40"/>
  <c r="V131" i="40"/>
  <c r="W131" i="40"/>
  <c r="W138" i="40" s="1"/>
  <c r="X131" i="40"/>
  <c r="O123" i="40"/>
  <c r="O32" i="40"/>
  <c r="O31" i="40"/>
  <c r="K31" i="40"/>
  <c r="O125" i="40" l="1"/>
  <c r="P128" i="40"/>
  <c r="O127" i="40"/>
  <c r="O126" i="40"/>
  <c r="O129" i="40"/>
  <c r="L134" i="40"/>
  <c r="M134" i="40"/>
  <c r="N134" i="40"/>
  <c r="P134" i="40"/>
  <c r="Q134" i="40"/>
  <c r="Q138" i="40" s="1"/>
  <c r="R134" i="40"/>
  <c r="R138" i="40" s="1"/>
  <c r="T134" i="40"/>
  <c r="T138" i="40" s="1"/>
  <c r="U134" i="40"/>
  <c r="U138" i="40" s="1"/>
  <c r="V134" i="40"/>
  <c r="V138" i="40" s="1"/>
  <c r="X134" i="40"/>
  <c r="X138" i="40" s="1"/>
  <c r="N137" i="40"/>
  <c r="N138" i="40" s="1"/>
  <c r="M137" i="40"/>
  <c r="L137" i="40"/>
  <c r="L138" i="40" s="1"/>
  <c r="K136" i="40"/>
  <c r="K135" i="40"/>
  <c r="O116" i="40"/>
  <c r="O115" i="40"/>
  <c r="R47" i="40"/>
  <c r="O64" i="40"/>
  <c r="O65" i="40"/>
  <c r="O67" i="40"/>
  <c r="O69" i="40"/>
  <c r="O70" i="40"/>
  <c r="O71" i="40"/>
  <c r="O74" i="40"/>
  <c r="O79" i="40"/>
  <c r="O80" i="40" l="1"/>
  <c r="M138" i="40"/>
  <c r="O117" i="40"/>
  <c r="O128" i="40"/>
  <c r="P131" i="40"/>
  <c r="P138" i="40" s="1"/>
  <c r="K137" i="40"/>
  <c r="Q49" i="40" l="1"/>
  <c r="R49" i="40"/>
  <c r="O42" i="40"/>
  <c r="O29" i="40"/>
  <c r="O25" i="40"/>
  <c r="O24" i="40"/>
  <c r="K24" i="40"/>
  <c r="K25" i="40"/>
  <c r="K29" i="40"/>
  <c r="S23" i="40"/>
  <c r="O23" i="40"/>
  <c r="K23" i="40"/>
  <c r="P21" i="40" l="1"/>
  <c r="P43" i="40" s="1"/>
  <c r="S35" i="40" l="1"/>
  <c r="O35" i="40"/>
  <c r="Q45" i="40" l="1"/>
  <c r="K133" i="40" l="1"/>
  <c r="K157" i="40" s="1"/>
  <c r="K132" i="40"/>
  <c r="K124" i="40"/>
  <c r="K123" i="40"/>
  <c r="L119" i="40"/>
  <c r="K118" i="40"/>
  <c r="N117" i="40"/>
  <c r="N120" i="40" s="1"/>
  <c r="M117" i="40"/>
  <c r="M120" i="40" s="1"/>
  <c r="L117" i="40"/>
  <c r="K116" i="40"/>
  <c r="K115" i="40"/>
  <c r="K105" i="40"/>
  <c r="K104" i="40"/>
  <c r="N88" i="40"/>
  <c r="N103" i="40" s="1"/>
  <c r="K131" i="40" l="1"/>
  <c r="K106" i="40"/>
  <c r="K119" i="40"/>
  <c r="L120" i="40"/>
  <c r="K134" i="40"/>
  <c r="K138" i="40" s="1"/>
  <c r="K88" i="40"/>
  <c r="K103" i="40" s="1"/>
  <c r="K151" i="40"/>
  <c r="K117" i="40"/>
  <c r="K84" i="40"/>
  <c r="K83" i="40"/>
  <c r="K85" i="40" s="1"/>
  <c r="L80" i="40"/>
  <c r="M80" i="40"/>
  <c r="N80" i="40"/>
  <c r="S75" i="40"/>
  <c r="S69" i="40"/>
  <c r="K68" i="40"/>
  <c r="K153" i="40" s="1"/>
  <c r="K57" i="40"/>
  <c r="K58" i="40" s="1"/>
  <c r="L56" i="40"/>
  <c r="M56" i="40"/>
  <c r="N56" i="40"/>
  <c r="P56" i="40"/>
  <c r="Q56" i="40"/>
  <c r="R56" i="40"/>
  <c r="T56" i="40"/>
  <c r="U56" i="40"/>
  <c r="V56" i="40"/>
  <c r="W56" i="40"/>
  <c r="X56" i="40"/>
  <c r="K55" i="40"/>
  <c r="K120" i="40" l="1"/>
  <c r="K41" i="40" l="1"/>
  <c r="K40" i="40"/>
  <c r="K39" i="40"/>
  <c r="L38" i="40"/>
  <c r="K37" i="40"/>
  <c r="K36" i="40"/>
  <c r="K34" i="40"/>
  <c r="L33" i="40"/>
  <c r="K21" i="40"/>
  <c r="K20" i="40"/>
  <c r="K17" i="40"/>
  <c r="L16" i="40"/>
  <c r="L43" i="40" s="1"/>
  <c r="K14" i="40"/>
  <c r="K13" i="40"/>
  <c r="K16" i="40" l="1"/>
  <c r="K33" i="40"/>
  <c r="K38" i="40"/>
  <c r="K43" i="40" l="1"/>
  <c r="S84" i="40"/>
  <c r="S83" i="40"/>
  <c r="S85" i="40" s="1"/>
  <c r="O84" i="40"/>
  <c r="Q117" i="40" l="1"/>
  <c r="Q120" i="40" s="1"/>
  <c r="R117" i="40"/>
  <c r="R120" i="40" s="1"/>
  <c r="T117" i="40"/>
  <c r="U117" i="40"/>
  <c r="U120" i="40" s="1"/>
  <c r="V117" i="40"/>
  <c r="V120" i="40" s="1"/>
  <c r="W117" i="40"/>
  <c r="X117" i="40"/>
  <c r="X120" i="40" s="1"/>
  <c r="T58" i="40"/>
  <c r="P58" i="40"/>
  <c r="X82" i="40"/>
  <c r="W82" i="40"/>
  <c r="X154" i="40" l="1"/>
  <c r="S55" i="40" l="1"/>
  <c r="S42" i="40" l="1"/>
  <c r="S65" i="40" l="1"/>
  <c r="S79" i="40"/>
  <c r="S74" i="40"/>
  <c r="S71" i="40"/>
  <c r="S70" i="40"/>
  <c r="S67" i="40"/>
  <c r="S64" i="40"/>
  <c r="S80" i="40" l="1"/>
  <c r="S133" i="40"/>
  <c r="S124" i="40"/>
  <c r="T119" i="40"/>
  <c r="T120" i="40" s="1"/>
  <c r="O36" i="40"/>
  <c r="S36" i="40"/>
  <c r="O149" i="40" l="1"/>
  <c r="S119" i="40"/>
  <c r="O17" i="40" l="1"/>
  <c r="O152" i="40" s="1"/>
  <c r="O124" i="40" l="1"/>
  <c r="O131" i="40" s="1"/>
  <c r="O138" i="40" s="1"/>
  <c r="S123" i="40" l="1"/>
  <c r="S156" i="40"/>
  <c r="S117" i="40" l="1"/>
  <c r="S120" i="40" s="1"/>
  <c r="S53" i="40"/>
  <c r="S56" i="40" s="1"/>
  <c r="S38" i="40" l="1"/>
  <c r="S37" i="40"/>
  <c r="S40" i="40"/>
  <c r="O53" i="40" l="1"/>
  <c r="K53" i="40"/>
  <c r="S20" i="40" l="1"/>
  <c r="O20" i="40"/>
  <c r="S131" i="40" l="1"/>
  <c r="W120" i="40" l="1"/>
  <c r="P119" i="40"/>
  <c r="P120" i="40" s="1"/>
  <c r="O118" i="40"/>
  <c r="O156" i="40" s="1"/>
  <c r="O119" i="40" l="1"/>
  <c r="O120" i="40" s="1"/>
  <c r="X109" i="40" l="1"/>
  <c r="W109" i="40"/>
  <c r="V109" i="40"/>
  <c r="U109" i="40"/>
  <c r="T109" i="40"/>
  <c r="S109" i="40"/>
  <c r="R109" i="40"/>
  <c r="Q109" i="40"/>
  <c r="P109" i="40"/>
  <c r="N109" i="40"/>
  <c r="M109" i="40"/>
  <c r="L109" i="40"/>
  <c r="K109" i="40"/>
  <c r="K75" i="40" l="1"/>
  <c r="O30" i="40" l="1"/>
  <c r="X149" i="40" l="1"/>
  <c r="W149" i="40"/>
  <c r="O38" i="40" l="1"/>
  <c r="K44" i="40" l="1"/>
  <c r="X45" i="40" l="1"/>
  <c r="W45" i="40"/>
  <c r="V45" i="40"/>
  <c r="U45" i="40"/>
  <c r="T45" i="40"/>
  <c r="R45" i="40"/>
  <c r="P45" i="40"/>
  <c r="N45" i="40"/>
  <c r="M45" i="40"/>
  <c r="L45" i="40"/>
  <c r="S44" i="40"/>
  <c r="S45" i="40" s="1"/>
  <c r="O45" i="40"/>
  <c r="K45" i="40"/>
  <c r="X159" i="40" l="1"/>
  <c r="W159" i="40"/>
  <c r="S159" i="40"/>
  <c r="X157" i="40"/>
  <c r="W157" i="40"/>
  <c r="X156" i="40"/>
  <c r="W154" i="40"/>
  <c r="X152" i="40"/>
  <c r="W152" i="40"/>
  <c r="X151" i="40"/>
  <c r="W151" i="40"/>
  <c r="S157" i="40"/>
  <c r="S132" i="40"/>
  <c r="N112" i="40"/>
  <c r="M112" i="40"/>
  <c r="L112" i="40"/>
  <c r="X113" i="40"/>
  <c r="W113" i="40"/>
  <c r="V113" i="40"/>
  <c r="T113" i="40"/>
  <c r="Q113" i="40"/>
  <c r="P113" i="40"/>
  <c r="S88" i="40"/>
  <c r="S103" i="40" s="1"/>
  <c r="R113" i="40"/>
  <c r="O83" i="40"/>
  <c r="O85" i="40" s="1"/>
  <c r="V82" i="40"/>
  <c r="U82" i="40"/>
  <c r="T82" i="40"/>
  <c r="R82" i="40"/>
  <c r="Q82" i="40"/>
  <c r="P82" i="40"/>
  <c r="N82" i="40"/>
  <c r="M82" i="40"/>
  <c r="L82" i="40"/>
  <c r="S81" i="40"/>
  <c r="S82" i="40" s="1"/>
  <c r="O81" i="40"/>
  <c r="O82" i="40" s="1"/>
  <c r="K81" i="40"/>
  <c r="K82" i="40" s="1"/>
  <c r="K79" i="40"/>
  <c r="K74" i="40"/>
  <c r="S154" i="40"/>
  <c r="O154" i="40"/>
  <c r="K73" i="40"/>
  <c r="K72" i="40"/>
  <c r="K71" i="40"/>
  <c r="K70" i="40"/>
  <c r="O159" i="40"/>
  <c r="K65" i="40"/>
  <c r="K159" i="40" s="1"/>
  <c r="K64" i="40"/>
  <c r="X60" i="40"/>
  <c r="W60" i="40"/>
  <c r="V60" i="40"/>
  <c r="U60" i="40"/>
  <c r="T60" i="40"/>
  <c r="R60" i="40"/>
  <c r="Q60" i="40"/>
  <c r="P60" i="40"/>
  <c r="N60" i="40"/>
  <c r="M60" i="40"/>
  <c r="L60" i="40"/>
  <c r="S59" i="40"/>
  <c r="S60" i="40" s="1"/>
  <c r="O59" i="40"/>
  <c r="O60" i="40" s="1"/>
  <c r="K59" i="40"/>
  <c r="K60" i="40" s="1"/>
  <c r="X58" i="40"/>
  <c r="W58" i="40"/>
  <c r="V58" i="40"/>
  <c r="U58" i="40"/>
  <c r="R58" i="40"/>
  <c r="Q58" i="40"/>
  <c r="N58" i="40"/>
  <c r="M58" i="40"/>
  <c r="L58" i="40"/>
  <c r="S57" i="40"/>
  <c r="S58" i="40" s="1"/>
  <c r="O57" i="40"/>
  <c r="O58" i="40" s="1"/>
  <c r="K54" i="40"/>
  <c r="K56" i="40" s="1"/>
  <c r="N51" i="40"/>
  <c r="M51" i="40"/>
  <c r="L51" i="40"/>
  <c r="S50" i="40"/>
  <c r="S51" i="40" s="1"/>
  <c r="O50" i="40"/>
  <c r="O51" i="40" s="1"/>
  <c r="K50" i="40"/>
  <c r="K51" i="40" s="1"/>
  <c r="V49" i="40"/>
  <c r="U49" i="40"/>
  <c r="T49" i="40"/>
  <c r="P49" i="40"/>
  <c r="N49" i="40"/>
  <c r="M49" i="40"/>
  <c r="L49" i="40"/>
  <c r="W49" i="40"/>
  <c r="S48" i="40"/>
  <c r="S49" i="40" s="1"/>
  <c r="O49" i="40"/>
  <c r="K48" i="40"/>
  <c r="K49" i="40" s="1"/>
  <c r="X47" i="40"/>
  <c r="W47" i="40"/>
  <c r="V47" i="40"/>
  <c r="U47" i="40"/>
  <c r="T47" i="40"/>
  <c r="N47" i="40"/>
  <c r="M47" i="40"/>
  <c r="L47" i="40"/>
  <c r="S46" i="40"/>
  <c r="S47" i="40" s="1"/>
  <c r="K46" i="40"/>
  <c r="K47" i="40" s="1"/>
  <c r="S41" i="40"/>
  <c r="O41" i="40"/>
  <c r="O40" i="40"/>
  <c r="O37" i="40"/>
  <c r="S149" i="40"/>
  <c r="K149" i="40"/>
  <c r="S34" i="40"/>
  <c r="S33" i="40"/>
  <c r="O33" i="40"/>
  <c r="S30" i="40"/>
  <c r="S21" i="40"/>
  <c r="O21" i="40"/>
  <c r="S17" i="40"/>
  <c r="S152" i="40" s="1"/>
  <c r="K152" i="40"/>
  <c r="S16" i="40"/>
  <c r="O16" i="40"/>
  <c r="S14" i="40"/>
  <c r="S13" i="40"/>
  <c r="S43" i="40" s="1"/>
  <c r="X155" i="40" l="1"/>
  <c r="S86" i="40"/>
  <c r="W155" i="40"/>
  <c r="K80" i="40"/>
  <c r="K86" i="40" s="1"/>
  <c r="O151" i="40"/>
  <c r="S134" i="40"/>
  <c r="S138" i="40" s="1"/>
  <c r="S113" i="40"/>
  <c r="R86" i="40"/>
  <c r="R139" i="40" s="1"/>
  <c r="W86" i="40"/>
  <c r="W139" i="40" s="1"/>
  <c r="T86" i="40"/>
  <c r="T139" i="40" s="1"/>
  <c r="P86" i="40"/>
  <c r="P139" i="40" s="1"/>
  <c r="S150" i="40"/>
  <c r="U113" i="40"/>
  <c r="N113" i="40"/>
  <c r="L113" i="40"/>
  <c r="M113" i="40"/>
  <c r="S148" i="40"/>
  <c r="S147" i="40" s="1"/>
  <c r="M86" i="40"/>
  <c r="N86" i="40"/>
  <c r="U86" i="40"/>
  <c r="L86" i="40"/>
  <c r="Q86" i="40"/>
  <c r="Q139" i="40" s="1"/>
  <c r="K112" i="40"/>
  <c r="K113" i="40" s="1"/>
  <c r="O155" i="40"/>
  <c r="K148" i="40"/>
  <c r="K154" i="40"/>
  <c r="S155" i="40"/>
  <c r="O55" i="40"/>
  <c r="O56" i="40" s="1"/>
  <c r="W150" i="40"/>
  <c r="W148" i="40"/>
  <c r="K150" i="40"/>
  <c r="K156" i="40"/>
  <c r="K155" i="40" s="1"/>
  <c r="O34" i="40"/>
  <c r="O43" i="40" s="1"/>
  <c r="O113" i="40"/>
  <c r="X14" i="40"/>
  <c r="X43" i="40" s="1"/>
  <c r="X49" i="40"/>
  <c r="O86" i="40" l="1"/>
  <c r="M139" i="40"/>
  <c r="W147" i="40"/>
  <c r="W146" i="40" s="1"/>
  <c r="K147" i="40"/>
  <c r="K146" i="40" s="1"/>
  <c r="O148" i="40"/>
  <c r="K139" i="40"/>
  <c r="U139" i="40"/>
  <c r="U140" i="40" s="1"/>
  <c r="L139" i="40"/>
  <c r="L140" i="40" s="1"/>
  <c r="N139" i="40"/>
  <c r="N140" i="40" s="1"/>
  <c r="S139" i="40"/>
  <c r="W140" i="40"/>
  <c r="R140" i="40"/>
  <c r="O150" i="40"/>
  <c r="M140" i="40"/>
  <c r="S146" i="40"/>
  <c r="S160" i="40" s="1"/>
  <c r="V86" i="40"/>
  <c r="Q140" i="40"/>
  <c r="T140" i="40"/>
  <c r="X150" i="40"/>
  <c r="X148" i="40"/>
  <c r="O147" i="40" l="1"/>
  <c r="O146" i="40" s="1"/>
  <c r="O160" i="40" s="1"/>
  <c r="P161" i="40" s="1"/>
  <c r="O139" i="40"/>
  <c r="O140" i="40" s="1"/>
  <c r="V139" i="40"/>
  <c r="V140" i="40" s="1"/>
  <c r="X86" i="40"/>
  <c r="K140" i="40"/>
  <c r="S140" i="40"/>
  <c r="X147" i="40"/>
  <c r="X146" i="40" s="1"/>
  <c r="X160" i="40" s="1"/>
  <c r="X161" i="40" s="1"/>
  <c r="K160" i="40"/>
  <c r="X139" i="40" l="1"/>
  <c r="X140" i="40" s="1"/>
  <c r="P140" i="40"/>
  <c r="N141" i="19"/>
  <c r="J141" i="19"/>
  <c r="I141" i="19" s="1"/>
  <c r="P141" i="19"/>
  <c r="O141" i="19"/>
  <c r="L141" i="19"/>
  <c r="K141" i="19"/>
  <c r="K142" i="19" s="1"/>
  <c r="O42" i="19"/>
  <c r="K42" i="19"/>
  <c r="O36" i="19"/>
  <c r="K36" i="19"/>
  <c r="P32" i="19"/>
  <c r="O32" i="19"/>
  <c r="L32" i="19"/>
  <c r="K32" i="19"/>
  <c r="P41" i="19"/>
  <c r="P42" i="19" s="1"/>
  <c r="N41" i="19"/>
  <c r="L41" i="19"/>
  <c r="L42" i="19" s="1"/>
  <c r="I42" i="19" s="1"/>
  <c r="J41" i="19"/>
  <c r="M40" i="19"/>
  <c r="M41" i="19" s="1"/>
  <c r="I40" i="19"/>
  <c r="M38" i="19"/>
  <c r="M39" i="19"/>
  <c r="P39" i="19"/>
  <c r="N39" i="19"/>
  <c r="L39" i="19"/>
  <c r="J39" i="19"/>
  <c r="J42" i="19"/>
  <c r="I38" i="19"/>
  <c r="J34" i="19"/>
  <c r="J35" i="19" s="1"/>
  <c r="I35" i="19" s="1"/>
  <c r="J36" i="19"/>
  <c r="M44" i="19"/>
  <c r="J29" i="19"/>
  <c r="I29" i="19" s="1"/>
  <c r="P35" i="19"/>
  <c r="N35" i="19"/>
  <c r="M35" i="19"/>
  <c r="L35" i="19"/>
  <c r="L36" i="19"/>
  <c r="J31" i="19"/>
  <c r="I30" i="19"/>
  <c r="N31" i="19"/>
  <c r="M31" i="19"/>
  <c r="N29" i="19"/>
  <c r="M29" i="19"/>
  <c r="M30" i="19"/>
  <c r="M28" i="19"/>
  <c r="I28" i="19"/>
  <c r="O142" i="19"/>
  <c r="L142" i="19"/>
  <c r="M141" i="19"/>
  <c r="N42" i="19"/>
  <c r="M42" i="19" s="1"/>
  <c r="P36" i="19"/>
  <c r="M36" i="19" s="1"/>
  <c r="P142" i="19"/>
  <c r="I36" i="19"/>
  <c r="N32" i="19"/>
  <c r="M32" i="19"/>
  <c r="N36" i="19"/>
  <c r="I34" i="19"/>
  <c r="I41" i="19"/>
  <c r="I39" i="19"/>
  <c r="N142" i="19"/>
  <c r="M142" i="19" s="1"/>
  <c r="I31" i="19" l="1"/>
  <c r="J32" i="19"/>
  <c r="J142" i="19" s="1"/>
  <c r="I142" i="19" s="1"/>
  <c r="I32" i="19" l="1"/>
  <c r="W160" i="40"/>
  <c r="W161" i="40" s="1"/>
</calcChain>
</file>

<file path=xl/comments1.xml><?xml version="1.0" encoding="utf-8"?>
<comments xmlns="http://schemas.openxmlformats.org/spreadsheetml/2006/main">
  <authors>
    <author>Audra Cepiene</author>
  </authors>
  <commentList>
    <comment ref="D31" author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K1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14703,8 tūkst. lt (2014-09) pakeitimas</t>
        </r>
      </text>
    </comment>
    <comment ref="M1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11226 tūkst. lt (2014-09) pakeitimas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3,4 tūkst. lt
</t>
        </r>
      </text>
    </comment>
    <comment ref="P20" authorId="0">
      <text>
        <r>
          <rPr>
            <sz val="9"/>
            <color indexed="81"/>
            <rFont val="Tahoma"/>
            <family val="2"/>
            <charset val="186"/>
          </rPr>
          <t xml:space="preserve">Pagal 2014-09-10 Raštą Nr. VS-4866 prašo 107,0 tūkst.Lt; 28 tūkst. budėtojams.
</t>
        </r>
      </text>
    </comment>
    <comment ref="Y2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1990-1995 m. Klaipėdos miesto tarybos 25-čio paminėjimo renginys, savivaldos diena</t>
        </r>
      </text>
    </comment>
    <comment ref="P35" authorId="0">
      <text>
        <r>
          <rPr>
            <sz val="9"/>
            <color indexed="81"/>
            <rFont val="Tahoma"/>
            <family val="2"/>
            <charset val="186"/>
          </rPr>
          <t xml:space="preserve">teisingumo ministro įsakymas </t>
        </r>
      </text>
    </comment>
    <comment ref="P4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45 tūkst. perkelti į GIS priemones. Ženklų duomenų bazei</t>
        </r>
      </text>
    </comment>
    <comment ref="K4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20103,1 tūkst. Lt (2014-09) pakeitimas</t>
        </r>
      </text>
    </comment>
    <comment ref="E50" author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  <comment ref="Y5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Dalyvavimas miesto partnerio – Manheimo (Vokietija) „BermudasShorts“ filmų festivalyje (Kelionės Klaipėda–Frankfurtas–Meinheimas– Frankfurtas–Klaipėda išlaidos; Filmo kūrimo ir subtitravimo dalinis finansavimas) - 9,8 tūkst. Lt 
Kylio ir Klaipėdos miestų bei uostų bendradarbiavimo stiprinimas - 6 tūkst. Lt</t>
        </r>
      </text>
    </comment>
    <comment ref="L5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09 taryboje sumažinta 3166,9
</t>
        </r>
      </text>
    </comment>
    <comment ref="K6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117,8</t>
        </r>
      </text>
    </comment>
    <comment ref="N69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85,6
</t>
        </r>
      </text>
    </comment>
    <comment ref="Y89" authorId="0">
      <text>
        <r>
          <rPr>
            <sz val="9"/>
            <color indexed="81"/>
            <rFont val="Tahoma"/>
            <family val="2"/>
            <charset val="186"/>
          </rPr>
          <t>2 serveriai - 20,0; 1 UPS - 20,0; PC - 15,0; 4 multifunkciniai -45,0</t>
        </r>
      </text>
    </comment>
    <comment ref="Y91" authorId="0">
      <text>
        <r>
          <rPr>
            <sz val="9"/>
            <color indexed="81"/>
            <rFont val="Tahoma"/>
            <family val="2"/>
            <charset val="186"/>
          </rPr>
          <t>Sophos licencija 3 metams</t>
        </r>
      </text>
    </comment>
    <comment ref="Y97" authorId="0">
      <text>
        <r>
          <rPr>
            <sz val="9"/>
            <color indexed="81"/>
            <rFont val="Tahoma"/>
            <family val="2"/>
            <charset val="186"/>
          </rPr>
          <t>280,1 (SB)/62,9 (VB)</t>
        </r>
      </text>
    </comment>
    <comment ref="K10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lėšos nepanaudos
 </t>
        </r>
      </text>
    </comment>
    <comment ref="K10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lėšos</t>
        </r>
      </text>
    </comment>
    <comment ref="L10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28,2
</t>
        </r>
      </text>
    </comment>
    <comment ref="Y128" authorId="0">
      <text>
        <r>
          <rPr>
            <sz val="9"/>
            <color indexed="81"/>
            <rFont val="Tahoma"/>
            <family val="2"/>
            <charset val="186"/>
          </rPr>
          <t xml:space="preserve">Pridėta 6 tūkst už dviejų durų angų išmušimą pagal sąmatą
</t>
        </r>
      </text>
    </comment>
    <comment ref="K13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lėšos</t>
        </r>
      </text>
    </comment>
    <comment ref="K13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lėšos</t>
        </r>
      </text>
    </comment>
    <comment ref="K14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strateginis sprendimas 40541 tūkst. Lt.; pirminis strat. Įsakymas </t>
        </r>
        <r>
          <rPr>
            <b/>
            <sz val="9"/>
            <color indexed="81"/>
            <rFont val="Tahoma"/>
            <family val="2"/>
            <charset val="186"/>
          </rPr>
          <t>+40659,7</t>
        </r>
        <r>
          <rPr>
            <sz val="9"/>
            <color indexed="81"/>
            <rFont val="Tahoma"/>
            <family val="2"/>
            <charset val="186"/>
          </rPr>
          <t xml:space="preserve"> tūkst. Lt  </t>
        </r>
      </text>
    </comment>
    <comment ref="K14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biudžetas 39998,9</t>
        </r>
      </text>
    </comment>
  </commentList>
</comments>
</file>

<file path=xl/sharedStrings.xml><?xml version="1.0" encoding="utf-8"?>
<sst xmlns="http://schemas.openxmlformats.org/spreadsheetml/2006/main" count="1324" uniqueCount="420">
  <si>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</si>
  <si>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</si>
  <si>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</si>
  <si>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</si>
  <si>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</si>
  <si>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</si>
  <si>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</si>
  <si>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</si>
  <si>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</si>
  <si>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</si>
  <si>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</si>
  <si>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</si>
  <si>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04</t>
  </si>
  <si>
    <t>SB</t>
  </si>
  <si>
    <t>PF</t>
  </si>
  <si>
    <t>ES</t>
  </si>
  <si>
    <t>Iš viso:</t>
  </si>
  <si>
    <t>Iš viso uždaviniui:</t>
  </si>
  <si>
    <t>Iš viso programai:</t>
  </si>
  <si>
    <t>Iš viso tikslui:</t>
  </si>
  <si>
    <t>Finansavimo šaltiniai</t>
  </si>
  <si>
    <t>1-10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</si>
  <si>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</si>
  <si>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</si>
  <si>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</si>
  <si>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</si>
  <si>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</si>
  <si>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</si>
  <si>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</si>
  <si>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Paskolų grąžinimas ir palūkanų mokėjimas</t>
  </si>
  <si>
    <t>Projekto „Klaipėdos miesto savivaldybės administracijos darbo organizavimo gerinimas tobulinant organizacinę struktūrą, finansinių išteklių ir veiklos valdymo procesus“ įgyvendinimas</t>
  </si>
  <si>
    <t>Strateginis tikslas 01. Didinti miesto konkurencingumą, kryptingai vystant infrastruktūrą ir sudarant palankias sąlygas verslui</t>
  </si>
  <si>
    <r>
      <t xml:space="preserve">Funkcinės klasifikacijos kodas </t>
    </r>
    <r>
      <rPr>
        <b/>
        <sz val="9"/>
        <rFont val="Times New Roman"/>
        <family val="1"/>
      </rPr>
      <t xml:space="preserve"> </t>
    </r>
  </si>
  <si>
    <t xml:space="preserve">Savivaldybės biudžetas, iš jo: </t>
  </si>
  <si>
    <t>05</t>
  </si>
  <si>
    <t>10</t>
  </si>
  <si>
    <t>06</t>
  </si>
  <si>
    <t>Asignavimai biudžetiniams                        2011-iesiems metams</t>
  </si>
  <si>
    <t>Asignavimų poreikis biudžetiniams                                2012-iesiems metams</t>
  </si>
  <si>
    <t>07</t>
  </si>
  <si>
    <t>08</t>
  </si>
  <si>
    <t>09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</si>
  <si>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</si>
  <si>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</si>
  <si>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</si>
  <si>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</si>
  <si>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</si>
  <si>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</si>
  <si>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</si>
  <si>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</si>
  <si>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</si>
  <si>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</si>
  <si>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25</t>
  </si>
  <si>
    <t>26</t>
  </si>
  <si>
    <t>27</t>
  </si>
  <si>
    <t>28</t>
  </si>
  <si>
    <t>SPN</t>
  </si>
  <si>
    <t>Pašto paslaugų įsigijimas</t>
  </si>
  <si>
    <t>Laikraščių ir kitų periodinių paslaugų įsigijimas</t>
  </si>
  <si>
    <t>Tobulinti savivaldybės administracinių paslaugų teikimą, taikant pažangius vadybos principus</t>
  </si>
  <si>
    <t xml:space="preserve">Informacinių technologijų palaikymas ir plėtojimas Savivaldybės administracijoje </t>
  </si>
  <si>
    <t>Dalyvavimas organizuojant rinkimus</t>
  </si>
  <si>
    <t>188710823</t>
  </si>
  <si>
    <t>Ryšių paslaugos</t>
  </si>
  <si>
    <t>Transporto išlaikymas</t>
  </si>
  <si>
    <t>Viešosios tvarkos skyriaus darbuotojų aprūpinimas</t>
  </si>
  <si>
    <t>Darbo kėdžių įsigijimas</t>
  </si>
  <si>
    <t>Dažų kopijavimo aparatams pirkimas</t>
  </si>
  <si>
    <t>Kopijavimo popieriaus pirkimas</t>
  </si>
  <si>
    <t>Ūkinių prekių pirkimas</t>
  </si>
  <si>
    <t>Kanceliarinių prekių pirkimas</t>
  </si>
  <si>
    <t>Klaipėdos miesto ir  Lietuvos Respublikos vėliavų pirkimas</t>
  </si>
  <si>
    <t>Spaudų ir antspaudų gamyba</t>
  </si>
  <si>
    <t>Elektroninių bilietų pirkimas</t>
  </si>
  <si>
    <t>Fotoaparatų ir diktofonų pirkimas</t>
  </si>
  <si>
    <t>Trijų lengvųjų automobilių nuoma</t>
  </si>
  <si>
    <t>14</t>
  </si>
  <si>
    <t>Savivaldybės administracijos kopijavimo aparatų techninis aptarnavimas bei remontas</t>
  </si>
  <si>
    <t>Savivaldybės administracijos vidinio kiemo pakeliamų vartų sistemos priežiūra</t>
  </si>
  <si>
    <t>Savivaldybės administracijos pastatų šildymo, karšto vandens sistemų bei dujininių katilų įrenginių priežiūra</t>
  </si>
  <si>
    <t>Klaipėdos m. savivaldybės administracijos vidinių ir išorinių oro kondicionierių techninis aptarnavimas</t>
  </si>
  <si>
    <t>Aliuminio durų ir pertvarų sumontavimas su įėjimo kontrolės įvedimu</t>
  </si>
  <si>
    <t>Sniego ir ledo valymas nuo savivaldybės administracijos pastatų stogų</t>
  </si>
  <si>
    <t>Savivaldybės administracijos pastatų ir patalpų techninė priežiūra</t>
  </si>
  <si>
    <t>Pastato Vytauto g. 13 nuoma</t>
  </si>
  <si>
    <t>22</t>
  </si>
  <si>
    <t>Kopijavimo aparatų nuoma</t>
  </si>
  <si>
    <t>23</t>
  </si>
  <si>
    <t>Stotelės įrangos nuoma (telefonija)</t>
  </si>
  <si>
    <t>24</t>
  </si>
  <si>
    <t xml:space="preserve">Pastatų ir patalpų einamasis remontas - Liepų g. 11 stogo einamasis remontas su  lietvamzdžių ir lovelių apšildymu dvigubais elektriniais kabeliais </t>
  </si>
  <si>
    <t>Komunalinės paslaugos - šildymas</t>
  </si>
  <si>
    <t>Komunalinės paslaugos - elektros energija</t>
  </si>
  <si>
    <t>Komunalinės paslaugos - vandentiekis ir kanalizacija</t>
  </si>
  <si>
    <t>29</t>
  </si>
  <si>
    <t>Komunalinės paslaugos - dujos</t>
  </si>
  <si>
    <t>30</t>
  </si>
  <si>
    <t>Reprezentacinės išlaidos</t>
  </si>
  <si>
    <t>31</t>
  </si>
  <si>
    <t>Gesintuvų užpildymas</t>
  </si>
  <si>
    <t>32</t>
  </si>
  <si>
    <t>Atliekų surinkimas</t>
  </si>
  <si>
    <t>33</t>
  </si>
  <si>
    <t>Deratizacija, dezinfekcija, dezinsekcija</t>
  </si>
  <si>
    <t>34</t>
  </si>
  <si>
    <t>Balticum TV</t>
  </si>
  <si>
    <t>35</t>
  </si>
  <si>
    <t>Vietinių telefoninių tinklų techninis aptarnavimas</t>
  </si>
  <si>
    <t>36</t>
  </si>
  <si>
    <t>Klaipėdos miesto savivaldybės administracijos patalpų kasdieninis valymas</t>
  </si>
  <si>
    <t>37</t>
  </si>
  <si>
    <t>Klaipėdos miesto savivaldybės administracijos liftų techninė priežiūra</t>
  </si>
  <si>
    <t>38</t>
  </si>
  <si>
    <t>Nežinybinė apsauga - Klaipėdos m. savivaldybės administracijos pastatų ir patalpų elektroninė apsauga ir sistemų techninis aptarnavimas</t>
  </si>
  <si>
    <t>39</t>
  </si>
  <si>
    <t>Nežinybinė apsauga pastato Debreceno g. 41</t>
  </si>
  <si>
    <t>40</t>
  </si>
  <si>
    <t>Vienkartinių maišų ir pirštinių pirkimas akcijos "Darom" dalyviams</t>
  </si>
  <si>
    <t>41</t>
  </si>
  <si>
    <t>Autobuso nuoma nuvežti dalyvius į "Grybavimo čempionatą" Varėnoje</t>
  </si>
  <si>
    <t>42</t>
  </si>
  <si>
    <t>Pastato Danės g. 17 išlaikymas pagal panaudos sutartį</t>
  </si>
  <si>
    <t>43</t>
  </si>
  <si>
    <t xml:space="preserve">Puokščių ir gėlių pirkimas </t>
  </si>
  <si>
    <t>44</t>
  </si>
  <si>
    <t xml:space="preserve">Žaliuzių pirkimas </t>
  </si>
  <si>
    <t>45</t>
  </si>
  <si>
    <t>Komunaliniai mokesčiai UAB"Vitės valdos" (už I. Kanto g.11 ir H. Manto g.51 patalpas)</t>
  </si>
  <si>
    <t>46</t>
  </si>
  <si>
    <t>Komunaliniai mokesčiai UAB"Pamario vyturys"(už Laukininkų g. 19a patalpas)</t>
  </si>
  <si>
    <t>47</t>
  </si>
  <si>
    <t>48</t>
  </si>
  <si>
    <t>Apsauginės bei priešgaisrinės signalizacijos sistemų administracijos pastatuose įrengimas</t>
  </si>
  <si>
    <t>49</t>
  </si>
  <si>
    <t>50</t>
  </si>
  <si>
    <t>51</t>
  </si>
  <si>
    <t>52</t>
  </si>
  <si>
    <r>
      <rPr>
        <b/>
        <sz val="10"/>
        <rFont val="Times New Roman"/>
        <family val="1"/>
        <charset val="186"/>
      </rPr>
      <t>Savivaldybės administracijos</t>
    </r>
    <r>
      <rPr>
        <sz val="10"/>
        <rFont val="Times New Roman"/>
        <family val="1"/>
      </rPr>
      <t xml:space="preserve"> darbo užmokestis</t>
    </r>
  </si>
  <si>
    <t>KPP</t>
  </si>
  <si>
    <t>Atstovavimas teismuose ir teismo sprendimų vykdymas (įskaitant Investicijų į pastatą S. Daukanto g. 15 nuomininkui atlyginimą pagal 1996-11-20  nuomos sutartį Nr. 231, Nuostolių atlyginimą AB „City service“ pagal teismo sprendimą)</t>
  </si>
  <si>
    <t>PVM srautų valdymo konsultavimo paslaugų Klaipėdos miesto savivaldybėje pirkimas</t>
  </si>
  <si>
    <t>Dokumentų paskirstymo lentynų įsigijimas</t>
  </si>
  <si>
    <t>Daugiabučių gyvenamųjų namų žemės nuomos mokesčio paskirstymo ir administravimo paslaugos iš namų administratorių pirkimas</t>
  </si>
  <si>
    <t>Dokumentų valdymo sk.</t>
  </si>
  <si>
    <t>Teisės sk.</t>
  </si>
  <si>
    <t>Mokesčių sk.</t>
  </si>
  <si>
    <t>Ūkio sk.</t>
  </si>
  <si>
    <t>Buhalterija</t>
  </si>
  <si>
    <t>Iš viso :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</si>
  <si>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KPP</t>
    </r>
  </si>
  <si>
    <t>SB(VB)</t>
  </si>
  <si>
    <t>Savivaldybės tarybos finansinio, ūkinio bei materialinio aptarnavimo užtikrinimas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</si>
  <si>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</si>
  <si>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Kurti savivaldybės valdymo sistemą, patogią verslui ir gyventojams</t>
  </si>
  <si>
    <t>Savivaldybei priklausančių patalpų eksploatacinių ir kitų išlaidų padengimas</t>
  </si>
  <si>
    <t>Organizuoti savivaldybės veiklos bendrųjų funkcijų vykdymą</t>
  </si>
  <si>
    <t>1</t>
  </si>
  <si>
    <t>5</t>
  </si>
  <si>
    <t xml:space="preserve">Savivaldybei priklausančių statinių esamos techninės būklės įvertinimo paslaugų įsigijimas 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</si>
  <si>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</si>
  <si>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</si>
  <si>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</si>
  <si>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 TIKSLŲ, UŽDAVINIŲ, PRIEMONIŲ IR PRIEMONIŲ IŠLAIDŲ SUVESTINĖ</t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</si>
  <si>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</si>
  <si>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t>SB(SP)</t>
  </si>
  <si>
    <t>03 Savivaldybės valdymo programa</t>
  </si>
  <si>
    <t>Projekto „Klaipėdos miesto savivaldybės administracijos darbuotojų ir savivaldybės tarybos narių kvalifikacijos tobulinimas, II etapas“ įgyvendinimas</t>
  </si>
  <si>
    <t>Gerinti gyventojų aptarnavimo ir darbuotojų darbo sąlygas Savivaldybės administracijoje</t>
  </si>
  <si>
    <t>Diegti Savivaldybės administracijoje modernias informacines sistemas ir plėsti elektroninių paslaugų spektrą</t>
  </si>
  <si>
    <t>Objektų rengimas privatizavimui, privatizavimo programų rengimas, objektų privatizavimo organizavimas</t>
  </si>
  <si>
    <t>Produkto kriterijaus</t>
  </si>
  <si>
    <t>2015-ieji metai</t>
  </si>
  <si>
    <t>Mokymų dalyvių skaičius</t>
  </si>
  <si>
    <t>Namų administratorių, teikiančių paslaugas, skaičius</t>
  </si>
  <si>
    <t>Teisės skyrius</t>
  </si>
  <si>
    <t>Dokumentų valdymo skyrius</t>
  </si>
  <si>
    <t>Prisijungimų skaičius prie GRT sistemos, tūkst. kartų</t>
  </si>
  <si>
    <t>I</t>
  </si>
  <si>
    <t>Personalo skyrius</t>
  </si>
  <si>
    <t>Strateginio planavimo skyrius</t>
  </si>
  <si>
    <t>Viešosios tvarkos skyrius</t>
  </si>
  <si>
    <t>Savivaldybės tarybos sekretoriato darbuotojų skaičius</t>
  </si>
  <si>
    <t>Pastatų, kuriuose yra savivaldybei priklausančios negyvenamosios patalpos, bendro naudojimo objektų remonto išlaidų padengimas</t>
  </si>
  <si>
    <t>Savivaldybės administracijos veiklos užtikrinimas:</t>
  </si>
  <si>
    <t>Savivaldybės administracijos direktoriaus rezervas</t>
  </si>
  <si>
    <t>2016-ųjų metų lėšų projektas</t>
  </si>
  <si>
    <t>Asignavimų valdytojų kodų klasifikatorius*</t>
  </si>
  <si>
    <t xml:space="preserve">                              Pavadinimas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</si>
  <si>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</si>
  <si>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</si>
  <si>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</si>
  <si>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</si>
  <si>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</si>
  <si>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</si>
  <si>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</si>
  <si>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</si>
  <si>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</si>
  <si>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</si>
  <si>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</si>
  <si>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</si>
  <si>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>* patvirtinta Klaipėdos miesto savivaldybės administracijos direktoriaus 2011-02-24 įsakymu Nr. AD1-384</t>
  </si>
  <si>
    <t>Ūkio skyrius</t>
  </si>
  <si>
    <t>Per ataskaitinį laikotarpį užbaigtų bylų skaičius</t>
  </si>
  <si>
    <t>Išsiųstų laiškų skaičius, tūkst.</t>
  </si>
  <si>
    <t>Iš viso priemonei:</t>
  </si>
  <si>
    <t>Atlikta inžinerinių tinklų matavimų, km</t>
  </si>
  <si>
    <t>Perduota inžinerinių tinklų, km</t>
  </si>
  <si>
    <t>Projekto „Efektyvios valdymo paslaugos žmonėms“  įgyvendinimas</t>
  </si>
  <si>
    <t>2016-ieji metai</t>
  </si>
  <si>
    <t>Pasirašytų paskolų sutarčių skaičius</t>
  </si>
  <si>
    <t>P3.4.3.1</t>
  </si>
  <si>
    <t>Viešųjų ryšių paslaugų, skirtų savivaldybės veiklai viešinti ir įvaizdžio strategijai sukurti ir įgyvendinti, įsigijimas</t>
  </si>
  <si>
    <t>P3.4.2.2.</t>
  </si>
  <si>
    <t>P.3.4.3.1.</t>
  </si>
  <si>
    <t>Administracinio pastato, esančio Liepų g. 7, Klaipėdoje, atnaujinimas (modernizavimas), sumažinant energijos suvartojimo sąnaudas</t>
  </si>
  <si>
    <t>LRVB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</si>
  <si>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</si>
  <si>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</si>
  <si>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 xml:space="preserve">Rinkodaros ir reprezentacinių  priemonių vykdymas </t>
  </si>
  <si>
    <t>Lietuvos savivaldybių asociacija (LSA)</t>
  </si>
  <si>
    <t>P3.4.1.1,P3.4.2.1, P3.4.1.4</t>
  </si>
  <si>
    <t>Kontrolės ir audito tarnybos finansinio, ūkinio bei materialinio aptarnavimo užtikrinimas</t>
  </si>
  <si>
    <t>Viešosios tvarkos skyriaus naudojamų transporto priemonių išlaikymas</t>
  </si>
  <si>
    <t>Dalyvio mokestis už narystę Lietuvos savivaldybių asociacijoje  (LSA)</t>
  </si>
  <si>
    <t>FTD Apskaitos skyrius</t>
  </si>
  <si>
    <t>FTD Mokesčių skyrius</t>
  </si>
  <si>
    <t>IED Tarptautinių ryšių, verslo plėtros ir turizmo skyrius</t>
  </si>
  <si>
    <t>FTD Finansų sk.</t>
  </si>
  <si>
    <t>FTD Turto skyrius</t>
  </si>
  <si>
    <t>IED Tarptautinių ryšių, verslo plėtros ir turizmo sk.</t>
  </si>
  <si>
    <t>UPD  Statybos leidimų ir statinių priežiūros skyrius</t>
  </si>
  <si>
    <t>IED Projektų skyrius</t>
  </si>
  <si>
    <t>Informavimo ir e.paslaugų skyrius</t>
  </si>
  <si>
    <t>SB(VR)</t>
  </si>
  <si>
    <r>
      <t xml:space="preserve">Savivaldybės biudžeto rinkliavos lėšos </t>
    </r>
    <r>
      <rPr>
        <b/>
        <sz val="10"/>
        <rFont val="Times New Roman"/>
        <family val="1"/>
        <charset val="186"/>
      </rPr>
      <t>SB(VR)</t>
    </r>
  </si>
  <si>
    <t>Nupirkta spaudos ploto   dienraščiuose, psl.</t>
  </si>
  <si>
    <t>VALDYMO PROGRAMOS (NR. 3)</t>
  </si>
  <si>
    <t>P3.4.1.1.</t>
  </si>
  <si>
    <t>Ūkio tarnyba</t>
  </si>
  <si>
    <t>Savivaldybės administracijos reikmėms naudojamų pastatų ir patalpų einamasis remontas:</t>
  </si>
  <si>
    <t>Savivaldybės tarybos sekretoriato finansinio, ūkinio bei materialinio aptarnavimo užtikrinimas</t>
  </si>
  <si>
    <t>Savivaldybei nuosavybės teise priklausančio ir patikėjimo teise valdomo turto valdymas, naudojimas ir disponavimas:</t>
  </si>
  <si>
    <t>Dalyvavimas vietinių ir tarptautinių organizacijų veikloje:</t>
  </si>
  <si>
    <t>Savivaldybės administracijos darbuotojų skaičius</t>
  </si>
  <si>
    <t>Perkeltų paslaugų skaičius, vnt.</t>
  </si>
  <si>
    <t>Savivaldybės tarybos narių skaičius</t>
  </si>
  <si>
    <t>Kontrolės ir audito tarnybos darbuotojų skaičius</t>
  </si>
  <si>
    <t xml:space="preserve">Eksploatuojamų kompiuterių skaičius, vnt. </t>
  </si>
  <si>
    <t>Korespondencijos siuntimo paštu organizavimas, spaudinių prenumerata</t>
  </si>
  <si>
    <t>Viešųjų ryšių plėtojimas:</t>
  </si>
  <si>
    <r>
      <t xml:space="preserve">Savivaldybės biudžeto privatizavimo fondo lėšos </t>
    </r>
    <r>
      <rPr>
        <b/>
        <sz val="10"/>
        <rFont val="Times New Roman"/>
        <family val="1"/>
        <charset val="186"/>
      </rPr>
      <t>SB(PF)</t>
    </r>
  </si>
  <si>
    <t>Išmokos seniūnaičiams</t>
  </si>
  <si>
    <t>Prisijungimų skaičius prie Registrų centro sistemos, tūkst. kartų</t>
  </si>
  <si>
    <t>IED Licencijų, leidimų ir vartotojų teisių apsaugos skyrius</t>
  </si>
  <si>
    <t>Parengtas techninis projektas, vnt.</t>
  </si>
  <si>
    <t>Valstybės deleguotų funkcijų vykdymas:</t>
  </si>
  <si>
    <t>Žemės ūkio priemonių vykdymas</t>
  </si>
  <si>
    <t>Darbo rinkos politikos priemonių vykdymas</t>
  </si>
  <si>
    <t>Vykdoma sutartis su Klaipėdos rajono savivaldybe, vnt.</t>
  </si>
  <si>
    <t>Įdarbinta asmenų, vnt.</t>
  </si>
  <si>
    <t>Mero reprezentacinių priemonių vykdymas (Mero fondo naudojimas)</t>
  </si>
  <si>
    <t>Nekilnojamojo turto matavimai ir  teisinė registracija</t>
  </si>
  <si>
    <t>Automobilių statymo aikštelės prie „Švyturio“ arenos apšvietimo išlaidų dengimas ir energetinių išteklių išlaidų kompensavimas UAB „Klaipėdos arena“</t>
  </si>
  <si>
    <t>Projekto „Interaktyvių elektroninių paslaugų plėtra ir prieinamumas“ įgyvendinimas</t>
  </si>
  <si>
    <t>Projekto „Centralizuotas savivaldybių paslaugų perkėlimas į elektroninę erdvę“ įgyvendinimas</t>
  </si>
  <si>
    <t>Dalyvavimas projekte „Besikeičiantys miestai: bendradarbiavimas miestų plėtros srityje“</t>
  </si>
  <si>
    <t>Pastato Laukininkų g. 19A fasado einamasis remontas</t>
  </si>
  <si>
    <t>Įsigyta IT įrangos, vnt.</t>
  </si>
  <si>
    <t>Įrengta skaitmeninių e. kioskų, vnt.</t>
  </si>
  <si>
    <t>Veiklos plano tikslo kodas</t>
  </si>
  <si>
    <t>Papriemonės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</si>
  <si>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</si>
  <si>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Vykdytojas (skyrius / asmuo)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</si>
  <si>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</si>
  <si>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</si>
  <si>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</si>
  <si>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</si>
  <si>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r>
      <t xml:space="preserve">2014–2017 M. KLAIPĖDOS MIESTO SAVIVALDYBĖS </t>
    </r>
    <r>
      <rPr>
        <b/>
        <sz val="11"/>
        <rFont val="Times New Roman"/>
        <family val="1"/>
        <charset val="186"/>
      </rPr>
      <t xml:space="preserve">                       
VALDYMO PROGRAMOS (NR. 03)</t>
    </r>
  </si>
  <si>
    <t>2016-ųjų m. lėšų poreikis</t>
  </si>
  <si>
    <t>2017-ųjų m. lėšų poreikis</t>
  </si>
  <si>
    <t>Savivaldybės administracijos veiklos užtikrinimas (pastatų eksploatacija, materialinis aprūpinimas)</t>
  </si>
  <si>
    <t>SB(SPL)</t>
  </si>
  <si>
    <t>SB(L)</t>
  </si>
  <si>
    <t>2017-ieji metai</t>
  </si>
  <si>
    <t>Daugiabučių gyvenamųjų namų žemės nuomos mokesčio paskirstymo ir administravimo paslaugos pirkimas</t>
  </si>
  <si>
    <t>Pateiktų suvest. duomenų apie nekilnojamojo turto vertes, proc.</t>
  </si>
  <si>
    <t>Atlikta apklausų, tyrimų, vnt.</t>
  </si>
  <si>
    <t>Informacijos sklaida žiniasklaidos priemonėse, savivaldybės skelbimų publikavimas</t>
  </si>
  <si>
    <t xml:space="preserve">Įsigytų rinkodaros  priemonių skaičius, vnt. </t>
  </si>
  <si>
    <t>Įsigytų paslaugų skaičius, vnt.</t>
  </si>
  <si>
    <t>9/40</t>
  </si>
  <si>
    <t>10/45</t>
  </si>
  <si>
    <t>Turimos programinės įrangos priežiūra ir konsultavimas</t>
  </si>
  <si>
    <t>Programinės įrangos naudojimo licencijų nuoma</t>
  </si>
  <si>
    <t>Pastato Liepų g. 7 I aukšto bei rūsio patalpų einamasis remontas</t>
  </si>
  <si>
    <t>Pastato Liepų g. 11  patalpų einamasis remontas (parketo atnaujinimas, laminuotos grindų dangos atnaujinimas, kabinetų remontas)</t>
  </si>
  <si>
    <t>Pastato Liepų g. 11  fasado remontas</t>
  </si>
  <si>
    <t>Pagal poreikį įsigytų aprangos komplektų skaičius, vnt.</t>
  </si>
  <si>
    <t>1/31</t>
  </si>
  <si>
    <t>Apmokėjimas už advokatų ir antstolių paslaugas</t>
  </si>
  <si>
    <t xml:space="preserve">Įdiegta projektų valdymo informacinė sistema, vnt. </t>
  </si>
  <si>
    <t>Atlikti kelių ir aikštelių matavimai, km</t>
  </si>
  <si>
    <t>Remontuojamų objektų kiekis, vnt.</t>
  </si>
  <si>
    <t>Savivaldybės kontroliuojamų įmonių įstatinio kapitalo didinimas, perduodant inžinerinius tinklus funkcijoms vykdyti</t>
  </si>
  <si>
    <t xml:space="preserve">Parengta projektų, vnt. </t>
  </si>
  <si>
    <t>Privatizuota objektų, vnt.</t>
  </si>
  <si>
    <t xml:space="preserve">Savivaldybės nekilnojamojo turto  (negyvenamoji paskirtis) remontas </t>
  </si>
  <si>
    <t>Turto valdymo dokumentų rengimas (galimybių studijos, ekspertizės ir kt.)</t>
  </si>
  <si>
    <t>Likviduota įmonių, vnt.</t>
  </si>
  <si>
    <t xml:space="preserve">Nerentabiliai veikiančių įmonių likvidavimas </t>
  </si>
  <si>
    <t xml:space="preserve">Dalyvavimas tarptautinių organizacijų,  miestų partnerių organizuojamuose tarptautiniuose renginiuose </t>
  </si>
  <si>
    <t>Savivaldybės nenaudojamų (neeksploatuojamų) statinių   nugriovimas ir jų inžinerinių tinklų techninės būklės palaikymas (nugriovimas)</t>
  </si>
  <si>
    <t>Parengtos baseino operatoriaus parinkimo konkurso salygos ir galimybių studija</t>
  </si>
  <si>
    <t>Privatizuota gyvenamųjų patalpų ir jų priklausinių, vnt.</t>
  </si>
  <si>
    <t>Įrengtas LED ekranas</t>
  </si>
  <si>
    <t>Atlikti pastato modernizavimo darbai, užbaigtumas, proc.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</si>
  <si>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</si>
  <si>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Informavimo ir e. paslaugų skyrius</t>
  </si>
  <si>
    <t>Pastato Liepų g. 11 stogo remontas</t>
  </si>
  <si>
    <t>Kiti finansavimo šaltiniai Kt</t>
  </si>
  <si>
    <t xml:space="preserve">MŪD </t>
  </si>
  <si>
    <t>2/20</t>
  </si>
  <si>
    <t>1/20</t>
  </si>
  <si>
    <t xml:space="preserve">Dalyvio mokestis už narystę   tarptautinių organizacijų veikloje  (Cruise Baltic – CB, EUROCITIES, Union of the Baltic Cities – UBC, Baltic Sail,  European Cities Against Drugs – ECAD, World Health Organization – WHO,  Kommunnes Internasjonale Miljøorganisasjon – KIMO)   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</si>
  <si>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</si>
  <si>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 m. asignavimų planas</t>
  </si>
  <si>
    <t xml:space="preserve">                              1-10</t>
  </si>
  <si>
    <r>
      <t xml:space="preserve">2015–2017 M. KLAIPĖDOS MIESTO SAVIVALDYBĖS </t>
    </r>
    <r>
      <rPr>
        <b/>
        <sz val="11"/>
        <rFont val="Times New Roman"/>
        <family val="1"/>
        <charset val="186"/>
      </rPr>
      <t xml:space="preserve">                       
VALDYMO PROGRAMOS (NR. 03)</t>
    </r>
  </si>
  <si>
    <t>Pašalpų ir kompensacijų administravimas</t>
  </si>
  <si>
    <t>Organizuota renginių, vnt.</t>
  </si>
  <si>
    <t>2</t>
  </si>
  <si>
    <t>Apmokėta ieškinių, vnt.</t>
  </si>
  <si>
    <t>Įsigyta atminimo ženklų, vnt</t>
  </si>
  <si>
    <t>Kompiuterinė ir organizacinė technika</t>
  </si>
  <si>
    <t>Kompiuterinė ir organizacinė technika Liepų g. 7</t>
  </si>
  <si>
    <t>Licencijų pirkimas</t>
  </si>
  <si>
    <t>Žemės nuomos mokesčio skaičiavimo informacinės sistemos MASIS naujos versijos pirkimas</t>
  </si>
  <si>
    <t>Išnuomota IT įrangos</t>
  </si>
  <si>
    <t>Įsigyta licencijų, vnt.</t>
  </si>
  <si>
    <t>Įsigyta IS</t>
  </si>
  <si>
    <t>Išnuomota  programinės įrangos licencijų, vnt.</t>
  </si>
  <si>
    <t>Kompiuterinės ir organizacinės technikos bei licencijų įsigijimas:</t>
  </si>
  <si>
    <t>Kompiuterinės ir organizacinės technikos eksploatavimas:</t>
  </si>
  <si>
    <t>Teismo išlaidų apmokėjimas</t>
  </si>
  <si>
    <t>Mokymų (valstybės tarnautojų įvadiniai mokymai, specifiniai mokymai atestatams ir licencijoms įgyti) organizavimas</t>
  </si>
  <si>
    <r>
      <t xml:space="preserve">Viešosios tvarkos skyriaus materialinis aprūpinimas </t>
    </r>
    <r>
      <rPr>
        <sz val="10"/>
        <rFont val="Times New Roman"/>
        <family val="1"/>
        <charset val="186"/>
      </rPr>
      <t xml:space="preserve">(pašto, kanceliarinių prekių bei tarnybinės aprangos įsigijimas) </t>
    </r>
  </si>
  <si>
    <t>VIKT paslaugų  (internetinis ryšys, kompiuterinių duomenų perdavimas) įsigijimas</t>
  </si>
  <si>
    <t xml:space="preserve">Programinės įrangos naudojimo licencijų nuoma Biudžetinių įstaigų centralizuotos apskaitos skyriui (Liepų g. 7) </t>
  </si>
  <si>
    <t>Techninis aptarnavimas (spausdintuvų, biuro įrangos remonto darbai, profilaktinė priežiūra) pagal poreikį ir faktą</t>
  </si>
  <si>
    <t>Pastato Kanto g. 11 (Vaiko teisių apsaugos tarnyba) patalpų einamasis remontas, elektros instaliacijos modernizavimas</t>
  </si>
  <si>
    <t>Pastato Laukininkų g. 19A (Socialinės paramos skyrius) fasado einamasis remontas</t>
  </si>
  <si>
    <t>Informacinių technologijų palaikymas ir plėtojimas Savivaldybės administracijoje</t>
  </si>
  <si>
    <t>Kompiuterinės ir organizacinės technikos bei licencijų įsigijimas</t>
  </si>
  <si>
    <t>Kompiuterinės ir organizacinės technikos eksploatavimas</t>
  </si>
  <si>
    <t>11/125</t>
  </si>
  <si>
    <t>/180</t>
  </si>
  <si>
    <t>/250</t>
  </si>
  <si>
    <r>
      <rPr>
        <b/>
        <sz val="10"/>
        <rFont val="Times New Roman"/>
        <family val="1"/>
        <charset val="186"/>
      </rPr>
      <t>Priemonių, mažinančių administracinę naštą juridiniams ir fiziniams asmenims, taikymas</t>
    </r>
    <r>
      <rPr>
        <sz val="10"/>
        <rFont val="Times New Roman"/>
        <family val="1"/>
        <charset val="186"/>
      </rPr>
      <t xml:space="preserve"> (Licencijų ir leidimų išdavimo, proceso valdymo ir kontrolės sistemos sukūrimas)</t>
    </r>
  </si>
  <si>
    <r>
      <t>Priemonių, mažinančių administracinę naštą juridiniams ir fiziniams asmenims, taikymas</t>
    </r>
    <r>
      <rPr>
        <sz val="10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Licencijų ir leidimų išdavimo, proceso valdymo ir kontrolės sistemos sukūrimas)</t>
    </r>
  </si>
  <si>
    <t>Perkeltų į elektroninę erdvę paslaugų skaičius, vnt.</t>
  </si>
  <si>
    <t>Įrengtas LED ekranas, vnt.</t>
  </si>
  <si>
    <t>Savivaldybės administracijos darbuotojų etatų skaičius</t>
  </si>
  <si>
    <t>Per ataskaitinį laikotarpį užbaigtų bylų (teismuose) skaičius</t>
  </si>
  <si>
    <t>Parengtos baseino operatoriaus parinkimo konkurso salygos ir galimybių studija, vnt.</t>
  </si>
  <si>
    <t>Planas</t>
  </si>
  <si>
    <t xml:space="preserve">Eksploatuojama programa / IS vartotojų skaičius </t>
  </si>
  <si>
    <t>Renginių, kuriuose dalyvauta, skaičius</t>
  </si>
  <si>
    <t>Tarptautinių organizacijų, kurių narė yra Klaipėdos miesto savivaldybė,  skaičius</t>
  </si>
  <si>
    <t>Organizuota mokymų temų, skaičius / mokymų dalyvių skaičius</t>
  </si>
  <si>
    <t>Teisiškai įregistruotų objektų skaičius vnt.</t>
  </si>
  <si>
    <t>Atlikta kelių ir aikštelių matavimų, km</t>
  </si>
  <si>
    <t>Prižiūrimų objektų skaičius, vnt.</t>
  </si>
  <si>
    <t>Eksploatuojama žibintų, apšviečiančių aikšteles, skaičius</t>
  </si>
  <si>
    <t>Parengta UAB „Senasis turgus“ veiklos gerinimo galimybių studija, vnt.</t>
  </si>
  <si>
    <t>Suremontuotos patalpos Daukanto g. 24 ir Herkaus Manto g. 47, vnt.</t>
  </si>
  <si>
    <t>Nugriauta statinių, vnt. / prižiūrima inžinerinių tinklų, km</t>
  </si>
  <si>
    <t>Įvertinta pastatų, skaičius</t>
  </si>
  <si>
    <t>Įsigyta ar išnuomota IT įrangos, vnt.</t>
  </si>
  <si>
    <t>Konferencijų, kuriose dalyvauta, skaičius</t>
  </si>
  <si>
    <r>
      <t>Organizuota renginių (1990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>1995 m. Klaipėdos miesto tarybos 25-mečio paminėjimo renginys, Savivaldos diena), vnt.</t>
    </r>
  </si>
  <si>
    <r>
      <t>Suremontuota stogo ploto (Liepų g. 11), m</t>
    </r>
    <r>
      <rPr>
        <sz val="10"/>
        <rFont val="Calibri"/>
        <family val="2"/>
        <charset val="186"/>
      </rPr>
      <t>²</t>
    </r>
  </si>
  <si>
    <r>
      <t>Suremontuota patalpų pastate Liepų g. 7, m</t>
    </r>
    <r>
      <rPr>
        <sz val="10"/>
        <rFont val="Calibri"/>
        <family val="2"/>
        <charset val="186"/>
      </rPr>
      <t>²</t>
    </r>
  </si>
  <si>
    <r>
      <t>Suremontuota fasado ploto,  m</t>
    </r>
    <r>
      <rPr>
        <sz val="10"/>
        <rFont val="Calibri"/>
        <family val="2"/>
        <charset val="186"/>
      </rPr>
      <t>²</t>
    </r>
  </si>
  <si>
    <r>
      <t>Suremontuota parketo ploto, m</t>
    </r>
    <r>
      <rPr>
        <sz val="10"/>
        <rFont val="Calibri"/>
        <family val="2"/>
        <charset val="186"/>
      </rPr>
      <t>²</t>
    </r>
  </si>
  <si>
    <r>
      <t>Pakeista laminuotos grindų dangos ploto, m</t>
    </r>
    <r>
      <rPr>
        <sz val="10"/>
        <rFont val="Calibri"/>
        <family val="2"/>
        <charset val="186"/>
      </rPr>
      <t>²</t>
    </r>
  </si>
  <si>
    <r>
      <t>Suremontuota kabinetų ploto, m</t>
    </r>
    <r>
      <rPr>
        <sz val="10"/>
        <rFont val="Calibri"/>
        <family val="2"/>
        <charset val="186"/>
      </rPr>
      <t>²</t>
    </r>
  </si>
  <si>
    <r>
      <t>Suremontuota patalpų ploto, m</t>
    </r>
    <r>
      <rPr>
        <sz val="10"/>
        <rFont val="Calibri"/>
        <family val="2"/>
        <charset val="186"/>
      </rPr>
      <t>²</t>
    </r>
  </si>
  <si>
    <r>
      <t>Suremontuota fasado ploto (Laukininkų g. 19A), m</t>
    </r>
    <r>
      <rPr>
        <sz val="10"/>
        <rFont val="Calibri"/>
        <family val="2"/>
        <charset val="186"/>
      </rPr>
      <t>²</t>
    </r>
  </si>
  <si>
    <t xml:space="preserve">Dalyvio mokestis už narystę  tarptautinių organizacijų veikloje  (Cruise Baltic – CB, EUROCITIES, Union of the Baltic Cities – UBC, Baltic Sail,  European Cities Against Drugs – ECAD, World Health Organization – WHO,  Kommunnes Internasjonale Miljøorganisasjon – KIMO)   </t>
  </si>
  <si>
    <t>Gyvenamųjų patalpų ir jų priklausinių, taip pat pagalbinės paskirties pastatų, jų dalių privatizavimo dokumentų rengimas</t>
  </si>
  <si>
    <t>Savivaldybės nenaudojamų (neeksploatuojamų) statinių  nugriovimas ir jų inžinerinių tinklų techninės būklės palaikymas (nugriovimas)</t>
  </si>
  <si>
    <t>Pastato I. Kanto g. 11  patalpų einamasis remontas, elektros instaliacijos modernizavimas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</si>
  <si>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</si>
  <si>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>Eur</t>
  </si>
  <si>
    <t>Organizuota mokymų temų, skaičius / Mokymų dalyvių skaičius, vnt.</t>
  </si>
  <si>
    <t>Įvykdytų rinkodaros priemonių, skaičius</t>
  </si>
  <si>
    <t>Įsigyta suvenyrinių knygų fotoalbumų, vnt.</t>
  </si>
  <si>
    <t>Eksploatuojama ir remontuojama automobilių, skaičius</t>
  </si>
  <si>
    <t>Aprūpintų seniūnaičių skaičius</t>
  </si>
  <si>
    <t>Tarptautinių organizacijų, kurių narė yra Klaipėdos miesto savivaldybė, skaičius</t>
  </si>
  <si>
    <t>Teisiškai įregistruotų objektų skaičius, vnt.</t>
  </si>
  <si>
    <t>Parengta UAB „Senasis turgus“ veiklos gerinimo galimybių studija</t>
  </si>
  <si>
    <t>Suremontuoti Daukanto g. 24 ir Herkaus Manto g. 47 objektai, vnt.</t>
  </si>
  <si>
    <t>Nugriauta statinių, vnt. / Prižiūrima inžinerinių tinklų, km</t>
  </si>
  <si>
    <t>Suremontuota stogo ploto (Liepų g. 11), m²</t>
  </si>
  <si>
    <t>Suremontuota fasado ploto,  m²</t>
  </si>
  <si>
    <t>Suremontuota parketo ploto, m²</t>
  </si>
  <si>
    <t>Pakeista laminuotos grindų dangos ploto, m²</t>
  </si>
  <si>
    <t>Suremontuota kabinetų ploto, m²</t>
  </si>
  <si>
    <t>Suremontuota patalpų ploto, m²</t>
  </si>
  <si>
    <t>Suremontuota fasado ploto (Laukininkų g. 19A), m²</t>
  </si>
  <si>
    <t>Savivaldybės administracijos veiklos užtikrinimas (darbo užmokestis)</t>
  </si>
  <si>
    <t>Gyventojų apklausos, nuomonių tyrimai</t>
  </si>
  <si>
    <t>Atstovavimo teismuose ir teismų sprendimų vykdymo organizavimas bei teismo išlaidų apmokėjimas:</t>
  </si>
  <si>
    <t>VšĮ „Klaipėdos šventės“ vietinės rinkliavos administravimo apmokėjimas (15 % nuo surinktos rinkliavos)</t>
  </si>
  <si>
    <t>Naudojimasis „Regitros“, Registrų centro, Gyventojų registro tarnybos informacinėmis duomenų bazėmis</t>
  </si>
  <si>
    <t>Administracinių teisės aktų pažeidimų protokolų valdymo sistemos įdiegimas ir eksploatavimas</t>
  </si>
  <si>
    <t>Nekilnojamojo turto matavimai ir teisinė registracija</t>
  </si>
  <si>
    <t>Eksploatacinių medžiagų (spausdintuvų kasetės, rašalai ir dažai), kompiuterinių dalių ir priedų įsigijimas</t>
  </si>
  <si>
    <t>Eksploatacinių medžiagų Biudžetinių įstaigų centralizuotos apskaitos skyriui (Liepų g. 7) įsigijimas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</si>
</sst>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6" formatCode="#,##0.0;[Red]#,##0.0"/>
  </numFmts>
  <fonts count="34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b/>
      <sz val="7"/>
      <name val="Times New Roman"/>
      <family val="1"/>
      <charset val="186"/>
    </font>
    <font>
      <b/>
      <sz val="10"/>
      <name val="Arial"/>
      <family val="2"/>
      <charset val="186"/>
    </font>
    <font>
      <sz val="7"/>
      <name val="Times New Roman"/>
      <family val="1"/>
    </font>
    <font>
      <b/>
      <u/>
      <sz val="10"/>
      <name val="Times New Roman"/>
      <family val="1"/>
      <charset val="186"/>
    </font>
    <font>
      <sz val="10"/>
      <color indexed="60"/>
      <name val="Times New Roman"/>
      <family val="1"/>
    </font>
    <font>
      <sz val="10"/>
      <color indexed="60"/>
      <name val="Arial"/>
      <family val="2"/>
      <charset val="186"/>
    </font>
    <font>
      <sz val="12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sz val="10"/>
      <color theme="3" tint="0.39997558519241921"/>
      <name val="Times New Roman"/>
      <family val="1"/>
      <charset val="186"/>
    </font>
    <font>
      <sz val="10"/>
      <name val="Calibri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28" fillId="0" borderId="0"/>
    <xf numFmtId="0" fontId="15" fillId="0" borderId="0"/>
    <xf numFmtId="0" fontId="13" fillId="0" borderId="0"/>
    <xf numFmtId="43" fontId="1" fillId="0" borderId="0" applyFont="0" applyFill="0" applyBorder="0" applyAlignment="0" applyProtection="0"/>
    <xf numFmtId="0" fontId="27" fillId="0" borderId="0"/>
    <xf numFmtId="0" fontId="14" fillId="0" borderId="0"/>
  </cellStyleXfs>
  <cellXfs count="2122">
    <xf numFmtId="0" fontId="0" fillId="0" borderId="0" xfId="0"/>
    <xf numFmtId="0" fontId="10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49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10" fillId="0" borderId="0" xfId="0" applyNumberFormat="1" applyFont="1" applyBorder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2" fillId="0" borderId="16" xfId="1" applyFont="1" applyBorder="1" applyAlignment="1">
      <alignment horizontal="center" vertical="center" textRotation="90" wrapText="1"/>
    </xf>
    <xf numFmtId="49" fontId="6" fillId="4" borderId="17" xfId="1" applyNumberFormat="1" applyFont="1" applyFill="1" applyBorder="1" applyAlignment="1">
      <alignment horizontal="center" vertical="top"/>
    </xf>
    <xf numFmtId="49" fontId="6" fillId="4" borderId="18" xfId="1" applyNumberFormat="1" applyFont="1" applyFill="1" applyBorder="1" applyAlignment="1">
      <alignment horizontal="center" vertical="top"/>
    </xf>
    <xf numFmtId="0" fontId="15" fillId="0" borderId="19" xfId="1" applyFont="1" applyBorder="1" applyAlignment="1">
      <alignment vertical="top" wrapText="1"/>
    </xf>
    <xf numFmtId="49" fontId="6" fillId="5" borderId="20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horizontal="center" vertical="top"/>
    </xf>
    <xf numFmtId="49" fontId="7" fillId="0" borderId="22" xfId="1" applyNumberFormat="1" applyFont="1" applyBorder="1" applyAlignment="1">
      <alignment horizontal="center" vertical="top"/>
    </xf>
    <xf numFmtId="0" fontId="15" fillId="0" borderId="23" xfId="1" applyFont="1" applyBorder="1" applyAlignment="1">
      <alignment horizontal="center" vertical="top"/>
    </xf>
    <xf numFmtId="49" fontId="7" fillId="0" borderId="15" xfId="1" applyNumberFormat="1" applyFont="1" applyBorder="1" applyAlignment="1">
      <alignment horizontal="center" vertical="top"/>
    </xf>
    <xf numFmtId="0" fontId="15" fillId="0" borderId="10" xfId="1" applyFont="1" applyBorder="1" applyAlignment="1">
      <alignment horizontal="center" vertical="top" wrapText="1"/>
    </xf>
    <xf numFmtId="164" fontId="6" fillId="2" borderId="18" xfId="1" applyNumberFormat="1" applyFont="1" applyFill="1" applyBorder="1" applyAlignment="1">
      <alignment horizontal="center" vertical="top"/>
    </xf>
    <xf numFmtId="164" fontId="3" fillId="0" borderId="20" xfId="1" applyNumberFormat="1" applyFont="1" applyFill="1" applyBorder="1" applyAlignment="1">
      <alignment horizontal="center" vertical="top"/>
    </xf>
    <xf numFmtId="164" fontId="6" fillId="2" borderId="24" xfId="1" applyNumberFormat="1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right" vertical="top" wrapText="1"/>
    </xf>
    <xf numFmtId="0" fontId="12" fillId="0" borderId="16" xfId="1" applyFont="1" applyFill="1" applyBorder="1" applyAlignment="1">
      <alignment horizontal="center" vertical="center" textRotation="90" wrapText="1"/>
    </xf>
    <xf numFmtId="164" fontId="3" fillId="0" borderId="25" xfId="1" applyNumberFormat="1" applyFont="1" applyFill="1" applyBorder="1" applyAlignment="1">
      <alignment horizontal="center" vertical="top"/>
    </xf>
    <xf numFmtId="164" fontId="3" fillId="0" borderId="26" xfId="1" applyNumberFormat="1" applyFont="1" applyFill="1" applyBorder="1" applyAlignment="1">
      <alignment horizontal="center" vertical="top"/>
    </xf>
    <xf numFmtId="164" fontId="7" fillId="0" borderId="27" xfId="1" applyNumberFormat="1" applyFont="1" applyFill="1" applyBorder="1" applyAlignment="1">
      <alignment horizontal="center" vertical="top"/>
    </xf>
    <xf numFmtId="49" fontId="6" fillId="5" borderId="28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vertical="top"/>
    </xf>
    <xf numFmtId="0" fontId="18" fillId="0" borderId="10" xfId="1" applyFont="1" applyBorder="1" applyAlignment="1">
      <alignment horizontal="center" vertical="top"/>
    </xf>
    <xf numFmtId="164" fontId="6" fillId="2" borderId="29" xfId="1" applyNumberFormat="1" applyFont="1" applyFill="1" applyBorder="1" applyAlignment="1">
      <alignment horizontal="center" vertical="top"/>
    </xf>
    <xf numFmtId="164" fontId="6" fillId="2" borderId="30" xfId="1" applyNumberFormat="1" applyFont="1" applyFill="1" applyBorder="1" applyAlignment="1">
      <alignment horizontal="center" vertical="top"/>
    </xf>
    <xf numFmtId="164" fontId="6" fillId="2" borderId="21" xfId="1" applyNumberFormat="1" applyFont="1" applyFill="1" applyBorder="1" applyAlignment="1">
      <alignment horizontal="center" vertical="top"/>
    </xf>
    <xf numFmtId="0" fontId="6" fillId="2" borderId="10" xfId="1" applyFont="1" applyFill="1" applyBorder="1" applyAlignment="1">
      <alignment horizontal="right" vertical="top" wrapText="1"/>
    </xf>
    <xf numFmtId="164" fontId="6" fillId="2" borderId="31" xfId="1" applyNumberFormat="1" applyFont="1" applyFill="1" applyBorder="1" applyAlignment="1">
      <alignment horizontal="center" vertical="top"/>
    </xf>
    <xf numFmtId="164" fontId="6" fillId="2" borderId="32" xfId="1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 wrapText="1"/>
    </xf>
    <xf numFmtId="164" fontId="7" fillId="0" borderId="33" xfId="1" applyNumberFormat="1" applyFont="1" applyFill="1" applyBorder="1" applyAlignment="1">
      <alignment horizontal="center" vertical="top"/>
    </xf>
    <xf numFmtId="164" fontId="7" fillId="0" borderId="34" xfId="1" applyNumberFormat="1" applyFont="1" applyFill="1" applyBorder="1" applyAlignment="1">
      <alignment horizontal="center" vertical="top"/>
    </xf>
    <xf numFmtId="164" fontId="7" fillId="0" borderId="35" xfId="1" applyNumberFormat="1" applyFont="1" applyFill="1" applyBorder="1" applyAlignment="1">
      <alignment horizontal="center" vertical="top"/>
    </xf>
    <xf numFmtId="0" fontId="6" fillId="2" borderId="5" xfId="1" applyFont="1" applyFill="1" applyBorder="1" applyAlignment="1">
      <alignment horizontal="right" vertical="top" wrapText="1"/>
    </xf>
    <xf numFmtId="164" fontId="7" fillId="2" borderId="36" xfId="1" applyNumberFormat="1" applyFont="1" applyFill="1" applyBorder="1" applyAlignment="1">
      <alignment horizontal="center" vertical="top"/>
    </xf>
    <xf numFmtId="49" fontId="11" fillId="0" borderId="37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164" fontId="3" fillId="0" borderId="38" xfId="1" applyNumberFormat="1" applyFont="1" applyFill="1" applyBorder="1" applyAlignment="1">
      <alignment horizontal="center" vertical="top"/>
    </xf>
    <xf numFmtId="164" fontId="7" fillId="0" borderId="35" xfId="1" applyNumberFormat="1" applyFont="1" applyBorder="1" applyAlignment="1">
      <alignment horizontal="center" vertical="top"/>
    </xf>
    <xf numFmtId="49" fontId="11" fillId="0" borderId="7" xfId="1" applyNumberFormat="1" applyFont="1" applyBorder="1" applyAlignment="1">
      <alignment horizontal="center" vertical="top"/>
    </xf>
    <xf numFmtId="49" fontId="17" fillId="0" borderId="13" xfId="1" applyNumberFormat="1" applyFont="1" applyBorder="1" applyAlignment="1">
      <alignment horizontal="center" vertical="top"/>
    </xf>
    <xf numFmtId="164" fontId="7" fillId="0" borderId="29" xfId="1" applyNumberFormat="1" applyFont="1" applyFill="1" applyBorder="1" applyAlignment="1">
      <alignment horizontal="center" vertical="top"/>
    </xf>
    <xf numFmtId="164" fontId="7" fillId="0" borderId="36" xfId="1" applyNumberFormat="1" applyFont="1" applyFill="1" applyBorder="1" applyAlignment="1">
      <alignment horizontal="center" vertical="top"/>
    </xf>
    <xf numFmtId="0" fontId="15" fillId="0" borderId="18" xfId="1" applyFont="1" applyBorder="1" applyAlignment="1">
      <alignment vertical="top" wrapText="1"/>
    </xf>
    <xf numFmtId="49" fontId="17" fillId="0" borderId="15" xfId="1" applyNumberFormat="1" applyFont="1" applyBorder="1" applyAlignment="1">
      <alignment horizontal="center" vertical="top"/>
    </xf>
    <xf numFmtId="164" fontId="3" fillId="0" borderId="39" xfId="1" applyNumberFormat="1" applyFont="1" applyFill="1" applyBorder="1" applyAlignment="1">
      <alignment horizontal="center" vertical="top"/>
    </xf>
    <xf numFmtId="164" fontId="3" fillId="0" borderId="30" xfId="1" applyNumberFormat="1" applyFont="1" applyFill="1" applyBorder="1" applyAlignment="1">
      <alignment horizontal="center" vertical="top"/>
    </xf>
    <xf numFmtId="164" fontId="7" fillId="0" borderId="40" xfId="1" applyNumberFormat="1" applyFont="1" applyFill="1" applyBorder="1" applyAlignment="1">
      <alignment horizontal="center" vertical="top"/>
    </xf>
    <xf numFmtId="164" fontId="7" fillId="0" borderId="41" xfId="1" applyNumberFormat="1" applyFont="1" applyFill="1" applyBorder="1" applyAlignment="1">
      <alignment horizontal="center" vertical="top"/>
    </xf>
    <xf numFmtId="164" fontId="7" fillId="6" borderId="26" xfId="1" applyNumberFormat="1" applyFont="1" applyFill="1" applyBorder="1" applyAlignment="1">
      <alignment horizontal="center" vertical="top"/>
    </xf>
    <xf numFmtId="164" fontId="7" fillId="6" borderId="34" xfId="1" applyNumberFormat="1" applyFont="1" applyFill="1" applyBorder="1" applyAlignment="1">
      <alignment horizontal="center" vertical="top"/>
    </xf>
    <xf numFmtId="164" fontId="7" fillId="6" borderId="29" xfId="1" applyNumberFormat="1" applyFont="1" applyFill="1" applyBorder="1" applyAlignment="1">
      <alignment horizontal="center" vertical="top"/>
    </xf>
    <xf numFmtId="164" fontId="9" fillId="6" borderId="34" xfId="1" applyNumberFormat="1" applyFont="1" applyFill="1" applyBorder="1" applyAlignment="1">
      <alignment horizontal="center" vertical="top"/>
    </xf>
    <xf numFmtId="164" fontId="9" fillId="6" borderId="38" xfId="1" applyNumberFormat="1" applyFont="1" applyFill="1" applyBorder="1" applyAlignment="1">
      <alignment horizontal="center" vertical="top"/>
    </xf>
    <xf numFmtId="49" fontId="7" fillId="0" borderId="0" xfId="1" applyNumberFormat="1" applyFont="1" applyBorder="1" applyAlignment="1">
      <alignment horizontal="center" vertical="top"/>
    </xf>
    <xf numFmtId="49" fontId="7" fillId="0" borderId="4" xfId="1" applyNumberFormat="1" applyFont="1" applyBorder="1" applyAlignment="1">
      <alignment horizontal="center" vertical="top"/>
    </xf>
    <xf numFmtId="164" fontId="6" fillId="2" borderId="3" xfId="1" applyNumberFormat="1" applyFont="1" applyFill="1" applyBorder="1" applyAlignment="1">
      <alignment horizontal="center" vertical="top"/>
    </xf>
    <xf numFmtId="164" fontId="9" fillId="0" borderId="33" xfId="1" applyNumberFormat="1" applyFont="1" applyFill="1" applyBorder="1" applyAlignment="1">
      <alignment horizontal="center" vertical="top"/>
    </xf>
    <xf numFmtId="164" fontId="9" fillId="0" borderId="39" xfId="1" applyNumberFormat="1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164" fontId="3" fillId="0" borderId="20" xfId="0" applyNumberFormat="1" applyFont="1" applyFill="1" applyBorder="1" applyAlignment="1">
      <alignment horizontal="center" vertical="top" wrapText="1"/>
    </xf>
    <xf numFmtId="164" fontId="3" fillId="0" borderId="41" xfId="0" applyNumberFormat="1" applyFont="1" applyFill="1" applyBorder="1" applyAlignment="1">
      <alignment horizontal="center" vertical="top" wrapText="1"/>
    </xf>
    <xf numFmtId="164" fontId="3" fillId="0" borderId="17" xfId="0" applyNumberFormat="1" applyFont="1" applyFill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49" fontId="11" fillId="5" borderId="24" xfId="0" applyNumberFormat="1" applyFont="1" applyFill="1" applyBorder="1" applyAlignment="1">
      <alignment horizontal="center" vertical="top"/>
    </xf>
    <xf numFmtId="49" fontId="11" fillId="4" borderId="42" xfId="0" applyNumberFormat="1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11" fillId="4" borderId="42" xfId="0" applyNumberFormat="1" applyFont="1" applyFill="1" applyBorder="1" applyAlignment="1">
      <alignment horizontal="center" vertical="top"/>
    </xf>
    <xf numFmtId="164" fontId="11" fillId="4" borderId="43" xfId="0" applyNumberFormat="1" applyFont="1" applyFill="1" applyBorder="1" applyAlignment="1">
      <alignment horizontal="center" vertical="top"/>
    </xf>
    <xf numFmtId="164" fontId="11" fillId="4" borderId="24" xfId="0" applyNumberFormat="1" applyFont="1" applyFill="1" applyBorder="1" applyAlignment="1">
      <alignment horizontal="center" vertical="top"/>
    </xf>
    <xf numFmtId="164" fontId="11" fillId="4" borderId="21" xfId="0" applyNumberFormat="1" applyFont="1" applyFill="1" applyBorder="1" applyAlignment="1">
      <alignment horizontal="center" vertical="top"/>
    </xf>
    <xf numFmtId="164" fontId="11" fillId="4" borderId="31" xfId="0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4" xfId="0" applyFont="1" applyBorder="1" applyAlignment="1">
      <alignment horizontal="center" vertical="top"/>
    </xf>
    <xf numFmtId="49" fontId="11" fillId="3" borderId="24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Alignment="1">
      <alignment vertical="top"/>
    </xf>
    <xf numFmtId="0" fontId="3" fillId="0" borderId="45" xfId="0" applyFont="1" applyBorder="1" applyAlignment="1">
      <alignment horizontal="center" vertical="top"/>
    </xf>
    <xf numFmtId="0" fontId="16" fillId="2" borderId="46" xfId="0" applyFont="1" applyFill="1" applyBorder="1" applyAlignment="1">
      <alignment horizontal="center" vertical="top"/>
    </xf>
    <xf numFmtId="164" fontId="2" fillId="2" borderId="47" xfId="0" applyNumberFormat="1" applyFont="1" applyFill="1" applyBorder="1" applyAlignment="1">
      <alignment horizontal="center" vertical="top"/>
    </xf>
    <xf numFmtId="164" fontId="2" fillId="2" borderId="29" xfId="0" applyNumberFormat="1" applyFont="1" applyFill="1" applyBorder="1" applyAlignment="1">
      <alignment horizontal="center" vertical="top"/>
    </xf>
    <xf numFmtId="164" fontId="3" fillId="0" borderId="40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164" fontId="3" fillId="0" borderId="50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2" fillId="2" borderId="47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top"/>
    </xf>
    <xf numFmtId="164" fontId="3" fillId="0" borderId="52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" fillId="0" borderId="49" xfId="0" applyFont="1" applyBorder="1" applyAlignment="1">
      <alignment horizontal="center" vertical="top" wrapText="1"/>
    </xf>
    <xf numFmtId="0" fontId="16" fillId="6" borderId="51" xfId="0" applyFont="1" applyFill="1" applyBorder="1" applyAlignment="1">
      <alignment horizontal="center" vertical="top"/>
    </xf>
    <xf numFmtId="164" fontId="2" fillId="6" borderId="53" xfId="0" applyNumberFormat="1" applyFont="1" applyFill="1" applyBorder="1" applyAlignment="1">
      <alignment horizontal="center" vertical="top"/>
    </xf>
    <xf numFmtId="164" fontId="7" fillId="6" borderId="52" xfId="0" applyNumberFormat="1" applyFont="1" applyFill="1" applyBorder="1" applyAlignment="1">
      <alignment horizontal="center" vertical="top"/>
    </xf>
    <xf numFmtId="0" fontId="3" fillId="0" borderId="54" xfId="0" applyFont="1" applyBorder="1" applyAlignment="1">
      <alignment horizontal="center" vertical="top" wrapText="1"/>
    </xf>
    <xf numFmtId="164" fontId="3" fillId="0" borderId="52" xfId="0" applyNumberFormat="1" applyFont="1" applyFill="1" applyBorder="1" applyAlignment="1">
      <alignment horizontal="center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2" fillId="0" borderId="53" xfId="0" applyNumberFormat="1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16" xfId="0" applyNumberFormat="1" applyFont="1" applyFill="1" applyBorder="1" applyAlignment="1">
      <alignment horizontal="center" vertical="top"/>
    </xf>
    <xf numFmtId="164" fontId="7" fillId="6" borderId="53" xfId="0" applyNumberFormat="1" applyFont="1" applyFill="1" applyBorder="1" applyAlignment="1">
      <alignment horizontal="center" vertical="top"/>
    </xf>
    <xf numFmtId="164" fontId="7" fillId="0" borderId="40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/>
    </xf>
    <xf numFmtId="0" fontId="16" fillId="6" borderId="56" xfId="0" applyFont="1" applyFill="1" applyBorder="1" applyAlignment="1">
      <alignment vertical="top"/>
    </xf>
    <xf numFmtId="0" fontId="16" fillId="6" borderId="34" xfId="0" applyFont="1" applyFill="1" applyBorder="1" applyAlignment="1">
      <alignment vertical="top"/>
    </xf>
    <xf numFmtId="164" fontId="2" fillId="2" borderId="30" xfId="0" applyNumberFormat="1" applyFont="1" applyFill="1" applyBorder="1" applyAlignment="1">
      <alignment horizontal="center" vertical="top"/>
    </xf>
    <xf numFmtId="164" fontId="2" fillId="2" borderId="57" xfId="0" applyNumberFormat="1" applyFont="1" applyFill="1" applyBorder="1" applyAlignment="1">
      <alignment horizontal="center" vertical="top"/>
    </xf>
    <xf numFmtId="164" fontId="2" fillId="2" borderId="36" xfId="0" applyNumberFormat="1" applyFont="1" applyFill="1" applyBorder="1" applyAlignment="1">
      <alignment horizontal="center" vertical="top"/>
    </xf>
    <xf numFmtId="0" fontId="16" fillId="6" borderId="58" xfId="0" applyFont="1" applyFill="1" applyBorder="1" applyAlignment="1">
      <alignment vertical="top"/>
    </xf>
    <xf numFmtId="0" fontId="16" fillId="2" borderId="59" xfId="0" applyFont="1" applyFill="1" applyBorder="1" applyAlignment="1">
      <alignment vertical="top"/>
    </xf>
    <xf numFmtId="0" fontId="16" fillId="6" borderId="26" xfId="0" applyFont="1" applyFill="1" applyBorder="1" applyAlignment="1">
      <alignment vertical="top"/>
    </xf>
    <xf numFmtId="0" fontId="16" fillId="6" borderId="27" xfId="0" applyFont="1" applyFill="1" applyBorder="1" applyAlignment="1">
      <alignment vertical="top"/>
    </xf>
    <xf numFmtId="164" fontId="3" fillId="0" borderId="60" xfId="1" applyNumberFormat="1" applyFont="1" applyFill="1" applyBorder="1" applyAlignment="1">
      <alignment horizontal="center" vertical="top"/>
    </xf>
    <xf numFmtId="164" fontId="3" fillId="0" borderId="61" xfId="1" applyNumberFormat="1" applyFont="1" applyFill="1" applyBorder="1" applyAlignment="1">
      <alignment horizontal="center" vertical="top"/>
    </xf>
    <xf numFmtId="164" fontId="7" fillId="0" borderId="57" xfId="1" applyNumberFormat="1" applyFont="1" applyFill="1" applyBorder="1" applyAlignment="1">
      <alignment horizontal="center" vertical="top"/>
    </xf>
    <xf numFmtId="164" fontId="7" fillId="0" borderId="17" xfId="1" applyNumberFormat="1" applyFont="1" applyFill="1" applyBorder="1" applyAlignment="1">
      <alignment horizontal="center" vertical="top"/>
    </xf>
    <xf numFmtId="164" fontId="6" fillId="2" borderId="9" xfId="1" applyNumberFormat="1" applyFont="1" applyFill="1" applyBorder="1" applyAlignment="1">
      <alignment horizontal="center" vertical="top"/>
    </xf>
    <xf numFmtId="164" fontId="7" fillId="0" borderId="62" xfId="1" applyNumberFormat="1" applyFont="1" applyFill="1" applyBorder="1" applyAlignment="1">
      <alignment horizontal="center" vertical="top"/>
    </xf>
    <xf numFmtId="164" fontId="7" fillId="2" borderId="57" xfId="1" applyNumberFormat="1" applyFont="1" applyFill="1" applyBorder="1" applyAlignment="1">
      <alignment horizontal="center" vertical="top"/>
    </xf>
    <xf numFmtId="164" fontId="3" fillId="0" borderId="60" xfId="0" applyNumberFormat="1" applyFont="1" applyBorder="1" applyAlignment="1">
      <alignment horizontal="center" vertical="center"/>
    </xf>
    <xf numFmtId="164" fontId="2" fillId="2" borderId="57" xfId="0" applyNumberFormat="1" applyFont="1" applyFill="1" applyBorder="1" applyAlignment="1">
      <alignment horizontal="center" vertical="center"/>
    </xf>
    <xf numFmtId="164" fontId="7" fillId="6" borderId="19" xfId="0" applyNumberFormat="1" applyFont="1" applyFill="1" applyBorder="1" applyAlignment="1">
      <alignment horizontal="center" vertical="top"/>
    </xf>
    <xf numFmtId="164" fontId="2" fillId="2" borderId="63" xfId="0" applyNumberFormat="1" applyFont="1" applyFill="1" applyBorder="1" applyAlignment="1">
      <alignment horizontal="center" vertical="top"/>
    </xf>
    <xf numFmtId="164" fontId="3" fillId="0" borderId="19" xfId="0" applyNumberFormat="1" applyFont="1" applyFill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top" wrapText="1"/>
    </xf>
    <xf numFmtId="164" fontId="2" fillId="6" borderId="64" xfId="0" applyNumberFormat="1" applyFont="1" applyFill="1" applyBorder="1" applyAlignment="1">
      <alignment horizontal="center" vertical="top"/>
    </xf>
    <xf numFmtId="164" fontId="2" fillId="2" borderId="65" xfId="0" applyNumberFormat="1" applyFont="1" applyFill="1" applyBorder="1" applyAlignment="1">
      <alignment horizontal="center" vertical="top"/>
    </xf>
    <xf numFmtId="164" fontId="2" fillId="0" borderId="28" xfId="0" applyNumberFormat="1" applyFont="1" applyFill="1" applyBorder="1" applyAlignment="1">
      <alignment horizontal="center" vertical="top" wrapText="1"/>
    </xf>
    <xf numFmtId="164" fontId="3" fillId="0" borderId="64" xfId="0" applyNumberFormat="1" applyFont="1" applyFill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0" fontId="11" fillId="6" borderId="66" xfId="0" applyFont="1" applyFill="1" applyBorder="1" applyAlignment="1">
      <alignment horizontal="left" vertical="top" wrapText="1"/>
    </xf>
    <xf numFmtId="0" fontId="18" fillId="6" borderId="66" xfId="0" applyFont="1" applyFill="1" applyBorder="1" applyAlignment="1">
      <alignment horizontal="left" vertical="top" wrapText="1"/>
    </xf>
    <xf numFmtId="49" fontId="11" fillId="3" borderId="42" xfId="0" applyNumberFormat="1" applyFont="1" applyFill="1" applyBorder="1" applyAlignment="1">
      <alignment horizontal="center" vertical="top"/>
    </xf>
    <xf numFmtId="164" fontId="11" fillId="3" borderId="21" xfId="0" applyNumberFormat="1" applyFont="1" applyFill="1" applyBorder="1" applyAlignment="1">
      <alignment horizontal="center" vertical="top"/>
    </xf>
    <xf numFmtId="164" fontId="11" fillId="3" borderId="31" xfId="0" applyNumberFormat="1" applyFont="1" applyFill="1" applyBorder="1" applyAlignment="1">
      <alignment horizontal="center" vertical="top"/>
    </xf>
    <xf numFmtId="164" fontId="7" fillId="6" borderId="28" xfId="0" applyNumberFormat="1" applyFont="1" applyFill="1" applyBorder="1" applyAlignment="1">
      <alignment horizontal="center" vertical="top"/>
    </xf>
    <xf numFmtId="0" fontId="9" fillId="3" borderId="66" xfId="0" applyFont="1" applyFill="1" applyBorder="1" applyAlignment="1">
      <alignment horizontal="left" vertical="top" wrapText="1"/>
    </xf>
    <xf numFmtId="0" fontId="13" fillId="3" borderId="66" xfId="0" applyFont="1" applyFill="1" applyBorder="1" applyAlignment="1">
      <alignment horizontal="left" vertical="top" wrapText="1"/>
    </xf>
    <xf numFmtId="0" fontId="7" fillId="0" borderId="49" xfId="0" applyFont="1" applyBorder="1" applyAlignment="1">
      <alignment horizontal="center" vertical="top" wrapText="1"/>
    </xf>
    <xf numFmtId="164" fontId="7" fillId="0" borderId="28" xfId="0" applyNumberFormat="1" applyFont="1" applyFill="1" applyBorder="1" applyAlignment="1">
      <alignment horizontal="center" vertical="top" wrapText="1"/>
    </xf>
    <xf numFmtId="164" fontId="7" fillId="0" borderId="53" xfId="0" applyNumberFormat="1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7" fillId="0" borderId="26" xfId="0" applyNumberFormat="1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/>
    </xf>
    <xf numFmtId="164" fontId="9" fillId="0" borderId="0" xfId="0" applyNumberFormat="1" applyFont="1" applyBorder="1" applyAlignment="1">
      <alignment vertical="top"/>
    </xf>
    <xf numFmtId="0" fontId="9" fillId="0" borderId="12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67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49" fontId="11" fillId="4" borderId="68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right" vertical="top"/>
    </xf>
    <xf numFmtId="49" fontId="9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164" fontId="11" fillId="6" borderId="0" xfId="0" applyNumberFormat="1" applyFont="1" applyFill="1" applyBorder="1" applyAlignment="1">
      <alignment horizontal="center" vertical="top"/>
    </xf>
    <xf numFmtId="164" fontId="9" fillId="6" borderId="34" xfId="0" applyNumberFormat="1" applyFont="1" applyFill="1" applyBorder="1" applyAlignment="1">
      <alignment vertical="top"/>
    </xf>
    <xf numFmtId="164" fontId="9" fillId="0" borderId="33" xfId="0" applyNumberFormat="1" applyFont="1" applyFill="1" applyBorder="1" applyAlignment="1">
      <alignment vertical="top"/>
    </xf>
    <xf numFmtId="164" fontId="9" fillId="0" borderId="34" xfId="0" applyNumberFormat="1" applyFont="1" applyFill="1" applyBorder="1" applyAlignment="1">
      <alignment vertical="top"/>
    </xf>
    <xf numFmtId="164" fontId="9" fillId="0" borderId="35" xfId="0" applyNumberFormat="1" applyFont="1" applyFill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164" fontId="9" fillId="6" borderId="38" xfId="0" applyNumberFormat="1" applyFont="1" applyFill="1" applyBorder="1" applyAlignment="1">
      <alignment vertical="top"/>
    </xf>
    <xf numFmtId="164" fontId="9" fillId="0" borderId="38" xfId="0" applyNumberFormat="1" applyFont="1" applyFill="1" applyBorder="1" applyAlignment="1">
      <alignment vertical="top"/>
    </xf>
    <xf numFmtId="164" fontId="9" fillId="0" borderId="2" xfId="0" applyNumberFormat="1" applyFont="1" applyBorder="1" applyAlignment="1">
      <alignment vertical="top"/>
    </xf>
    <xf numFmtId="164" fontId="9" fillId="0" borderId="2" xfId="0" applyNumberFormat="1" applyFont="1" applyFill="1" applyBorder="1" applyAlignment="1">
      <alignment vertical="top"/>
    </xf>
    <xf numFmtId="164" fontId="11" fillId="4" borderId="21" xfId="0" applyNumberFormat="1" applyFont="1" applyFill="1" applyBorder="1" applyAlignment="1">
      <alignment vertical="top"/>
    </xf>
    <xf numFmtId="164" fontId="9" fillId="0" borderId="26" xfId="0" applyNumberFormat="1" applyFont="1" applyFill="1" applyBorder="1" applyAlignment="1">
      <alignment vertical="top"/>
    </xf>
    <xf numFmtId="164" fontId="9" fillId="0" borderId="26" xfId="0" applyNumberFormat="1" applyFont="1" applyBorder="1" applyAlignment="1">
      <alignment vertical="top"/>
    </xf>
    <xf numFmtId="164" fontId="9" fillId="0" borderId="27" xfId="0" applyNumberFormat="1" applyFont="1" applyBorder="1" applyAlignment="1">
      <alignment vertical="top"/>
    </xf>
    <xf numFmtId="164" fontId="9" fillId="0" borderId="12" xfId="0" applyNumberFormat="1" applyFont="1" applyFill="1" applyBorder="1" applyAlignment="1">
      <alignment vertical="top"/>
    </xf>
    <xf numFmtId="164" fontId="11" fillId="4" borderId="24" xfId="0" applyNumberFormat="1" applyFont="1" applyFill="1" applyBorder="1" applyAlignment="1">
      <alignment vertical="top"/>
    </xf>
    <xf numFmtId="164" fontId="9" fillId="0" borderId="34" xfId="0" applyNumberFormat="1" applyFont="1" applyBorder="1" applyAlignment="1">
      <alignment vertical="top"/>
    </xf>
    <xf numFmtId="164" fontId="9" fillId="0" borderId="35" xfId="0" applyNumberFormat="1" applyFont="1" applyBorder="1" applyAlignment="1">
      <alignment vertical="top"/>
    </xf>
    <xf numFmtId="164" fontId="9" fillId="0" borderId="1" xfId="0" applyNumberFormat="1" applyFont="1" applyFill="1" applyBorder="1" applyAlignment="1">
      <alignment vertical="top"/>
    </xf>
    <xf numFmtId="164" fontId="9" fillId="0" borderId="11" xfId="0" applyNumberFormat="1" applyFont="1" applyBorder="1" applyAlignment="1">
      <alignment vertical="top"/>
    </xf>
    <xf numFmtId="164" fontId="9" fillId="0" borderId="8" xfId="0" applyNumberFormat="1" applyFont="1" applyBorder="1" applyAlignment="1">
      <alignment vertical="top"/>
    </xf>
    <xf numFmtId="164" fontId="9" fillId="0" borderId="72" xfId="0" applyNumberFormat="1" applyFont="1" applyBorder="1" applyAlignment="1">
      <alignment vertical="top"/>
    </xf>
    <xf numFmtId="164" fontId="9" fillId="0" borderId="15" xfId="0" applyNumberFormat="1" applyFont="1" applyFill="1" applyBorder="1" applyAlignment="1">
      <alignment vertical="top"/>
    </xf>
    <xf numFmtId="164" fontId="9" fillId="7" borderId="39" xfId="0" applyNumberFormat="1" applyFont="1" applyFill="1" applyBorder="1" applyAlignment="1">
      <alignment vertical="top"/>
    </xf>
    <xf numFmtId="164" fontId="9" fillId="7" borderId="38" xfId="0" applyNumberFormat="1" applyFont="1" applyFill="1" applyBorder="1" applyAlignment="1">
      <alignment vertical="top"/>
    </xf>
    <xf numFmtId="164" fontId="9" fillId="7" borderId="72" xfId="0" applyNumberFormat="1" applyFont="1" applyFill="1" applyBorder="1" applyAlignment="1">
      <alignment vertical="top"/>
    </xf>
    <xf numFmtId="164" fontId="9" fillId="0" borderId="44" xfId="0" applyNumberFormat="1" applyFont="1" applyBorder="1" applyAlignment="1">
      <alignment vertical="top"/>
    </xf>
    <xf numFmtId="164" fontId="9" fillId="7" borderId="25" xfId="0" applyNumberFormat="1" applyFont="1" applyFill="1" applyBorder="1" applyAlignment="1">
      <alignment vertical="top"/>
    </xf>
    <xf numFmtId="164" fontId="9" fillId="7" borderId="26" xfId="0" applyNumberFormat="1" applyFont="1" applyFill="1" applyBorder="1" applyAlignment="1">
      <alignment vertical="top"/>
    </xf>
    <xf numFmtId="164" fontId="9" fillId="0" borderId="37" xfId="0" applyNumberFormat="1" applyFont="1" applyFill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0" fontId="9" fillId="0" borderId="25" xfId="0" applyFont="1" applyBorder="1" applyAlignment="1">
      <alignment vertical="top" wrapText="1"/>
    </xf>
    <xf numFmtId="0" fontId="9" fillId="0" borderId="33" xfId="0" applyFont="1" applyBorder="1" applyAlignment="1">
      <alignment vertical="top" wrapText="1"/>
    </xf>
    <xf numFmtId="164" fontId="9" fillId="6" borderId="0" xfId="0" applyNumberFormat="1" applyFont="1" applyFill="1" applyBorder="1" applyAlignment="1">
      <alignment vertical="top"/>
    </xf>
    <xf numFmtId="164" fontId="9" fillId="7" borderId="20" xfId="0" applyNumberFormat="1" applyFont="1" applyFill="1" applyBorder="1" applyAlignment="1">
      <alignment vertical="top"/>
    </xf>
    <xf numFmtId="164" fontId="9" fillId="7" borderId="40" xfId="0" applyNumberFormat="1" applyFont="1" applyFill="1" applyBorder="1" applyAlignment="1">
      <alignment vertical="top"/>
    </xf>
    <xf numFmtId="0" fontId="8" fillId="0" borderId="3" xfId="0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top" wrapText="1"/>
    </xf>
    <xf numFmtId="0" fontId="11" fillId="6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9" fillId="0" borderId="26" xfId="0" applyNumberFormat="1" applyFont="1" applyBorder="1" applyAlignment="1">
      <alignment horizontal="center" vertical="top"/>
    </xf>
    <xf numFmtId="0" fontId="9" fillId="0" borderId="27" xfId="0" applyNumberFormat="1" applyFont="1" applyBorder="1" applyAlignment="1">
      <alignment horizontal="center" vertical="top"/>
    </xf>
    <xf numFmtId="0" fontId="9" fillId="0" borderId="38" xfId="0" applyNumberFormat="1" applyFont="1" applyBorder="1" applyAlignment="1">
      <alignment horizontal="center" vertical="top"/>
    </xf>
    <xf numFmtId="0" fontId="9" fillId="0" borderId="72" xfId="0" applyNumberFormat="1" applyFont="1" applyBorder="1" applyAlignment="1">
      <alignment horizontal="center" vertical="top"/>
    </xf>
    <xf numFmtId="0" fontId="9" fillId="0" borderId="29" xfId="0" applyNumberFormat="1" applyFont="1" applyBorder="1" applyAlignment="1">
      <alignment horizontal="center" vertical="top"/>
    </xf>
    <xf numFmtId="0" fontId="9" fillId="0" borderId="36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0" fontId="9" fillId="6" borderId="0" xfId="0" applyNumberFormat="1" applyFont="1" applyFill="1" applyBorder="1" applyAlignment="1">
      <alignment horizontal="center" vertical="top"/>
    </xf>
    <xf numFmtId="164" fontId="9" fillId="7" borderId="33" xfId="0" applyNumberFormat="1" applyFont="1" applyFill="1" applyBorder="1" applyAlignment="1">
      <alignment vertical="top"/>
    </xf>
    <xf numFmtId="164" fontId="9" fillId="7" borderId="34" xfId="0" applyNumberFormat="1" applyFont="1" applyFill="1" applyBorder="1" applyAlignment="1">
      <alignment vertical="top"/>
    </xf>
    <xf numFmtId="164" fontId="9" fillId="7" borderId="62" xfId="0" applyNumberFormat="1" applyFont="1" applyFill="1" applyBorder="1" applyAlignment="1">
      <alignment vertical="top"/>
    </xf>
    <xf numFmtId="49" fontId="11" fillId="4" borderId="40" xfId="0" applyNumberFormat="1" applyFont="1" applyFill="1" applyBorder="1" applyAlignment="1">
      <alignment vertical="top"/>
    </xf>
    <xf numFmtId="49" fontId="11" fillId="4" borderId="53" xfId="0" applyNumberFormat="1" applyFont="1" applyFill="1" applyBorder="1" applyAlignment="1">
      <alignment vertical="top"/>
    </xf>
    <xf numFmtId="49" fontId="11" fillId="0" borderId="0" xfId="0" applyNumberFormat="1" applyFont="1" applyFill="1" applyBorder="1" applyAlignment="1">
      <alignment horizontal="center" vertical="top"/>
    </xf>
    <xf numFmtId="49" fontId="11" fillId="0" borderId="23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164" fontId="9" fillId="0" borderId="22" xfId="0" applyNumberFormat="1" applyFont="1" applyBorder="1" applyAlignment="1">
      <alignment vertical="top"/>
    </xf>
    <xf numFmtId="0" fontId="9" fillId="7" borderId="6" xfId="0" applyFont="1" applyFill="1" applyBorder="1" applyAlignment="1">
      <alignment horizontal="center" vertical="top"/>
    </xf>
    <xf numFmtId="164" fontId="9" fillId="7" borderId="35" xfId="0" applyNumberFormat="1" applyFont="1" applyFill="1" applyBorder="1" applyAlignment="1">
      <alignment vertical="top"/>
    </xf>
    <xf numFmtId="164" fontId="9" fillId="7" borderId="27" xfId="0" applyNumberFormat="1" applyFont="1" applyFill="1" applyBorder="1" applyAlignment="1">
      <alignment vertical="top"/>
    </xf>
    <xf numFmtId="164" fontId="9" fillId="7" borderId="41" xfId="0" applyNumberFormat="1" applyFont="1" applyFill="1" applyBorder="1" applyAlignment="1">
      <alignment vertical="top"/>
    </xf>
    <xf numFmtId="164" fontId="9" fillId="7" borderId="61" xfId="0" applyNumberFormat="1" applyFont="1" applyFill="1" applyBorder="1" applyAlignment="1">
      <alignment vertical="top"/>
    </xf>
    <xf numFmtId="0" fontId="7" fillId="0" borderId="40" xfId="0" applyFont="1" applyFill="1" applyBorder="1" applyAlignment="1">
      <alignment vertical="top" wrapText="1"/>
    </xf>
    <xf numFmtId="49" fontId="9" fillId="0" borderId="40" xfId="0" applyNumberFormat="1" applyFont="1" applyBorder="1" applyAlignment="1">
      <alignment vertical="top"/>
    </xf>
    <xf numFmtId="0" fontId="7" fillId="0" borderId="53" xfId="0" applyFont="1" applyFill="1" applyBorder="1" applyAlignment="1">
      <alignment vertical="top" wrapText="1"/>
    </xf>
    <xf numFmtId="49" fontId="9" fillId="0" borderId="53" xfId="0" applyNumberFormat="1" applyFont="1" applyBorder="1" applyAlignment="1">
      <alignment vertical="top"/>
    </xf>
    <xf numFmtId="0" fontId="9" fillId="7" borderId="16" xfId="0" applyNumberFormat="1" applyFont="1" applyFill="1" applyBorder="1" applyAlignment="1">
      <alignment horizontal="center" vertical="top"/>
    </xf>
    <xf numFmtId="0" fontId="9" fillId="7" borderId="65" xfId="0" applyNumberFormat="1" applyFont="1" applyFill="1" applyBorder="1" applyAlignment="1">
      <alignment horizontal="center" vertical="top"/>
    </xf>
    <xf numFmtId="49" fontId="11" fillId="10" borderId="24" xfId="0" applyNumberFormat="1" applyFont="1" applyFill="1" applyBorder="1" applyAlignment="1">
      <alignment horizontal="center" vertical="top"/>
    </xf>
    <xf numFmtId="0" fontId="23" fillId="0" borderId="0" xfId="0" applyFont="1"/>
    <xf numFmtId="0" fontId="23" fillId="0" borderId="38" xfId="0" applyFont="1" applyBorder="1" applyAlignment="1">
      <alignment horizontal="center" vertical="top" wrapText="1"/>
    </xf>
    <xf numFmtId="0" fontId="23" fillId="0" borderId="38" xfId="0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0" fontId="9" fillId="6" borderId="0" xfId="0" applyFont="1" applyFill="1" applyAlignment="1">
      <alignment vertical="top"/>
    </xf>
    <xf numFmtId="0" fontId="9" fillId="7" borderId="1" xfId="0" applyFont="1" applyFill="1" applyBorder="1" applyAlignment="1">
      <alignment horizontal="center" vertical="top"/>
    </xf>
    <xf numFmtId="0" fontId="9" fillId="0" borderId="56" xfId="0" applyFont="1" applyBorder="1" applyAlignment="1">
      <alignment vertical="top" wrapText="1"/>
    </xf>
    <xf numFmtId="0" fontId="9" fillId="0" borderId="61" xfId="0" applyNumberFormat="1" applyFont="1" applyBorder="1" applyAlignment="1">
      <alignment horizontal="center" vertical="top"/>
    </xf>
    <xf numFmtId="0" fontId="9" fillId="0" borderId="60" xfId="0" applyNumberFormat="1" applyFont="1" applyBorder="1" applyAlignment="1">
      <alignment horizontal="center" vertical="top"/>
    </xf>
    <xf numFmtId="0" fontId="9" fillId="7" borderId="39" xfId="0" applyFont="1" applyFill="1" applyBorder="1" applyAlignment="1">
      <alignment vertical="top" wrapText="1"/>
    </xf>
    <xf numFmtId="0" fontId="9" fillId="0" borderId="0" xfId="4" applyNumberFormat="1" applyFont="1" applyBorder="1" applyAlignment="1">
      <alignment horizontal="center" vertical="top" wrapText="1"/>
    </xf>
    <xf numFmtId="0" fontId="9" fillId="0" borderId="70" xfId="0" applyFont="1" applyBorder="1" applyAlignment="1">
      <alignment vertical="top" wrapText="1"/>
    </xf>
    <xf numFmtId="0" fontId="9" fillId="0" borderId="62" xfId="0" applyNumberFormat="1" applyFont="1" applyBorder="1" applyAlignment="1">
      <alignment horizontal="center" vertical="top"/>
    </xf>
    <xf numFmtId="164" fontId="9" fillId="0" borderId="34" xfId="0" applyNumberFormat="1" applyFont="1" applyFill="1" applyBorder="1" applyAlignment="1">
      <alignment horizontal="center" vertical="top"/>
    </xf>
    <xf numFmtId="164" fontId="9" fillId="7" borderId="34" xfId="0" applyNumberFormat="1" applyFont="1" applyFill="1" applyBorder="1" applyAlignment="1">
      <alignment horizontal="center" vertical="top"/>
    </xf>
    <xf numFmtId="164" fontId="9" fillId="0" borderId="12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9" fillId="0" borderId="62" xfId="0" applyNumberFormat="1" applyFont="1" applyBorder="1" applyAlignment="1">
      <alignment vertical="top"/>
    </xf>
    <xf numFmtId="0" fontId="3" fillId="0" borderId="12" xfId="0" applyFont="1" applyFill="1" applyBorder="1" applyAlignment="1">
      <alignment horizontal="center" vertical="top" wrapText="1"/>
    </xf>
    <xf numFmtId="0" fontId="9" fillId="7" borderId="19" xfId="0" applyNumberFormat="1" applyFont="1" applyFill="1" applyBorder="1" applyAlignment="1">
      <alignment horizontal="center" vertical="top"/>
    </xf>
    <xf numFmtId="0" fontId="9" fillId="7" borderId="53" xfId="0" applyNumberFormat="1" applyFont="1" applyFill="1" applyBorder="1" applyAlignment="1">
      <alignment horizontal="center" vertical="top"/>
    </xf>
    <xf numFmtId="0" fontId="9" fillId="7" borderId="61" xfId="0" applyNumberFormat="1" applyFont="1" applyFill="1" applyBorder="1" applyAlignment="1">
      <alignment horizontal="center" vertical="top"/>
    </xf>
    <xf numFmtId="0" fontId="9" fillId="7" borderId="39" xfId="0" applyFont="1" applyFill="1" applyBorder="1" applyAlignment="1">
      <alignment horizontal="left" vertical="top" wrapText="1"/>
    </xf>
    <xf numFmtId="0" fontId="9" fillId="7" borderId="38" xfId="0" applyNumberFormat="1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 wrapText="1"/>
    </xf>
    <xf numFmtId="49" fontId="11" fillId="0" borderId="53" xfId="0" applyNumberFormat="1" applyFont="1" applyFill="1" applyBorder="1" applyAlignment="1">
      <alignment horizontal="center" vertical="top"/>
    </xf>
    <xf numFmtId="49" fontId="9" fillId="0" borderId="66" xfId="0" applyNumberFormat="1" applyFont="1" applyFill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vertical="top" wrapText="1"/>
    </xf>
    <xf numFmtId="49" fontId="11" fillId="0" borderId="23" xfId="0" applyNumberFormat="1" applyFont="1" applyBorder="1" applyAlignment="1">
      <alignment horizontal="center" vertical="top" wrapText="1"/>
    </xf>
    <xf numFmtId="0" fontId="9" fillId="7" borderId="26" xfId="0" applyNumberFormat="1" applyFont="1" applyFill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/>
    </xf>
    <xf numFmtId="164" fontId="11" fillId="10" borderId="15" xfId="0" applyNumberFormat="1" applyFont="1" applyFill="1" applyBorder="1" applyAlignment="1">
      <alignment horizontal="center" vertical="top" wrapText="1"/>
    </xf>
    <xf numFmtId="0" fontId="9" fillId="8" borderId="53" xfId="0" applyFont="1" applyFill="1" applyBorder="1" applyAlignment="1">
      <alignment vertical="top"/>
    </xf>
    <xf numFmtId="164" fontId="9" fillId="0" borderId="28" xfId="0" applyNumberFormat="1" applyFont="1" applyFill="1" applyBorder="1" applyAlignment="1">
      <alignment vertical="top"/>
    </xf>
    <xf numFmtId="164" fontId="9" fillId="0" borderId="53" xfId="0" applyNumberFormat="1" applyFont="1" applyFill="1" applyBorder="1" applyAlignment="1">
      <alignment vertical="top"/>
    </xf>
    <xf numFmtId="164" fontId="11" fillId="0" borderId="53" xfId="0" applyNumberFormat="1" applyFont="1" applyFill="1" applyBorder="1" applyAlignment="1">
      <alignment vertical="top"/>
    </xf>
    <xf numFmtId="164" fontId="9" fillId="0" borderId="64" xfId="0" applyNumberFormat="1" applyFont="1" applyFill="1" applyBorder="1" applyAlignment="1">
      <alignment vertical="top"/>
    </xf>
    <xf numFmtId="0" fontId="9" fillId="0" borderId="11" xfId="0" applyFont="1" applyBorder="1" applyAlignment="1">
      <alignment horizontal="center" vertical="top"/>
    </xf>
    <xf numFmtId="164" fontId="9" fillId="7" borderId="33" xfId="0" applyNumberFormat="1" applyFont="1" applyFill="1" applyBorder="1" applyAlignment="1">
      <alignment horizontal="right" vertical="top"/>
    </xf>
    <xf numFmtId="164" fontId="9" fillId="7" borderId="34" xfId="0" applyNumberFormat="1" applyFont="1" applyFill="1" applyBorder="1" applyAlignment="1">
      <alignment horizontal="right" vertical="top"/>
    </xf>
    <xf numFmtId="164" fontId="9" fillId="7" borderId="35" xfId="0" applyNumberFormat="1" applyFont="1" applyFill="1" applyBorder="1" applyAlignment="1">
      <alignment horizontal="right" vertical="top"/>
    </xf>
    <xf numFmtId="164" fontId="3" fillId="7" borderId="33" xfId="0" applyNumberFormat="1" applyFont="1" applyFill="1" applyBorder="1" applyAlignment="1">
      <alignment horizontal="center" vertical="top"/>
    </xf>
    <xf numFmtId="164" fontId="3" fillId="7" borderId="34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64" fontId="3" fillId="0" borderId="34" xfId="0" applyNumberFormat="1" applyFont="1" applyFill="1" applyBorder="1" applyAlignment="1">
      <alignment horizontal="center" vertical="top"/>
    </xf>
    <xf numFmtId="164" fontId="3" fillId="0" borderId="35" xfId="0" applyNumberFormat="1" applyFont="1" applyFill="1" applyBorder="1" applyAlignment="1">
      <alignment horizontal="center" vertical="top"/>
    </xf>
    <xf numFmtId="164" fontId="3" fillId="0" borderId="33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49" fontId="11" fillId="4" borderId="17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9" fillId="7" borderId="27" xfId="0" applyNumberFormat="1" applyFont="1" applyFill="1" applyBorder="1" applyAlignment="1">
      <alignment horizontal="center" vertical="top"/>
    </xf>
    <xf numFmtId="164" fontId="9" fillId="7" borderId="2" xfId="0" applyNumberFormat="1" applyFont="1" applyFill="1" applyBorder="1" applyAlignment="1">
      <alignment horizontal="center" vertical="top"/>
    </xf>
    <xf numFmtId="49" fontId="11" fillId="7" borderId="40" xfId="0" applyNumberFormat="1" applyFont="1" applyFill="1" applyBorder="1" applyAlignment="1">
      <alignment horizontal="center" vertical="top" wrapText="1"/>
    </xf>
    <xf numFmtId="49" fontId="11" fillId="7" borderId="53" xfId="0" applyNumberFormat="1" applyFont="1" applyFill="1" applyBorder="1" applyAlignment="1">
      <alignment horizontal="center" vertical="top" wrapText="1"/>
    </xf>
    <xf numFmtId="49" fontId="11" fillId="7" borderId="31" xfId="0" applyNumberFormat="1" applyFont="1" applyFill="1" applyBorder="1" applyAlignment="1">
      <alignment horizontal="center" vertical="top" wrapText="1"/>
    </xf>
    <xf numFmtId="164" fontId="9" fillId="0" borderId="86" xfId="0" applyNumberFormat="1" applyFont="1" applyFill="1" applyBorder="1" applyAlignment="1">
      <alignment vertical="top"/>
    </xf>
    <xf numFmtId="0" fontId="5" fillId="0" borderId="33" xfId="0" applyFont="1" applyFill="1" applyBorder="1" applyAlignment="1">
      <alignment horizontal="left" vertical="top" wrapText="1"/>
    </xf>
    <xf numFmtId="164" fontId="9" fillId="0" borderId="77" xfId="0" applyNumberFormat="1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center" vertical="top"/>
    </xf>
    <xf numFmtId="0" fontId="9" fillId="7" borderId="77" xfId="0" applyFont="1" applyFill="1" applyBorder="1" applyAlignment="1">
      <alignment horizontal="center" vertical="top"/>
    </xf>
    <xf numFmtId="0" fontId="26" fillId="0" borderId="0" xfId="0" applyFont="1" applyAlignment="1">
      <alignment horizontal="center" vertical="top" wrapText="1"/>
    </xf>
    <xf numFmtId="165" fontId="3" fillId="0" borderId="25" xfId="0" applyNumberFormat="1" applyFont="1" applyFill="1" applyBorder="1" applyAlignment="1">
      <alignment horizontal="center" vertical="top"/>
    </xf>
    <xf numFmtId="165" fontId="3" fillId="0" borderId="26" xfId="0" applyNumberFormat="1" applyFont="1" applyFill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center" vertical="top"/>
    </xf>
    <xf numFmtId="164" fontId="3" fillId="0" borderId="27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165" fontId="3" fillId="0" borderId="53" xfId="0" applyNumberFormat="1" applyFont="1" applyFill="1" applyBorder="1" applyAlignment="1">
      <alignment horizontal="center" vertical="top"/>
    </xf>
    <xf numFmtId="164" fontId="3" fillId="0" borderId="53" xfId="0" applyNumberFormat="1" applyFont="1" applyFill="1" applyBorder="1" applyAlignment="1">
      <alignment horizontal="center" vertical="top"/>
    </xf>
    <xf numFmtId="164" fontId="3" fillId="0" borderId="64" xfId="0" applyNumberFormat="1" applyFont="1" applyFill="1" applyBorder="1" applyAlignment="1">
      <alignment horizontal="center" vertical="top"/>
    </xf>
    <xf numFmtId="164" fontId="11" fillId="10" borderId="7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11" fillId="10" borderId="37" xfId="0" applyNumberFormat="1" applyFont="1" applyFill="1" applyBorder="1" applyAlignment="1">
      <alignment horizontal="center" vertical="top" wrapText="1"/>
    </xf>
    <xf numFmtId="164" fontId="3" fillId="7" borderId="35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center" vertical="top" wrapText="1"/>
    </xf>
    <xf numFmtId="0" fontId="9" fillId="7" borderId="72" xfId="0" applyNumberFormat="1" applyFont="1" applyFill="1" applyBorder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top"/>
    </xf>
    <xf numFmtId="164" fontId="9" fillId="0" borderId="12" xfId="0" applyNumberFormat="1" applyFont="1" applyBorder="1" applyAlignment="1">
      <alignment vertical="top"/>
    </xf>
    <xf numFmtId="0" fontId="9" fillId="0" borderId="16" xfId="0" applyNumberFormat="1" applyFont="1" applyBorder="1" applyAlignment="1">
      <alignment horizontal="center" vertical="top"/>
    </xf>
    <xf numFmtId="0" fontId="9" fillId="0" borderId="65" xfId="0" applyNumberFormat="1" applyFont="1" applyBorder="1" applyAlignment="1">
      <alignment horizontal="center" vertical="top"/>
    </xf>
    <xf numFmtId="164" fontId="3" fillId="0" borderId="25" xfId="0" applyNumberFormat="1" applyFont="1" applyFill="1" applyBorder="1" applyAlignment="1">
      <alignment horizontal="center" vertical="top"/>
    </xf>
    <xf numFmtId="164" fontId="3" fillId="7" borderId="26" xfId="0" applyNumberFormat="1" applyFont="1" applyFill="1" applyBorder="1" applyAlignment="1">
      <alignment horizontal="center" vertical="top"/>
    </xf>
    <xf numFmtId="164" fontId="3" fillId="7" borderId="27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/>
    </xf>
    <xf numFmtId="0" fontId="9" fillId="0" borderId="53" xfId="0" applyNumberFormat="1" applyFont="1" applyBorder="1" applyAlignment="1">
      <alignment horizontal="center" vertical="top"/>
    </xf>
    <xf numFmtId="0" fontId="9" fillId="0" borderId="64" xfId="0" applyNumberFormat="1" applyFont="1" applyBorder="1" applyAlignment="1">
      <alignment horizontal="center" vertical="top"/>
    </xf>
    <xf numFmtId="165" fontId="7" fillId="0" borderId="26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7" fillId="0" borderId="27" xfId="0" applyNumberFormat="1" applyFont="1" applyFill="1" applyBorder="1" applyAlignment="1">
      <alignment horizontal="center" vertical="top"/>
    </xf>
    <xf numFmtId="165" fontId="7" fillId="0" borderId="38" xfId="0" applyNumberFormat="1" applyFont="1" applyFill="1" applyBorder="1" applyAlignment="1">
      <alignment horizontal="center" vertical="top"/>
    </xf>
    <xf numFmtId="164" fontId="7" fillId="0" borderId="38" xfId="0" applyNumberFormat="1" applyFont="1" applyFill="1" applyBorder="1" applyAlignment="1">
      <alignment horizontal="center" vertical="top"/>
    </xf>
    <xf numFmtId="164" fontId="7" fillId="0" borderId="72" xfId="0" applyNumberFormat="1" applyFont="1" applyFill="1" applyBorder="1" applyAlignment="1">
      <alignment horizontal="center" vertical="top"/>
    </xf>
    <xf numFmtId="164" fontId="11" fillId="0" borderId="34" xfId="0" applyNumberFormat="1" applyFont="1" applyFill="1" applyBorder="1" applyAlignment="1">
      <alignment vertical="top"/>
    </xf>
    <xf numFmtId="49" fontId="11" fillId="4" borderId="76" xfId="0" applyNumberFormat="1" applyFont="1" applyFill="1" applyBorder="1" applyAlignment="1">
      <alignment horizontal="center" vertical="top"/>
    </xf>
    <xf numFmtId="49" fontId="11" fillId="4" borderId="90" xfId="0" applyNumberFormat="1" applyFont="1" applyFill="1" applyBorder="1" applyAlignment="1">
      <alignment horizontal="center" vertical="top"/>
    </xf>
    <xf numFmtId="164" fontId="30" fillId="7" borderId="0" xfId="0" applyNumberFormat="1" applyFont="1" applyFill="1" applyAlignment="1">
      <alignment vertical="top"/>
    </xf>
    <xf numFmtId="164" fontId="3" fillId="0" borderId="1" xfId="0" applyNumberFormat="1" applyFont="1" applyFill="1" applyBorder="1" applyAlignment="1">
      <alignment horizontal="right" vertical="top"/>
    </xf>
    <xf numFmtId="49" fontId="9" fillId="0" borderId="19" xfId="0" applyNumberFormat="1" applyFont="1" applyBorder="1" applyAlignment="1">
      <alignment vertical="top"/>
    </xf>
    <xf numFmtId="49" fontId="11" fillId="4" borderId="76" xfId="0" applyNumberFormat="1" applyFont="1" applyFill="1" applyBorder="1" applyAlignment="1">
      <alignment vertical="top"/>
    </xf>
    <xf numFmtId="49" fontId="11" fillId="4" borderId="87" xfId="0" applyNumberFormat="1" applyFont="1" applyFill="1" applyBorder="1" applyAlignment="1">
      <alignment vertical="top"/>
    </xf>
    <xf numFmtId="49" fontId="11" fillId="7" borderId="0" xfId="0" applyNumberFormat="1" applyFont="1" applyFill="1" applyBorder="1" applyAlignment="1">
      <alignment vertical="top"/>
    </xf>
    <xf numFmtId="49" fontId="11" fillId="7" borderId="22" xfId="0" applyNumberFormat="1" applyFont="1" applyFill="1" applyBorder="1" applyAlignment="1">
      <alignment vertical="top"/>
    </xf>
    <xf numFmtId="0" fontId="9" fillId="7" borderId="38" xfId="0" applyFont="1" applyFill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49" fontId="11" fillId="0" borderId="18" xfId="0" applyNumberFormat="1" applyFont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0" borderId="6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165" fontId="9" fillId="0" borderId="12" xfId="0" applyNumberFormat="1" applyFont="1" applyFill="1" applyBorder="1" applyAlignment="1">
      <alignment vertical="top"/>
    </xf>
    <xf numFmtId="165" fontId="9" fillId="0" borderId="11" xfId="0" applyNumberFormat="1" applyFont="1" applyFill="1" applyBorder="1" applyAlignment="1">
      <alignment vertical="top"/>
    </xf>
    <xf numFmtId="49" fontId="11" fillId="4" borderId="61" xfId="0" applyNumberFormat="1" applyFont="1" applyFill="1" applyBorder="1" applyAlignment="1">
      <alignment horizontal="left" vertical="top"/>
    </xf>
    <xf numFmtId="164" fontId="9" fillId="11" borderId="33" xfId="0" applyNumberFormat="1" applyFont="1" applyFill="1" applyBorder="1" applyAlignment="1">
      <alignment vertical="top"/>
    </xf>
    <xf numFmtId="164" fontId="9" fillId="11" borderId="34" xfId="0" applyNumberFormat="1" applyFont="1" applyFill="1" applyBorder="1" applyAlignment="1">
      <alignment vertical="top"/>
    </xf>
    <xf numFmtId="164" fontId="9" fillId="11" borderId="28" xfId="0" applyNumberFormat="1" applyFont="1" applyFill="1" applyBorder="1" applyAlignment="1">
      <alignment vertical="top"/>
    </xf>
    <xf numFmtId="164" fontId="9" fillId="11" borderId="53" xfId="0" applyNumberFormat="1" applyFont="1" applyFill="1" applyBorder="1" applyAlignment="1">
      <alignment vertical="top"/>
    </xf>
    <xf numFmtId="164" fontId="11" fillId="11" borderId="30" xfId="0" applyNumberFormat="1" applyFont="1" applyFill="1" applyBorder="1" applyAlignment="1">
      <alignment vertical="top"/>
    </xf>
    <xf numFmtId="164" fontId="11" fillId="11" borderId="29" xfId="0" applyNumberFormat="1" applyFont="1" applyFill="1" applyBorder="1" applyAlignment="1">
      <alignment vertical="top"/>
    </xf>
    <xf numFmtId="164" fontId="11" fillId="11" borderId="21" xfId="0" applyNumberFormat="1" applyFont="1" applyFill="1" applyBorder="1" applyAlignment="1">
      <alignment vertical="top"/>
    </xf>
    <xf numFmtId="164" fontId="11" fillId="11" borderId="31" xfId="0" applyNumberFormat="1" applyFont="1" applyFill="1" applyBorder="1" applyAlignment="1">
      <alignment vertical="top"/>
    </xf>
    <xf numFmtId="164" fontId="9" fillId="11" borderId="25" xfId="0" applyNumberFormat="1" applyFont="1" applyFill="1" applyBorder="1" applyAlignment="1">
      <alignment vertical="top"/>
    </xf>
    <xf numFmtId="164" fontId="9" fillId="11" borderId="26" xfId="0" applyNumberFormat="1" applyFont="1" applyFill="1" applyBorder="1" applyAlignment="1">
      <alignment vertical="top"/>
    </xf>
    <xf numFmtId="164" fontId="9" fillId="11" borderId="27" xfId="0" applyNumberFormat="1" applyFont="1" applyFill="1" applyBorder="1" applyAlignment="1">
      <alignment vertical="top"/>
    </xf>
    <xf numFmtId="164" fontId="9" fillId="11" borderId="76" xfId="0" applyNumberFormat="1" applyFont="1" applyFill="1" applyBorder="1" applyAlignment="1">
      <alignment vertical="top"/>
    </xf>
    <xf numFmtId="164" fontId="11" fillId="11" borderId="84" xfId="0" applyNumberFormat="1" applyFont="1" applyFill="1" applyBorder="1" applyAlignment="1">
      <alignment vertical="top"/>
    </xf>
    <xf numFmtId="164" fontId="11" fillId="11" borderId="16" xfId="0" applyNumberFormat="1" applyFont="1" applyFill="1" applyBorder="1" applyAlignment="1">
      <alignment vertical="top"/>
    </xf>
    <xf numFmtId="164" fontId="11" fillId="11" borderId="65" xfId="0" applyNumberFormat="1" applyFont="1" applyFill="1" applyBorder="1" applyAlignment="1">
      <alignment vertical="top"/>
    </xf>
    <xf numFmtId="164" fontId="9" fillId="11" borderId="20" xfId="0" applyNumberFormat="1" applyFont="1" applyFill="1" applyBorder="1" applyAlignment="1">
      <alignment vertical="top"/>
    </xf>
    <xf numFmtId="164" fontId="9" fillId="11" borderId="40" xfId="0" applyNumberFormat="1" applyFont="1" applyFill="1" applyBorder="1" applyAlignment="1">
      <alignment vertical="top"/>
    </xf>
    <xf numFmtId="164" fontId="11" fillId="11" borderId="55" xfId="0" applyNumberFormat="1" applyFont="1" applyFill="1" applyBorder="1" applyAlignment="1">
      <alignment vertical="top"/>
    </xf>
    <xf numFmtId="164" fontId="9" fillId="11" borderId="55" xfId="0" applyNumberFormat="1" applyFont="1" applyFill="1" applyBorder="1" applyAlignment="1">
      <alignment vertical="top"/>
    </xf>
    <xf numFmtId="164" fontId="9" fillId="11" borderId="16" xfId="0" applyNumberFormat="1" applyFont="1" applyFill="1" applyBorder="1" applyAlignment="1">
      <alignment vertical="top"/>
    </xf>
    <xf numFmtId="164" fontId="9" fillId="11" borderId="60" xfId="0" applyNumberFormat="1" applyFont="1" applyFill="1" applyBorder="1" applyAlignment="1">
      <alignment vertical="top"/>
    </xf>
    <xf numFmtId="165" fontId="9" fillId="11" borderId="25" xfId="0" applyNumberFormat="1" applyFont="1" applyFill="1" applyBorder="1" applyAlignment="1">
      <alignment vertical="top"/>
    </xf>
    <xf numFmtId="165" fontId="9" fillId="11" borderId="26" xfId="0" applyNumberFormat="1" applyFont="1" applyFill="1" applyBorder="1" applyAlignment="1">
      <alignment vertical="top"/>
    </xf>
    <xf numFmtId="165" fontId="9" fillId="11" borderId="60" xfId="0" applyNumberFormat="1" applyFont="1" applyFill="1" applyBorder="1" applyAlignment="1">
      <alignment vertical="top"/>
    </xf>
    <xf numFmtId="164" fontId="9" fillId="11" borderId="17" xfId="0" applyNumberFormat="1" applyFont="1" applyFill="1" applyBorder="1" applyAlignment="1">
      <alignment vertical="top"/>
    </xf>
    <xf numFmtId="164" fontId="3" fillId="11" borderId="56" xfId="0" applyNumberFormat="1" applyFont="1" applyFill="1" applyBorder="1" applyAlignment="1">
      <alignment horizontal="center" vertical="top"/>
    </xf>
    <xf numFmtId="164" fontId="3" fillId="11" borderId="34" xfId="0" applyNumberFormat="1" applyFont="1" applyFill="1" applyBorder="1" applyAlignment="1">
      <alignment horizontal="center" vertical="top"/>
    </xf>
    <xf numFmtId="164" fontId="2" fillId="11" borderId="74" xfId="0" applyNumberFormat="1" applyFont="1" applyFill="1" applyBorder="1" applyAlignment="1">
      <alignment horizontal="center" vertical="center"/>
    </xf>
    <xf numFmtId="164" fontId="2" fillId="11" borderId="29" xfId="0" applyNumberFormat="1" applyFont="1" applyFill="1" applyBorder="1" applyAlignment="1">
      <alignment horizontal="center" vertical="center"/>
    </xf>
    <xf numFmtId="164" fontId="2" fillId="11" borderId="36" xfId="0" applyNumberFormat="1" applyFont="1" applyFill="1" applyBorder="1" applyAlignment="1">
      <alignment horizontal="center" vertical="center"/>
    </xf>
    <xf numFmtId="164" fontId="3" fillId="11" borderId="75" xfId="0" applyNumberFormat="1" applyFont="1" applyFill="1" applyBorder="1" applyAlignment="1">
      <alignment horizontal="center" vertical="top"/>
    </xf>
    <xf numFmtId="164" fontId="3" fillId="11" borderId="26" xfId="0" applyNumberFormat="1" applyFont="1" applyFill="1" applyBorder="1" applyAlignment="1">
      <alignment horizontal="center" vertical="top"/>
    </xf>
    <xf numFmtId="164" fontId="9" fillId="11" borderId="39" xfId="0" applyNumberFormat="1" applyFont="1" applyFill="1" applyBorder="1" applyAlignment="1">
      <alignment vertical="top"/>
    </xf>
    <xf numFmtId="164" fontId="9" fillId="11" borderId="38" xfId="0" applyNumberFormat="1" applyFont="1" applyFill="1" applyBorder="1" applyAlignment="1">
      <alignment vertical="top"/>
    </xf>
    <xf numFmtId="164" fontId="11" fillId="11" borderId="73" xfId="0" applyNumberFormat="1" applyFont="1" applyFill="1" applyBorder="1" applyAlignment="1">
      <alignment vertical="top"/>
    </xf>
    <xf numFmtId="164" fontId="9" fillId="11" borderId="90" xfId="0" applyNumberFormat="1" applyFont="1" applyFill="1" applyBorder="1" applyAlignment="1">
      <alignment vertical="top"/>
    </xf>
    <xf numFmtId="164" fontId="9" fillId="11" borderId="56" xfId="0" applyNumberFormat="1" applyFont="1" applyFill="1" applyBorder="1" applyAlignment="1">
      <alignment vertical="top"/>
    </xf>
    <xf numFmtId="0" fontId="11" fillId="11" borderId="5" xfId="0" applyFont="1" applyFill="1" applyBorder="1" applyAlignment="1">
      <alignment horizontal="right" vertical="top" wrapText="1"/>
    </xf>
    <xf numFmtId="164" fontId="11" fillId="11" borderId="5" xfId="0" applyNumberFormat="1" applyFont="1" applyFill="1" applyBorder="1" applyAlignment="1">
      <alignment vertical="top"/>
    </xf>
    <xf numFmtId="0" fontId="11" fillId="11" borderId="10" xfId="0" applyFont="1" applyFill="1" applyBorder="1" applyAlignment="1">
      <alignment horizontal="right" vertical="top" wrapText="1"/>
    </xf>
    <xf numFmtId="164" fontId="11" fillId="11" borderId="10" xfId="0" applyNumberFormat="1" applyFont="1" applyFill="1" applyBorder="1" applyAlignment="1">
      <alignment horizontal="center" vertical="top"/>
    </xf>
    <xf numFmtId="164" fontId="11" fillId="11" borderId="5" xfId="0" applyNumberFormat="1" applyFont="1" applyFill="1" applyBorder="1" applyAlignment="1">
      <alignment horizontal="center" vertical="top"/>
    </xf>
    <xf numFmtId="0" fontId="11" fillId="11" borderId="4" xfId="0" applyFont="1" applyFill="1" applyBorder="1" applyAlignment="1">
      <alignment horizontal="right" vertical="top" wrapText="1"/>
    </xf>
    <xf numFmtId="164" fontId="11" fillId="11" borderId="14" xfId="0" applyNumberFormat="1" applyFont="1" applyFill="1" applyBorder="1" applyAlignment="1">
      <alignment vertical="top"/>
    </xf>
    <xf numFmtId="0" fontId="11" fillId="11" borderId="67" xfId="0" applyFont="1" applyFill="1" applyBorder="1" applyAlignment="1">
      <alignment horizontal="center" vertical="top" wrapText="1"/>
    </xf>
    <xf numFmtId="0" fontId="16" fillId="11" borderId="5" xfId="0" applyFont="1" applyFill="1" applyBorder="1" applyAlignment="1">
      <alignment horizontal="center" vertical="top"/>
    </xf>
    <xf numFmtId="164" fontId="2" fillId="11" borderId="5" xfId="0" applyNumberFormat="1" applyFont="1" applyFill="1" applyBorder="1" applyAlignment="1">
      <alignment horizontal="center" vertical="center" wrapText="1"/>
    </xf>
    <xf numFmtId="164" fontId="2" fillId="11" borderId="14" xfId="0" applyNumberFormat="1" applyFont="1" applyFill="1" applyBorder="1" applyAlignment="1">
      <alignment horizontal="center" vertical="center"/>
    </xf>
    <xf numFmtId="164" fontId="2" fillId="11" borderId="5" xfId="0" applyNumberFormat="1" applyFont="1" applyFill="1" applyBorder="1" applyAlignment="1">
      <alignment horizontal="center" vertical="center"/>
    </xf>
    <xf numFmtId="164" fontId="11" fillId="11" borderId="74" xfId="0" applyNumberFormat="1" applyFont="1" applyFill="1" applyBorder="1" applyAlignment="1">
      <alignment vertical="top"/>
    </xf>
    <xf numFmtId="0" fontId="9" fillId="8" borderId="30" xfId="0" applyFont="1" applyFill="1" applyBorder="1" applyAlignment="1">
      <alignment vertical="top"/>
    </xf>
    <xf numFmtId="0" fontId="9" fillId="8" borderId="29" xfId="0" applyNumberFormat="1" applyFont="1" applyFill="1" applyBorder="1" applyAlignment="1">
      <alignment horizontal="center" vertical="top"/>
    </xf>
    <xf numFmtId="0" fontId="9" fillId="8" borderId="36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/>
    </xf>
    <xf numFmtId="0" fontId="10" fillId="0" borderId="31" xfId="0" applyNumberFormat="1" applyFont="1" applyBorder="1" applyAlignment="1">
      <alignment horizontal="center" vertical="top"/>
    </xf>
    <xf numFmtId="0" fontId="10" fillId="0" borderId="32" xfId="0" applyNumberFormat="1" applyFont="1" applyBorder="1" applyAlignment="1">
      <alignment horizontal="center" vertical="top"/>
    </xf>
    <xf numFmtId="0" fontId="9" fillId="8" borderId="13" xfId="0" applyFont="1" applyFill="1" applyBorder="1" applyAlignment="1">
      <alignment vertical="top"/>
    </xf>
    <xf numFmtId="0" fontId="9" fillId="8" borderId="81" xfId="0" applyNumberFormat="1" applyFont="1" applyFill="1" applyBorder="1" applyAlignment="1">
      <alignment horizontal="center" vertical="top"/>
    </xf>
    <xf numFmtId="0" fontId="9" fillId="7" borderId="64" xfId="0" applyNumberFormat="1" applyFont="1" applyFill="1" applyBorder="1" applyAlignment="1">
      <alignment horizontal="center" vertical="top"/>
    </xf>
    <xf numFmtId="164" fontId="9" fillId="11" borderId="8" xfId="0" applyNumberFormat="1" applyFont="1" applyFill="1" applyBorder="1" applyAlignment="1">
      <alignment horizontal="center" vertical="top" wrapText="1"/>
    </xf>
    <xf numFmtId="164" fontId="9" fillId="11" borderId="2" xfId="0" applyNumberFormat="1" applyFont="1" applyFill="1" applyBorder="1" applyAlignment="1">
      <alignment horizontal="center" vertical="top" wrapText="1"/>
    </xf>
    <xf numFmtId="164" fontId="11" fillId="11" borderId="13" xfId="0" applyNumberFormat="1" applyFont="1" applyFill="1" applyBorder="1" applyAlignment="1">
      <alignment horizontal="center" vertical="top" wrapText="1"/>
    </xf>
    <xf numFmtId="164" fontId="11" fillId="11" borderId="10" xfId="0" applyNumberFormat="1" applyFont="1" applyFill="1" applyBorder="1" applyAlignment="1">
      <alignment horizontal="center" vertical="top" wrapText="1"/>
    </xf>
    <xf numFmtId="164" fontId="9" fillId="11" borderId="75" xfId="0" applyNumberFormat="1" applyFont="1" applyFill="1" applyBorder="1" applyAlignment="1">
      <alignment vertical="top"/>
    </xf>
    <xf numFmtId="164" fontId="9" fillId="11" borderId="70" xfId="0" applyNumberFormat="1" applyFont="1" applyFill="1" applyBorder="1" applyAlignment="1">
      <alignment vertical="top"/>
    </xf>
    <xf numFmtId="164" fontId="11" fillId="11" borderId="21" xfId="0" applyNumberFormat="1" applyFont="1" applyFill="1" applyBorder="1" applyAlignment="1">
      <alignment horizontal="center" vertical="top"/>
    </xf>
    <xf numFmtId="164" fontId="11" fillId="11" borderId="31" xfId="0" applyNumberFormat="1" applyFont="1" applyFill="1" applyBorder="1" applyAlignment="1">
      <alignment horizontal="center" vertical="top"/>
    </xf>
    <xf numFmtId="49" fontId="9" fillId="0" borderId="61" xfId="0" applyNumberFormat="1" applyFont="1" applyBorder="1" applyAlignment="1">
      <alignment horizontal="center" vertical="top"/>
    </xf>
    <xf numFmtId="0" fontId="6" fillId="0" borderId="69" xfId="0" applyFont="1" applyFill="1" applyBorder="1" applyAlignment="1">
      <alignment horizontal="center" vertical="center" textRotation="90"/>
    </xf>
    <xf numFmtId="49" fontId="11" fillId="0" borderId="61" xfId="0" applyNumberFormat="1" applyFont="1" applyFill="1" applyBorder="1" applyAlignment="1">
      <alignment horizontal="center" vertical="top"/>
    </xf>
    <xf numFmtId="164" fontId="9" fillId="11" borderId="34" xfId="0" applyNumberFormat="1" applyFont="1" applyFill="1" applyBorder="1" applyAlignment="1">
      <alignment horizontal="right" vertical="top"/>
    </xf>
    <xf numFmtId="49" fontId="11" fillId="7" borderId="61" xfId="0" applyNumberFormat="1" applyFont="1" applyFill="1" applyBorder="1" applyAlignment="1">
      <alignment vertical="top"/>
    </xf>
    <xf numFmtId="164" fontId="9" fillId="11" borderId="61" xfId="0" applyNumberFormat="1" applyFont="1" applyFill="1" applyBorder="1" applyAlignment="1">
      <alignment vertical="top"/>
    </xf>
    <xf numFmtId="164" fontId="3" fillId="0" borderId="33" xfId="0" applyNumberFormat="1" applyFont="1" applyFill="1" applyBorder="1" applyAlignment="1">
      <alignment horizontal="right" vertical="top"/>
    </xf>
    <xf numFmtId="164" fontId="3" fillId="0" borderId="34" xfId="0" applyNumberFormat="1" applyFont="1" applyFill="1" applyBorder="1" applyAlignment="1">
      <alignment horizontal="right" vertical="top"/>
    </xf>
    <xf numFmtId="164" fontId="3" fillId="11" borderId="33" xfId="0" applyNumberFormat="1" applyFont="1" applyFill="1" applyBorder="1" applyAlignment="1">
      <alignment horizontal="right" vertical="top"/>
    </xf>
    <xf numFmtId="164" fontId="3" fillId="11" borderId="34" xfId="0" applyNumberFormat="1" applyFont="1" applyFill="1" applyBorder="1" applyAlignment="1">
      <alignment horizontal="right" vertical="top"/>
    </xf>
    <xf numFmtId="0" fontId="11" fillId="11" borderId="83" xfId="0" applyFont="1" applyFill="1" applyBorder="1" applyAlignment="1">
      <alignment horizontal="center" vertical="top" wrapText="1"/>
    </xf>
    <xf numFmtId="164" fontId="11" fillId="11" borderId="55" xfId="0" applyNumberFormat="1" applyFont="1" applyFill="1" applyBorder="1" applyAlignment="1">
      <alignment horizontal="right" vertical="top"/>
    </xf>
    <xf numFmtId="164" fontId="11" fillId="11" borderId="16" xfId="0" applyNumberFormat="1" applyFont="1" applyFill="1" applyBorder="1" applyAlignment="1">
      <alignment horizontal="right" vertical="top"/>
    </xf>
    <xf numFmtId="164" fontId="11" fillId="11" borderId="63" xfId="0" applyNumberFormat="1" applyFont="1" applyFill="1" applyBorder="1" applyAlignment="1">
      <alignment horizontal="right" vertical="top"/>
    </xf>
    <xf numFmtId="164" fontId="6" fillId="11" borderId="36" xfId="0" applyNumberFormat="1" applyFont="1" applyFill="1" applyBorder="1" applyAlignment="1">
      <alignment vertical="top"/>
    </xf>
    <xf numFmtId="164" fontId="11" fillId="11" borderId="59" xfId="0" applyNumberFormat="1" applyFont="1" applyFill="1" applyBorder="1" applyAlignment="1">
      <alignment vertical="top"/>
    </xf>
    <xf numFmtId="0" fontId="11" fillId="11" borderId="5" xfId="0" applyFont="1" applyFill="1" applyBorder="1" applyAlignment="1">
      <alignment horizontal="center" vertical="top"/>
    </xf>
    <xf numFmtId="164" fontId="2" fillId="11" borderId="57" xfId="0" applyNumberFormat="1" applyFont="1" applyFill="1" applyBorder="1" applyAlignment="1">
      <alignment horizontal="center" vertical="center"/>
    </xf>
    <xf numFmtId="164" fontId="2" fillId="11" borderId="30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top"/>
    </xf>
    <xf numFmtId="0" fontId="9" fillId="0" borderId="77" xfId="0" applyFont="1" applyBorder="1" applyAlignment="1">
      <alignment horizontal="left" vertical="top" wrapText="1"/>
    </xf>
    <xf numFmtId="164" fontId="9" fillId="7" borderId="53" xfId="0" applyNumberFormat="1" applyFont="1" applyFill="1" applyBorder="1" applyAlignment="1">
      <alignment vertical="top"/>
    </xf>
    <xf numFmtId="164" fontId="9" fillId="7" borderId="28" xfId="0" applyNumberFormat="1" applyFont="1" applyFill="1" applyBorder="1" applyAlignment="1">
      <alignment vertical="top"/>
    </xf>
    <xf numFmtId="164" fontId="9" fillId="7" borderId="15" xfId="0" applyNumberFormat="1" applyFont="1" applyFill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top"/>
    </xf>
    <xf numFmtId="0" fontId="5" fillId="6" borderId="40" xfId="0" applyFont="1" applyFill="1" applyBorder="1" applyAlignment="1">
      <alignment vertical="top"/>
    </xf>
    <xf numFmtId="0" fontId="5" fillId="0" borderId="40" xfId="0" applyNumberFormat="1" applyFont="1" applyBorder="1" applyAlignment="1">
      <alignment vertical="top"/>
    </xf>
    <xf numFmtId="0" fontId="5" fillId="0" borderId="41" xfId="0" applyNumberFormat="1" applyFont="1" applyBorder="1" applyAlignment="1">
      <alignment vertical="top"/>
    </xf>
    <xf numFmtId="0" fontId="5" fillId="0" borderId="3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9" fillId="0" borderId="90" xfId="0" applyFont="1" applyBorder="1" applyAlignment="1">
      <alignment vertical="top" wrapText="1"/>
    </xf>
    <xf numFmtId="0" fontId="9" fillId="0" borderId="40" xfId="0" applyFont="1" applyBorder="1" applyAlignment="1">
      <alignment horizontal="center" vertical="top" wrapText="1"/>
    </xf>
    <xf numFmtId="0" fontId="5" fillId="6" borderId="20" xfId="0" applyFont="1" applyFill="1" applyBorder="1" applyAlignment="1">
      <alignment horizontal="left" vertical="top" wrapText="1"/>
    </xf>
    <xf numFmtId="0" fontId="5" fillId="0" borderId="18" xfId="0" applyNumberFormat="1" applyFont="1" applyBorder="1" applyAlignment="1">
      <alignment horizontal="center" vertical="top"/>
    </xf>
    <xf numFmtId="0" fontId="11" fillId="0" borderId="19" xfId="4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0" fontId="9" fillId="7" borderId="69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vertical="top" wrapText="1"/>
    </xf>
    <xf numFmtId="164" fontId="9" fillId="7" borderId="64" xfId="0" applyNumberFormat="1" applyFont="1" applyFill="1" applyBorder="1" applyAlignment="1">
      <alignment vertical="top"/>
    </xf>
    <xf numFmtId="0" fontId="11" fillId="0" borderId="64" xfId="4" applyNumberFormat="1" applyFont="1" applyBorder="1" applyAlignment="1">
      <alignment horizontal="center" vertical="top"/>
    </xf>
    <xf numFmtId="0" fontId="11" fillId="0" borderId="35" xfId="4" applyNumberFormat="1" applyFont="1" applyBorder="1" applyAlignment="1">
      <alignment horizontal="center" vertical="top"/>
    </xf>
    <xf numFmtId="0" fontId="9" fillId="7" borderId="34" xfId="0" applyFont="1" applyFill="1" applyBorder="1" applyAlignment="1">
      <alignment horizontal="center" vertical="top"/>
    </xf>
    <xf numFmtId="0" fontId="9" fillId="7" borderId="35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0" fontId="7" fillId="0" borderId="62" xfId="0" applyFont="1" applyFill="1" applyBorder="1" applyAlignment="1">
      <alignment vertical="top" wrapText="1"/>
    </xf>
    <xf numFmtId="49" fontId="9" fillId="0" borderId="62" xfId="0" applyNumberFormat="1" applyFont="1" applyBorder="1" applyAlignment="1">
      <alignment vertical="top"/>
    </xf>
    <xf numFmtId="0" fontId="11" fillId="0" borderId="34" xfId="4" applyNumberFormat="1" applyFont="1" applyBorder="1" applyAlignment="1">
      <alignment horizontal="center" vertical="top"/>
    </xf>
    <xf numFmtId="0" fontId="5" fillId="7" borderId="40" xfId="0" applyFont="1" applyFill="1" applyBorder="1" applyAlignment="1">
      <alignment horizontal="center" vertical="top" wrapText="1"/>
    </xf>
    <xf numFmtId="0" fontId="12" fillId="7" borderId="40" xfId="0" applyFont="1" applyFill="1" applyBorder="1" applyAlignment="1">
      <alignment horizontal="center" vertical="top" wrapText="1"/>
    </xf>
    <xf numFmtId="0" fontId="12" fillId="7" borderId="41" xfId="0" applyFont="1" applyFill="1" applyBorder="1" applyAlignment="1">
      <alignment horizontal="center" vertical="top" wrapText="1"/>
    </xf>
    <xf numFmtId="0" fontId="7" fillId="0" borderId="72" xfId="0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vertical="top" wrapText="1"/>
    </xf>
    <xf numFmtId="49" fontId="11" fillId="4" borderId="31" xfId="0" applyNumberFormat="1" applyFont="1" applyFill="1" applyBorder="1" applyAlignment="1">
      <alignment horizontal="center" vertical="top"/>
    </xf>
    <xf numFmtId="0" fontId="11" fillId="0" borderId="40" xfId="0" applyFont="1" applyFill="1" applyBorder="1" applyAlignment="1">
      <alignment vertical="top" wrapText="1"/>
    </xf>
    <xf numFmtId="0" fontId="9" fillId="0" borderId="53" xfId="0" applyFont="1" applyFill="1" applyBorder="1" applyAlignment="1">
      <alignment vertical="top" wrapText="1"/>
    </xf>
    <xf numFmtId="0" fontId="9" fillId="0" borderId="60" xfId="0" applyNumberFormat="1" applyFont="1" applyBorder="1" applyAlignment="1">
      <alignment vertical="top"/>
    </xf>
    <xf numFmtId="0" fontId="9" fillId="0" borderId="26" xfId="0" applyNumberFormat="1" applyFont="1" applyBorder="1" applyAlignment="1">
      <alignment vertical="top"/>
    </xf>
    <xf numFmtId="0" fontId="9" fillId="0" borderId="27" xfId="0" applyNumberFormat="1" applyFont="1" applyBorder="1" applyAlignment="1">
      <alignment vertical="top"/>
    </xf>
    <xf numFmtId="0" fontId="9" fillId="7" borderId="75" xfId="0" applyFont="1" applyFill="1" applyBorder="1" applyAlignment="1">
      <alignment vertical="top" wrapText="1"/>
    </xf>
    <xf numFmtId="0" fontId="9" fillId="8" borderId="23" xfId="0" applyNumberFormat="1" applyFont="1" applyFill="1" applyBorder="1" applyAlignment="1">
      <alignment horizontal="center" vertical="top"/>
    </xf>
    <xf numFmtId="165" fontId="9" fillId="0" borderId="75" xfId="0" applyNumberFormat="1" applyFont="1" applyFill="1" applyBorder="1" applyAlignment="1">
      <alignment vertical="top"/>
    </xf>
    <xf numFmtId="165" fontId="9" fillId="0" borderId="26" xfId="0" applyNumberFormat="1" applyFont="1" applyFill="1" applyBorder="1" applyAlignment="1">
      <alignment vertical="top"/>
    </xf>
    <xf numFmtId="165" fontId="9" fillId="0" borderId="60" xfId="0" applyNumberFormat="1" applyFont="1" applyFill="1" applyBorder="1" applyAlignment="1">
      <alignment vertical="top"/>
    </xf>
    <xf numFmtId="165" fontId="9" fillId="7" borderId="26" xfId="0" applyNumberFormat="1" applyFont="1" applyFill="1" applyBorder="1" applyAlignment="1">
      <alignment vertical="top"/>
    </xf>
    <xf numFmtId="0" fontId="9" fillId="0" borderId="3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center" vertical="top"/>
    </xf>
    <xf numFmtId="165" fontId="11" fillId="7" borderId="38" xfId="0" applyNumberFormat="1" applyFont="1" applyFill="1" applyBorder="1" applyAlignment="1">
      <alignment vertical="top"/>
    </xf>
    <xf numFmtId="165" fontId="11" fillId="11" borderId="38" xfId="0" applyNumberFormat="1" applyFont="1" applyFill="1" applyBorder="1" applyAlignment="1">
      <alignment vertical="top"/>
    </xf>
    <xf numFmtId="165" fontId="11" fillId="7" borderId="61" xfId="0" applyNumberFormat="1" applyFont="1" applyFill="1" applyBorder="1" applyAlignment="1">
      <alignment vertical="top"/>
    </xf>
    <xf numFmtId="165" fontId="9" fillId="7" borderId="38" xfId="0" applyNumberFormat="1" applyFont="1" applyFill="1" applyBorder="1" applyAlignment="1">
      <alignment vertical="top"/>
    </xf>
    <xf numFmtId="165" fontId="9" fillId="7" borderId="60" xfId="0" applyNumberFormat="1" applyFont="1" applyFill="1" applyBorder="1" applyAlignment="1">
      <alignment vertical="top"/>
    </xf>
    <xf numFmtId="165" fontId="9" fillId="11" borderId="38" xfId="0" applyNumberFormat="1" applyFont="1" applyFill="1" applyBorder="1" applyAlignment="1">
      <alignment vertical="top"/>
    </xf>
    <xf numFmtId="165" fontId="9" fillId="11" borderId="39" xfId="0" applyNumberFormat="1" applyFont="1" applyFill="1" applyBorder="1" applyAlignment="1">
      <alignment vertical="top"/>
    </xf>
    <xf numFmtId="165" fontId="11" fillId="11" borderId="61" xfId="0" applyNumberFormat="1" applyFont="1" applyFill="1" applyBorder="1" applyAlignment="1">
      <alignment vertical="top"/>
    </xf>
    <xf numFmtId="165" fontId="9" fillId="7" borderId="2" xfId="0" applyNumberFormat="1" applyFont="1" applyFill="1" applyBorder="1" applyAlignment="1">
      <alignment vertical="top"/>
    </xf>
    <xf numFmtId="165" fontId="9" fillId="7" borderId="8" xfId="0" applyNumberFormat="1" applyFont="1" applyFill="1" applyBorder="1" applyAlignment="1">
      <alignment vertical="top"/>
    </xf>
    <xf numFmtId="165" fontId="11" fillId="11" borderId="74" xfId="0" applyNumberFormat="1" applyFont="1" applyFill="1" applyBorder="1" applyAlignment="1">
      <alignment vertical="top"/>
    </xf>
    <xf numFmtId="0" fontId="9" fillId="7" borderId="2" xfId="0" applyFont="1" applyFill="1" applyBorder="1" applyAlignment="1">
      <alignment horizontal="center" vertical="top"/>
    </xf>
    <xf numFmtId="164" fontId="9" fillId="11" borderId="39" xfId="0" applyNumberFormat="1" applyFont="1" applyFill="1" applyBorder="1" applyAlignment="1">
      <alignment horizontal="right" vertical="top"/>
    </xf>
    <xf numFmtId="164" fontId="9" fillId="11" borderId="38" xfId="0" applyNumberFormat="1" applyFont="1" applyFill="1" applyBorder="1" applyAlignment="1">
      <alignment horizontal="right" vertical="top"/>
    </xf>
    <xf numFmtId="164" fontId="11" fillId="11" borderId="38" xfId="0" applyNumberFormat="1" applyFont="1" applyFill="1" applyBorder="1" applyAlignment="1">
      <alignment vertical="top"/>
    </xf>
    <xf numFmtId="0" fontId="9" fillId="0" borderId="55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11" fillId="7" borderId="63" xfId="0" applyNumberFormat="1" applyFont="1" applyFill="1" applyBorder="1" applyAlignment="1">
      <alignment horizontal="center" vertical="top"/>
    </xf>
    <xf numFmtId="0" fontId="11" fillId="0" borderId="53" xfId="4" applyNumberFormat="1" applyFont="1" applyBorder="1" applyAlignment="1">
      <alignment horizontal="center" vertical="top"/>
    </xf>
    <xf numFmtId="0" fontId="9" fillId="0" borderId="29" xfId="0" applyFont="1" applyFill="1" applyBorder="1" applyAlignment="1">
      <alignment horizontal="center" vertical="center" textRotation="90" wrapText="1"/>
    </xf>
    <xf numFmtId="49" fontId="11" fillId="12" borderId="8" xfId="0" applyNumberFormat="1" applyFont="1" applyFill="1" applyBorder="1" applyAlignment="1">
      <alignment horizontal="left" vertical="top" wrapText="1"/>
    </xf>
    <xf numFmtId="49" fontId="11" fillId="12" borderId="39" xfId="0" applyNumberFormat="1" applyFont="1" applyFill="1" applyBorder="1" applyAlignment="1">
      <alignment horizontal="left" vertical="top"/>
    </xf>
    <xf numFmtId="49" fontId="11" fillId="12" borderId="28" xfId="0" applyNumberFormat="1" applyFont="1" applyFill="1" applyBorder="1" applyAlignment="1">
      <alignment vertical="top"/>
    </xf>
    <xf numFmtId="0" fontId="9" fillId="12" borderId="7" xfId="0" applyFont="1" applyFill="1" applyBorder="1" applyAlignment="1">
      <alignment vertical="top"/>
    </xf>
    <xf numFmtId="49" fontId="11" fillId="12" borderId="28" xfId="0" applyNumberFormat="1" applyFont="1" applyFill="1" applyBorder="1" applyAlignment="1">
      <alignment horizontal="center" vertical="top"/>
    </xf>
    <xf numFmtId="49" fontId="11" fillId="12" borderId="21" xfId="0" applyNumberFormat="1" applyFont="1" applyFill="1" applyBorder="1" applyAlignment="1">
      <alignment horizontal="center" vertical="top"/>
    </xf>
    <xf numFmtId="49" fontId="11" fillId="12" borderId="20" xfId="0" applyNumberFormat="1" applyFont="1" applyFill="1" applyBorder="1" applyAlignment="1">
      <alignment horizontal="center" vertical="top"/>
    </xf>
    <xf numFmtId="49" fontId="11" fillId="12" borderId="7" xfId="0" applyNumberFormat="1" applyFont="1" applyFill="1" applyBorder="1" applyAlignment="1">
      <alignment horizontal="center" vertical="top"/>
    </xf>
    <xf numFmtId="49" fontId="11" fillId="12" borderId="13" xfId="0" applyNumberFormat="1" applyFont="1" applyFill="1" applyBorder="1" applyAlignment="1">
      <alignment horizontal="center" vertical="top"/>
    </xf>
    <xf numFmtId="49" fontId="11" fillId="12" borderId="20" xfId="0" applyNumberFormat="1" applyFont="1" applyFill="1" applyBorder="1" applyAlignment="1">
      <alignment vertical="top"/>
    </xf>
    <xf numFmtId="49" fontId="11" fillId="12" borderId="21" xfId="0" applyNumberFormat="1" applyFont="1" applyFill="1" applyBorder="1" applyAlignment="1">
      <alignment vertical="top"/>
    </xf>
    <xf numFmtId="49" fontId="11" fillId="12" borderId="24" xfId="0" applyNumberFormat="1" applyFont="1" applyFill="1" applyBorder="1" applyAlignment="1">
      <alignment horizontal="center" vertical="top"/>
    </xf>
    <xf numFmtId="0" fontId="11" fillId="7" borderId="82" xfId="0" applyFont="1" applyFill="1" applyBorder="1" applyAlignment="1">
      <alignment horizontal="left" vertical="top" wrapText="1"/>
    </xf>
    <xf numFmtId="164" fontId="9" fillId="7" borderId="2" xfId="0" applyNumberFormat="1" applyFont="1" applyFill="1" applyBorder="1" applyAlignment="1">
      <alignment vertical="top"/>
    </xf>
    <xf numFmtId="164" fontId="9" fillId="7" borderId="55" xfId="0" applyNumberFormat="1" applyFont="1" applyFill="1" applyBorder="1" applyAlignment="1">
      <alignment vertical="top"/>
    </xf>
    <xf numFmtId="164" fontId="9" fillId="7" borderId="16" xfId="0" applyNumberFormat="1" applyFont="1" applyFill="1" applyBorder="1" applyAlignment="1">
      <alignment vertical="top"/>
    </xf>
    <xf numFmtId="164" fontId="9" fillId="7" borderId="65" xfId="0" applyNumberFormat="1" applyFont="1" applyFill="1" applyBorder="1" applyAlignment="1">
      <alignment vertical="top"/>
    </xf>
    <xf numFmtId="164" fontId="9" fillId="11" borderId="56" xfId="0" applyNumberFormat="1" applyFont="1" applyFill="1" applyBorder="1" applyAlignment="1">
      <alignment horizontal="right" vertical="top"/>
    </xf>
    <xf numFmtId="0" fontId="9" fillId="0" borderId="84" xfId="0" applyFont="1" applyBorder="1" applyAlignment="1">
      <alignment vertical="top" wrapText="1"/>
    </xf>
    <xf numFmtId="0" fontId="9" fillId="7" borderId="62" xfId="0" applyNumberFormat="1" applyFont="1" applyFill="1" applyBorder="1" applyAlignment="1">
      <alignment horizontal="center" vertical="top"/>
    </xf>
    <xf numFmtId="164" fontId="11" fillId="11" borderId="61" xfId="0" applyNumberFormat="1" applyFont="1" applyFill="1" applyBorder="1" applyAlignment="1">
      <alignment vertical="top"/>
    </xf>
    <xf numFmtId="164" fontId="9" fillId="7" borderId="6" xfId="0" applyNumberFormat="1" applyFont="1" applyFill="1" applyBorder="1" applyAlignment="1">
      <alignment horizontal="right" vertical="top"/>
    </xf>
    <xf numFmtId="164" fontId="11" fillId="7" borderId="38" xfId="0" applyNumberFormat="1" applyFont="1" applyFill="1" applyBorder="1" applyAlignment="1">
      <alignment vertical="top"/>
    </xf>
    <xf numFmtId="164" fontId="11" fillId="7" borderId="72" xfId="0" applyNumberFormat="1" applyFont="1" applyFill="1" applyBorder="1" applyAlignment="1">
      <alignment vertical="top"/>
    </xf>
    <xf numFmtId="164" fontId="9" fillId="11" borderId="62" xfId="0" applyNumberFormat="1" applyFont="1" applyFill="1" applyBorder="1" applyAlignment="1">
      <alignment vertical="top"/>
    </xf>
    <xf numFmtId="164" fontId="11" fillId="7" borderId="61" xfId="0" applyNumberFormat="1" applyFont="1" applyFill="1" applyBorder="1" applyAlignment="1">
      <alignment vertical="top"/>
    </xf>
    <xf numFmtId="0" fontId="9" fillId="7" borderId="56" xfId="0" applyFont="1" applyFill="1" applyBorder="1" applyAlignment="1">
      <alignment vertical="top" wrapText="1"/>
    </xf>
    <xf numFmtId="49" fontId="11" fillId="13" borderId="53" xfId="0" applyNumberFormat="1" applyFont="1" applyFill="1" applyBorder="1" applyAlignment="1">
      <alignment vertical="top"/>
    </xf>
    <xf numFmtId="0" fontId="9" fillId="13" borderId="0" xfId="0" applyFont="1" applyFill="1" applyBorder="1" applyAlignment="1">
      <alignment vertical="top"/>
    </xf>
    <xf numFmtId="49" fontId="11" fillId="13" borderId="18" xfId="0" applyNumberFormat="1" applyFont="1" applyFill="1" applyBorder="1" applyAlignment="1">
      <alignment vertical="top"/>
    </xf>
    <xf numFmtId="49" fontId="11" fillId="13" borderId="23" xfId="0" applyNumberFormat="1" applyFont="1" applyFill="1" applyBorder="1" applyAlignment="1">
      <alignment vertical="top"/>
    </xf>
    <xf numFmtId="164" fontId="11" fillId="13" borderId="87" xfId="0" applyNumberFormat="1" applyFont="1" applyFill="1" applyBorder="1" applyAlignment="1">
      <alignment vertical="top"/>
    </xf>
    <xf numFmtId="0" fontId="9" fillId="13" borderId="21" xfId="0" applyFont="1" applyFill="1" applyBorder="1" applyAlignment="1">
      <alignment vertical="top"/>
    </xf>
    <xf numFmtId="0" fontId="9" fillId="13" borderId="18" xfId="0" applyNumberFormat="1" applyFont="1" applyFill="1" applyBorder="1" applyAlignment="1">
      <alignment horizontal="center" vertical="top"/>
    </xf>
    <xf numFmtId="0" fontId="9" fillId="13" borderId="31" xfId="0" applyNumberFormat="1" applyFont="1" applyFill="1" applyBorder="1" applyAlignment="1">
      <alignment horizontal="center" vertical="top"/>
    </xf>
    <xf numFmtId="0" fontId="9" fillId="13" borderId="32" xfId="0" applyNumberFormat="1" applyFont="1" applyFill="1" applyBorder="1" applyAlignment="1">
      <alignment horizontal="center" vertical="top"/>
    </xf>
    <xf numFmtId="0" fontId="11" fillId="7" borderId="65" xfId="0" applyFont="1" applyFill="1" applyBorder="1" applyAlignment="1">
      <alignment horizontal="left" vertical="top" wrapText="1"/>
    </xf>
    <xf numFmtId="49" fontId="9" fillId="7" borderId="64" xfId="0" applyNumberFormat="1" applyFont="1" applyFill="1" applyBorder="1" applyAlignment="1">
      <alignment horizontal="center" vertical="top" wrapText="1"/>
    </xf>
    <xf numFmtId="49" fontId="9" fillId="7" borderId="65" xfId="0" applyNumberFormat="1" applyFont="1" applyFill="1" applyBorder="1" applyAlignment="1">
      <alignment horizontal="center" vertical="top" wrapText="1"/>
    </xf>
    <xf numFmtId="49" fontId="9" fillId="0" borderId="72" xfId="0" applyNumberFormat="1" applyFont="1" applyBorder="1" applyAlignment="1">
      <alignment horizontal="center" vertical="top" wrapText="1"/>
    </xf>
    <xf numFmtId="49" fontId="11" fillId="13" borderId="76" xfId="0" applyNumberFormat="1" applyFont="1" applyFill="1" applyBorder="1" applyAlignment="1">
      <alignment horizontal="center" vertical="top"/>
    </xf>
    <xf numFmtId="164" fontId="2" fillId="13" borderId="21" xfId="0" applyNumberFormat="1" applyFont="1" applyFill="1" applyBorder="1" applyAlignment="1">
      <alignment horizontal="right" vertical="top"/>
    </xf>
    <xf numFmtId="0" fontId="12" fillId="13" borderId="59" xfId="0" applyNumberFormat="1" applyFont="1" applyFill="1" applyBorder="1" applyAlignment="1">
      <alignment horizontal="center" vertical="top"/>
    </xf>
    <xf numFmtId="164" fontId="2" fillId="13" borderId="13" xfId="0" applyNumberFormat="1" applyFont="1" applyFill="1" applyBorder="1" applyAlignment="1">
      <alignment horizontal="right" vertical="top"/>
    </xf>
    <xf numFmtId="164" fontId="3" fillId="0" borderId="35" xfId="0" applyNumberFormat="1" applyFont="1" applyFill="1" applyBorder="1" applyAlignment="1">
      <alignment horizontal="right" vertical="top"/>
    </xf>
    <xf numFmtId="164" fontId="2" fillId="13" borderId="81" xfId="0" applyNumberFormat="1" applyFont="1" applyFill="1" applyBorder="1" applyAlignment="1">
      <alignment horizontal="right" vertical="top"/>
    </xf>
    <xf numFmtId="164" fontId="9" fillId="7" borderId="76" xfId="0" applyNumberFormat="1" applyFont="1" applyFill="1" applyBorder="1" applyAlignment="1">
      <alignment vertical="top"/>
    </xf>
    <xf numFmtId="49" fontId="11" fillId="13" borderId="40" xfId="0" applyNumberFormat="1" applyFont="1" applyFill="1" applyBorder="1" applyAlignment="1">
      <alignment vertical="top"/>
    </xf>
    <xf numFmtId="49" fontId="11" fillId="13" borderId="76" xfId="0" applyNumberFormat="1" applyFont="1" applyFill="1" applyBorder="1" applyAlignment="1">
      <alignment vertical="top"/>
    </xf>
    <xf numFmtId="49" fontId="11" fillId="7" borderId="56" xfId="0" applyNumberFormat="1" applyFont="1" applyFill="1" applyBorder="1" applyAlignment="1">
      <alignment vertical="top"/>
    </xf>
    <xf numFmtId="0" fontId="9" fillId="7" borderId="62" xfId="0" applyFont="1" applyFill="1" applyBorder="1" applyAlignment="1">
      <alignment vertical="top" wrapText="1"/>
    </xf>
    <xf numFmtId="0" fontId="7" fillId="0" borderId="34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vertical="top"/>
    </xf>
    <xf numFmtId="0" fontId="11" fillId="0" borderId="71" xfId="4" applyNumberFormat="1" applyFont="1" applyBorder="1" applyAlignment="1">
      <alignment horizontal="center" vertical="top"/>
    </xf>
    <xf numFmtId="49" fontId="11" fillId="7" borderId="70" xfId="0" applyNumberFormat="1" applyFont="1" applyFill="1" applyBorder="1" applyAlignment="1">
      <alignment horizontal="center" vertical="top"/>
    </xf>
    <xf numFmtId="0" fontId="11" fillId="0" borderId="62" xfId="4" applyNumberFormat="1" applyFont="1" applyBorder="1" applyAlignment="1">
      <alignment horizontal="center" vertical="top"/>
    </xf>
    <xf numFmtId="164" fontId="11" fillId="13" borderId="21" xfId="0" applyNumberFormat="1" applyFont="1" applyFill="1" applyBorder="1" applyAlignment="1">
      <alignment vertical="top"/>
    </xf>
    <xf numFmtId="0" fontId="3" fillId="13" borderId="13" xfId="0" applyFont="1" applyFill="1" applyBorder="1" applyAlignment="1">
      <alignment horizontal="left" vertical="top" wrapText="1"/>
    </xf>
    <xf numFmtId="0" fontId="12" fillId="13" borderId="81" xfId="0" applyNumberFormat="1" applyFont="1" applyFill="1" applyBorder="1" applyAlignment="1">
      <alignment horizontal="center" vertical="top"/>
    </xf>
    <xf numFmtId="0" fontId="9" fillId="0" borderId="21" xfId="0" applyFont="1" applyBorder="1" applyAlignment="1">
      <alignment vertical="top"/>
    </xf>
    <xf numFmtId="165" fontId="9" fillId="7" borderId="70" xfId="0" applyNumberFormat="1" applyFont="1" applyFill="1" applyBorder="1" applyAlignment="1">
      <alignment vertical="top"/>
    </xf>
    <xf numFmtId="0" fontId="11" fillId="7" borderId="26" xfId="0" applyFont="1" applyFill="1" applyBorder="1" applyAlignment="1">
      <alignment vertical="top" wrapText="1"/>
    </xf>
    <xf numFmtId="49" fontId="11" fillId="0" borderId="40" xfId="0" applyNumberFormat="1" applyFont="1" applyFill="1" applyBorder="1" applyAlignment="1">
      <alignment horizontal="center" vertical="top"/>
    </xf>
    <xf numFmtId="164" fontId="3" fillId="7" borderId="56" xfId="0" applyNumberFormat="1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right" vertical="top" wrapText="1"/>
    </xf>
    <xf numFmtId="0" fontId="11" fillId="11" borderId="67" xfId="0" applyFont="1" applyFill="1" applyBorder="1" applyAlignment="1">
      <alignment horizontal="right" vertical="top" wrapText="1"/>
    </xf>
    <xf numFmtId="164" fontId="9" fillId="0" borderId="6" xfId="0" applyNumberFormat="1" applyFont="1" applyBorder="1" applyAlignment="1">
      <alignment horizontal="center" vertical="top"/>
    </xf>
    <xf numFmtId="0" fontId="7" fillId="0" borderId="82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center" vertical="center" textRotation="90" wrapText="1"/>
    </xf>
    <xf numFmtId="49" fontId="11" fillId="0" borderId="61" xfId="0" applyNumberFormat="1" applyFont="1" applyBorder="1" applyAlignment="1">
      <alignment horizontal="center" vertical="top"/>
    </xf>
    <xf numFmtId="164" fontId="9" fillId="7" borderId="65" xfId="0" applyNumberFormat="1" applyFont="1" applyFill="1" applyBorder="1" applyAlignment="1">
      <alignment horizontal="center" vertical="center" textRotation="90"/>
    </xf>
    <xf numFmtId="49" fontId="9" fillId="0" borderId="65" xfId="0" applyNumberFormat="1" applyFont="1" applyBorder="1" applyAlignment="1">
      <alignment horizontal="center" vertical="top"/>
    </xf>
    <xf numFmtId="164" fontId="9" fillId="7" borderId="16" xfId="0" applyNumberFormat="1" applyFont="1" applyFill="1" applyBorder="1" applyAlignment="1">
      <alignment horizontal="center" vertical="center" textRotation="90"/>
    </xf>
    <xf numFmtId="49" fontId="11" fillId="12" borderId="28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0" fontId="9" fillId="7" borderId="38" xfId="0" applyFont="1" applyFill="1" applyBorder="1" applyAlignment="1">
      <alignment vertical="top" wrapText="1"/>
    </xf>
    <xf numFmtId="49" fontId="9" fillId="0" borderId="53" xfId="0" applyNumberFormat="1" applyFont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49" fontId="11" fillId="0" borderId="38" xfId="0" applyNumberFormat="1" applyFont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0" fillId="0" borderId="21" xfId="0" applyBorder="1" applyAlignment="1">
      <alignment vertical="top" wrapText="1"/>
    </xf>
    <xf numFmtId="0" fontId="9" fillId="7" borderId="33" xfId="0" applyFont="1" applyFill="1" applyBorder="1" applyAlignment="1">
      <alignment horizontal="left" vertical="top" wrapText="1"/>
    </xf>
    <xf numFmtId="0" fontId="9" fillId="7" borderId="28" xfId="0" applyFont="1" applyFill="1" applyBorder="1" applyAlignment="1">
      <alignment horizontal="left" vertical="top" wrapText="1"/>
    </xf>
    <xf numFmtId="49" fontId="9" fillId="0" borderId="66" xfId="0" applyNumberFormat="1" applyFont="1" applyBorder="1" applyAlignment="1">
      <alignment horizontal="center" vertical="top" wrapText="1"/>
    </xf>
    <xf numFmtId="0" fontId="9" fillId="7" borderId="34" xfId="0" applyNumberFormat="1" applyFont="1" applyFill="1" applyBorder="1" applyAlignment="1">
      <alignment horizontal="center" vertical="top"/>
    </xf>
    <xf numFmtId="0" fontId="6" fillId="0" borderId="76" xfId="0" applyFont="1" applyFill="1" applyBorder="1" applyAlignment="1">
      <alignment horizontal="center" vertical="top"/>
    </xf>
    <xf numFmtId="49" fontId="11" fillId="0" borderId="53" xfId="0" applyNumberFormat="1" applyFont="1" applyBorder="1" applyAlignment="1">
      <alignment horizontal="center" vertical="top"/>
    </xf>
    <xf numFmtId="0" fontId="9" fillId="0" borderId="28" xfId="0" applyFont="1" applyBorder="1" applyAlignment="1">
      <alignment vertical="top" wrapText="1"/>
    </xf>
    <xf numFmtId="49" fontId="9" fillId="7" borderId="72" xfId="0" applyNumberFormat="1" applyFont="1" applyFill="1" applyBorder="1" applyAlignment="1">
      <alignment horizontal="center" vertical="top" wrapText="1"/>
    </xf>
    <xf numFmtId="0" fontId="9" fillId="0" borderId="92" xfId="0" applyFont="1" applyBorder="1" applyAlignment="1">
      <alignment horizontal="center" vertical="top"/>
    </xf>
    <xf numFmtId="164" fontId="9" fillId="7" borderId="93" xfId="0" applyNumberFormat="1" applyFont="1" applyFill="1" applyBorder="1" applyAlignment="1">
      <alignment vertical="top"/>
    </xf>
    <xf numFmtId="164" fontId="9" fillId="7" borderId="95" xfId="0" applyNumberFormat="1" applyFont="1" applyFill="1" applyBorder="1" applyAlignment="1">
      <alignment vertical="top"/>
    </xf>
    <xf numFmtId="164" fontId="9" fillId="7" borderId="96" xfId="0" applyNumberFormat="1" applyFont="1" applyFill="1" applyBorder="1" applyAlignment="1">
      <alignment vertical="top"/>
    </xf>
    <xf numFmtId="164" fontId="9" fillId="11" borderId="95" xfId="0" applyNumberFormat="1" applyFont="1" applyFill="1" applyBorder="1" applyAlignment="1">
      <alignment vertical="top"/>
    </xf>
    <xf numFmtId="164" fontId="9" fillId="0" borderId="98" xfId="0" applyNumberFormat="1" applyFont="1" applyBorder="1" applyAlignment="1">
      <alignment horizontal="center" vertical="top"/>
    </xf>
    <xf numFmtId="164" fontId="9" fillId="0" borderId="91" xfId="0" applyNumberFormat="1" applyFont="1" applyBorder="1" applyAlignment="1">
      <alignment horizontal="center" vertical="top"/>
    </xf>
    <xf numFmtId="0" fontId="9" fillId="0" borderId="99" xfId="0" applyFont="1" applyBorder="1" applyAlignment="1">
      <alignment horizontal="center" vertical="top"/>
    </xf>
    <xf numFmtId="49" fontId="9" fillId="7" borderId="100" xfId="0" applyNumberFormat="1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/>
    </xf>
    <xf numFmtId="164" fontId="9" fillId="6" borderId="53" xfId="0" applyNumberFormat="1" applyFont="1" applyFill="1" applyBorder="1" applyAlignment="1">
      <alignment vertical="top"/>
    </xf>
    <xf numFmtId="164" fontId="9" fillId="0" borderId="19" xfId="0" applyNumberFormat="1" applyFont="1" applyBorder="1" applyAlignment="1">
      <alignment vertical="top"/>
    </xf>
    <xf numFmtId="164" fontId="9" fillId="11" borderId="19" xfId="0" applyNumberFormat="1" applyFont="1" applyFill="1" applyBorder="1" applyAlignment="1">
      <alignment vertical="top"/>
    </xf>
    <xf numFmtId="0" fontId="9" fillId="0" borderId="84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102" xfId="0" applyFont="1" applyBorder="1" applyAlignment="1">
      <alignment horizontal="center" vertical="top"/>
    </xf>
    <xf numFmtId="164" fontId="9" fillId="7" borderId="103" xfId="0" applyNumberFormat="1" applyFont="1" applyFill="1" applyBorder="1" applyAlignment="1">
      <alignment vertical="top"/>
    </xf>
    <xf numFmtId="164" fontId="9" fillId="7" borderId="100" xfId="0" applyNumberFormat="1" applyFont="1" applyFill="1" applyBorder="1" applyAlignment="1">
      <alignment vertical="top"/>
    </xf>
    <xf numFmtId="164" fontId="9" fillId="7" borderId="104" xfId="0" applyNumberFormat="1" applyFont="1" applyFill="1" applyBorder="1" applyAlignment="1">
      <alignment vertical="top"/>
    </xf>
    <xf numFmtId="164" fontId="9" fillId="6" borderId="100" xfId="0" applyNumberFormat="1" applyFont="1" applyFill="1" applyBorder="1" applyAlignment="1">
      <alignment vertical="top"/>
    </xf>
    <xf numFmtId="164" fontId="9" fillId="0" borderId="106" xfId="0" applyNumberFormat="1" applyFont="1" applyBorder="1" applyAlignment="1">
      <alignment vertical="top"/>
    </xf>
    <xf numFmtId="164" fontId="9" fillId="11" borderId="103" xfId="0" applyNumberFormat="1" applyFont="1" applyFill="1" applyBorder="1" applyAlignment="1">
      <alignment vertical="top"/>
    </xf>
    <xf numFmtId="164" fontId="9" fillId="11" borderId="100" xfId="0" applyNumberFormat="1" applyFont="1" applyFill="1" applyBorder="1" applyAlignment="1">
      <alignment vertical="top"/>
    </xf>
    <xf numFmtId="164" fontId="9" fillId="11" borderId="106" xfId="0" applyNumberFormat="1" applyFont="1" applyFill="1" applyBorder="1" applyAlignment="1">
      <alignment vertical="top"/>
    </xf>
    <xf numFmtId="164" fontId="9" fillId="0" borderId="101" xfId="0" applyNumberFormat="1" applyFont="1" applyBorder="1" applyAlignment="1">
      <alignment horizontal="center" vertical="top"/>
    </xf>
    <xf numFmtId="0" fontId="9" fillId="0" borderId="105" xfId="0" applyFont="1" applyFill="1" applyBorder="1" applyAlignment="1">
      <alignment horizontal="left" vertical="top" wrapText="1"/>
    </xf>
    <xf numFmtId="0" fontId="9" fillId="0" borderId="100" xfId="0" applyFont="1" applyFill="1" applyBorder="1" applyAlignment="1">
      <alignment horizontal="center" vertical="top"/>
    </xf>
    <xf numFmtId="0" fontId="9" fillId="0" borderId="104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 vertical="top" textRotation="90" wrapText="1"/>
    </xf>
    <xf numFmtId="164" fontId="9" fillId="7" borderId="95" xfId="0" applyNumberFormat="1" applyFont="1" applyFill="1" applyBorder="1" applyAlignment="1">
      <alignment horizontal="center" vertical="top"/>
    </xf>
    <xf numFmtId="164" fontId="9" fillId="11" borderId="97" xfId="0" applyNumberFormat="1" applyFont="1" applyFill="1" applyBorder="1" applyAlignment="1">
      <alignment vertical="top"/>
    </xf>
    <xf numFmtId="164" fontId="9" fillId="11" borderId="94" xfId="0" applyNumberFormat="1" applyFont="1" applyFill="1" applyBorder="1" applyAlignment="1">
      <alignment vertical="top"/>
    </xf>
    <xf numFmtId="164" fontId="9" fillId="0" borderId="19" xfId="0" applyNumberFormat="1" applyFont="1" applyFill="1" applyBorder="1" applyAlignment="1">
      <alignment vertical="top"/>
    </xf>
    <xf numFmtId="164" fontId="9" fillId="0" borderId="7" xfId="0" applyNumberFormat="1" applyFont="1" applyBorder="1" applyAlignment="1">
      <alignment vertical="top"/>
    </xf>
    <xf numFmtId="164" fontId="9" fillId="0" borderId="100" xfId="0" applyNumberFormat="1" applyFont="1" applyFill="1" applyBorder="1" applyAlignment="1">
      <alignment vertical="top"/>
    </xf>
    <xf numFmtId="164" fontId="9" fillId="0" borderId="106" xfId="0" applyNumberFormat="1" applyFont="1" applyFill="1" applyBorder="1" applyAlignment="1">
      <alignment vertical="top"/>
    </xf>
    <xf numFmtId="164" fontId="9" fillId="0" borderId="101" xfId="0" applyNumberFormat="1" applyFont="1" applyBorder="1" applyAlignment="1">
      <alignment vertical="top"/>
    </xf>
    <xf numFmtId="0" fontId="9" fillId="7" borderId="8" xfId="0" applyFont="1" applyFill="1" applyBorder="1" applyAlignment="1">
      <alignment horizontal="center" vertical="top" wrapText="1"/>
    </xf>
    <xf numFmtId="0" fontId="9" fillId="7" borderId="70" xfId="0" applyFont="1" applyFill="1" applyBorder="1" applyAlignment="1">
      <alignment vertical="top" wrapText="1"/>
    </xf>
    <xf numFmtId="164" fontId="9" fillId="0" borderId="91" xfId="0" applyNumberFormat="1" applyFont="1" applyFill="1" applyBorder="1" applyAlignment="1">
      <alignment vertical="top"/>
    </xf>
    <xf numFmtId="164" fontId="9" fillId="0" borderId="91" xfId="0" applyNumberFormat="1" applyFont="1" applyBorder="1" applyAlignment="1">
      <alignment vertical="top"/>
    </xf>
    <xf numFmtId="0" fontId="9" fillId="7" borderId="92" xfId="0" applyFont="1" applyFill="1" applyBorder="1" applyAlignment="1">
      <alignment horizontal="center" vertical="top"/>
    </xf>
    <xf numFmtId="0" fontId="9" fillId="0" borderId="97" xfId="0" applyFont="1" applyBorder="1" applyAlignment="1">
      <alignment vertical="top"/>
    </xf>
    <xf numFmtId="0" fontId="9" fillId="0" borderId="94" xfId="0" applyNumberFormat="1" applyFont="1" applyBorder="1" applyAlignment="1">
      <alignment horizontal="center" vertical="top"/>
    </xf>
    <xf numFmtId="0" fontId="9" fillId="0" borderId="96" xfId="0" applyNumberFormat="1" applyFont="1" applyBorder="1" applyAlignment="1">
      <alignment horizontal="center" vertical="top"/>
    </xf>
    <xf numFmtId="164" fontId="9" fillId="7" borderId="15" xfId="0" applyNumberFormat="1" applyFont="1" applyFill="1" applyBorder="1" applyAlignment="1">
      <alignment vertical="top"/>
    </xf>
    <xf numFmtId="164" fontId="9" fillId="7" borderId="37" xfId="0" applyNumberFormat="1" applyFont="1" applyFill="1" applyBorder="1" applyAlignment="1">
      <alignment vertical="top"/>
    </xf>
    <xf numFmtId="0" fontId="9" fillId="7" borderId="100" xfId="0" applyFont="1" applyFill="1" applyBorder="1" applyAlignment="1">
      <alignment horizontal="center" vertical="top"/>
    </xf>
    <xf numFmtId="0" fontId="9" fillId="7" borderId="104" xfId="0" applyFont="1" applyFill="1" applyBorder="1" applyAlignment="1">
      <alignment horizontal="center" vertical="top"/>
    </xf>
    <xf numFmtId="164" fontId="3" fillId="7" borderId="62" xfId="0" applyNumberFormat="1" applyFont="1" applyFill="1" applyBorder="1" applyAlignment="1">
      <alignment horizontal="center" vertical="top"/>
    </xf>
    <xf numFmtId="164" fontId="2" fillId="11" borderId="59" xfId="0" applyNumberFormat="1" applyFont="1" applyFill="1" applyBorder="1" applyAlignment="1">
      <alignment horizontal="center" vertical="center"/>
    </xf>
    <xf numFmtId="164" fontId="3" fillId="7" borderId="25" xfId="0" applyNumberFormat="1" applyFont="1" applyFill="1" applyBorder="1" applyAlignment="1">
      <alignment horizontal="center" vertical="top"/>
    </xf>
    <xf numFmtId="164" fontId="2" fillId="11" borderId="73" xfId="0" applyNumberFormat="1" applyFont="1" applyFill="1" applyBorder="1" applyAlignment="1">
      <alignment horizontal="center" vertical="center"/>
    </xf>
    <xf numFmtId="164" fontId="9" fillId="7" borderId="102" xfId="0" applyNumberFormat="1" applyFont="1" applyFill="1" applyBorder="1" applyAlignment="1">
      <alignment horizontal="right" vertical="top"/>
    </xf>
    <xf numFmtId="0" fontId="9" fillId="7" borderId="103" xfId="0" applyFont="1" applyFill="1" applyBorder="1" applyAlignment="1">
      <alignment horizontal="left" vertical="top" wrapText="1"/>
    </xf>
    <xf numFmtId="164" fontId="9" fillId="7" borderId="75" xfId="0" applyNumberFormat="1" applyFont="1" applyFill="1" applyBorder="1" applyAlignment="1">
      <alignment horizontal="center" vertical="top"/>
    </xf>
    <xf numFmtId="164" fontId="9" fillId="7" borderId="26" xfId="0" applyNumberFormat="1" applyFont="1" applyFill="1" applyBorder="1" applyAlignment="1">
      <alignment horizontal="center" vertical="top"/>
    </xf>
    <xf numFmtId="164" fontId="9" fillId="7" borderId="27" xfId="0" applyNumberFormat="1" applyFont="1" applyFill="1" applyBorder="1" applyAlignment="1">
      <alignment horizontal="center" vertical="top"/>
    </xf>
    <xf numFmtId="164" fontId="9" fillId="7" borderId="70" xfId="0" applyNumberFormat="1" applyFont="1" applyFill="1" applyBorder="1" applyAlignment="1">
      <alignment horizontal="center" vertical="top"/>
    </xf>
    <xf numFmtId="164" fontId="9" fillId="7" borderId="38" xfId="0" applyNumberFormat="1" applyFont="1" applyFill="1" applyBorder="1" applyAlignment="1">
      <alignment horizontal="center" vertical="top"/>
    </xf>
    <xf numFmtId="164" fontId="9" fillId="7" borderId="72" xfId="0" applyNumberFormat="1" applyFont="1" applyFill="1" applyBorder="1" applyAlignment="1">
      <alignment horizontal="center" vertical="top"/>
    </xf>
    <xf numFmtId="0" fontId="9" fillId="7" borderId="25" xfId="0" applyFont="1" applyFill="1" applyBorder="1" applyAlignment="1">
      <alignment horizontal="left" vertical="top" wrapText="1"/>
    </xf>
    <xf numFmtId="0" fontId="9" fillId="7" borderId="26" xfId="0" applyFont="1" applyFill="1" applyBorder="1" applyAlignment="1">
      <alignment horizontal="center" vertical="top"/>
    </xf>
    <xf numFmtId="164" fontId="9" fillId="7" borderId="108" xfId="0" applyNumberFormat="1" applyFont="1" applyFill="1" applyBorder="1" applyAlignment="1">
      <alignment vertical="top"/>
    </xf>
    <xf numFmtId="164" fontId="9" fillId="7" borderId="109" xfId="0" applyNumberFormat="1" applyFont="1" applyFill="1" applyBorder="1" applyAlignment="1">
      <alignment vertical="top"/>
    </xf>
    <xf numFmtId="0" fontId="9" fillId="7" borderId="100" xfId="0" applyFont="1" applyFill="1" applyBorder="1" applyAlignment="1">
      <alignment vertical="top" wrapText="1"/>
    </xf>
    <xf numFmtId="0" fontId="5" fillId="7" borderId="34" xfId="0" applyFont="1" applyFill="1" applyBorder="1" applyAlignment="1">
      <alignment horizontal="center" vertical="top" wrapText="1"/>
    </xf>
    <xf numFmtId="0" fontId="12" fillId="7" borderId="34" xfId="0" applyFont="1" applyFill="1" applyBorder="1" applyAlignment="1">
      <alignment horizontal="center" vertical="top" wrapText="1"/>
    </xf>
    <xf numFmtId="0" fontId="12" fillId="7" borderId="35" xfId="0" applyFont="1" applyFill="1" applyBorder="1" applyAlignment="1">
      <alignment horizontal="center" vertical="top" wrapText="1"/>
    </xf>
    <xf numFmtId="0" fontId="5" fillId="7" borderId="31" xfId="0" applyFont="1" applyFill="1" applyBorder="1" applyAlignment="1">
      <alignment horizontal="center" vertical="top" wrapText="1"/>
    </xf>
    <xf numFmtId="0" fontId="12" fillId="7" borderId="31" xfId="0" applyFont="1" applyFill="1" applyBorder="1" applyAlignment="1">
      <alignment horizontal="center" vertical="top" wrapText="1"/>
    </xf>
    <xf numFmtId="0" fontId="12" fillId="7" borderId="32" xfId="0" applyFont="1" applyFill="1" applyBorder="1" applyAlignment="1">
      <alignment horizontal="center" vertical="top" wrapText="1"/>
    </xf>
    <xf numFmtId="164" fontId="3" fillId="11" borderId="62" xfId="0" applyNumberFormat="1" applyFont="1" applyFill="1" applyBorder="1" applyAlignment="1">
      <alignment horizontal="center" vertical="top"/>
    </xf>
    <xf numFmtId="164" fontId="3" fillId="11" borderId="60" xfId="0" applyNumberFormat="1" applyFont="1" applyFill="1" applyBorder="1" applyAlignment="1">
      <alignment horizontal="center" vertical="top"/>
    </xf>
    <xf numFmtId="164" fontId="3" fillId="0" borderId="71" xfId="0" applyNumberFormat="1" applyFont="1" applyFill="1" applyBorder="1" applyAlignment="1">
      <alignment horizontal="center" vertical="top"/>
    </xf>
    <xf numFmtId="164" fontId="3" fillId="0" borderId="86" xfId="0" applyNumberFormat="1" applyFont="1" applyFill="1" applyBorder="1" applyAlignment="1">
      <alignment horizontal="center" vertical="top"/>
    </xf>
    <xf numFmtId="0" fontId="9" fillId="7" borderId="115" xfId="0" applyNumberFormat="1" applyFont="1" applyFill="1" applyBorder="1" applyAlignment="1">
      <alignment horizontal="center" vertical="top"/>
    </xf>
    <xf numFmtId="0" fontId="9" fillId="7" borderId="116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7" borderId="63" xfId="0" applyFont="1" applyFill="1" applyBorder="1" applyAlignment="1">
      <alignment horizontal="center" vertical="top"/>
    </xf>
    <xf numFmtId="164" fontId="9" fillId="7" borderId="33" xfId="0" applyNumberFormat="1" applyFont="1" applyFill="1" applyBorder="1" applyAlignment="1">
      <alignment horizontal="center" vertical="top"/>
    </xf>
    <xf numFmtId="0" fontId="9" fillId="7" borderId="100" xfId="0" applyNumberFormat="1" applyFont="1" applyFill="1" applyBorder="1" applyAlignment="1">
      <alignment horizontal="center" vertical="top"/>
    </xf>
    <xf numFmtId="0" fontId="9" fillId="7" borderId="104" xfId="0" applyNumberFormat="1" applyFont="1" applyFill="1" applyBorder="1" applyAlignment="1">
      <alignment horizontal="center" vertical="top"/>
    </xf>
    <xf numFmtId="0" fontId="12" fillId="13" borderId="23" xfId="0" applyNumberFormat="1" applyFont="1" applyFill="1" applyBorder="1" applyAlignment="1">
      <alignment horizontal="center" vertical="top"/>
    </xf>
    <xf numFmtId="0" fontId="9" fillId="7" borderId="34" xfId="0" applyFont="1" applyFill="1" applyBorder="1" applyAlignment="1">
      <alignment horizontal="left" vertical="top" wrapText="1"/>
    </xf>
    <xf numFmtId="49" fontId="9" fillId="7" borderId="34" xfId="0" applyNumberFormat="1" applyFont="1" applyFill="1" applyBorder="1" applyAlignment="1">
      <alignment horizontal="center" vertical="top"/>
    </xf>
    <xf numFmtId="49" fontId="9" fillId="7" borderId="53" xfId="0" applyNumberFormat="1" applyFont="1" applyFill="1" applyBorder="1" applyAlignment="1">
      <alignment horizontal="center" vertical="top"/>
    </xf>
    <xf numFmtId="164" fontId="9" fillId="7" borderId="63" xfId="0" applyNumberFormat="1" applyFont="1" applyFill="1" applyBorder="1" applyAlignment="1">
      <alignment vertical="top"/>
    </xf>
    <xf numFmtId="164" fontId="11" fillId="7" borderId="67" xfId="0" applyNumberFormat="1" applyFont="1" applyFill="1" applyBorder="1" applyAlignment="1">
      <alignment vertical="top"/>
    </xf>
    <xf numFmtId="0" fontId="9" fillId="0" borderId="100" xfId="0" applyNumberFormat="1" applyFont="1" applyBorder="1" applyAlignment="1">
      <alignment horizontal="center" vertical="top"/>
    </xf>
    <xf numFmtId="0" fontId="9" fillId="0" borderId="104" xfId="0" applyNumberFormat="1" applyFont="1" applyBorder="1" applyAlignment="1">
      <alignment horizontal="center" vertical="top"/>
    </xf>
    <xf numFmtId="0" fontId="11" fillId="7" borderId="63" xfId="0" applyFont="1" applyFill="1" applyBorder="1" applyAlignment="1">
      <alignment horizontal="left" vertical="top" wrapText="1"/>
    </xf>
    <xf numFmtId="0" fontId="9" fillId="7" borderId="33" xfId="0" applyFont="1" applyFill="1" applyBorder="1" applyAlignment="1">
      <alignment vertical="top" wrapText="1"/>
    </xf>
    <xf numFmtId="49" fontId="9" fillId="7" borderId="61" xfId="0" applyNumberFormat="1" applyFont="1" applyFill="1" applyBorder="1" applyAlignment="1">
      <alignment horizontal="center" vertical="top"/>
    </xf>
    <xf numFmtId="49" fontId="9" fillId="7" borderId="72" xfId="0" applyNumberFormat="1" applyFont="1" applyFill="1" applyBorder="1" applyAlignment="1">
      <alignment horizontal="center" vertical="top"/>
    </xf>
    <xf numFmtId="164" fontId="9" fillId="6" borderId="34" xfId="0" applyNumberFormat="1" applyFont="1" applyFill="1" applyBorder="1" applyAlignment="1">
      <alignment horizontal="center" vertical="top"/>
    </xf>
    <xf numFmtId="164" fontId="9" fillId="7" borderId="55" xfId="0" applyNumberFormat="1" applyFont="1" applyFill="1" applyBorder="1" applyAlignment="1">
      <alignment horizontal="right" vertical="top"/>
    </xf>
    <xf numFmtId="164" fontId="9" fillId="7" borderId="16" xfId="0" applyNumberFormat="1" applyFont="1" applyFill="1" applyBorder="1" applyAlignment="1">
      <alignment horizontal="right" vertical="top"/>
    </xf>
    <xf numFmtId="164" fontId="9" fillId="7" borderId="65" xfId="0" applyNumberFormat="1" applyFont="1" applyFill="1" applyBorder="1" applyAlignment="1">
      <alignment horizontal="right" vertical="top"/>
    </xf>
    <xf numFmtId="164" fontId="9" fillId="6" borderId="16" xfId="0" applyNumberFormat="1" applyFont="1" applyFill="1" applyBorder="1" applyAlignment="1">
      <alignment horizontal="center" vertical="top"/>
    </xf>
    <xf numFmtId="164" fontId="9" fillId="0" borderId="65" xfId="0" applyNumberFormat="1" applyFont="1" applyBorder="1" applyAlignment="1">
      <alignment horizontal="center" vertical="top"/>
    </xf>
    <xf numFmtId="164" fontId="9" fillId="11" borderId="55" xfId="0" applyNumberFormat="1" applyFont="1" applyFill="1" applyBorder="1" applyAlignment="1">
      <alignment horizontal="right" vertical="top"/>
    </xf>
    <xf numFmtId="164" fontId="9" fillId="11" borderId="16" xfId="0" applyNumberFormat="1" applyFont="1" applyFill="1" applyBorder="1" applyAlignment="1">
      <alignment horizontal="right" vertical="top"/>
    </xf>
    <xf numFmtId="164" fontId="9" fillId="0" borderId="44" xfId="0" applyNumberFormat="1" applyFont="1" applyBorder="1" applyAlignment="1">
      <alignment horizontal="center" vertical="top"/>
    </xf>
    <xf numFmtId="164" fontId="9" fillId="0" borderId="67" xfId="0" applyNumberFormat="1" applyFont="1" applyBorder="1" applyAlignment="1">
      <alignment horizontal="center" vertical="top"/>
    </xf>
    <xf numFmtId="164" fontId="9" fillId="7" borderId="62" xfId="0" applyNumberFormat="1" applyFont="1" applyFill="1" applyBorder="1" applyAlignment="1">
      <alignment horizontal="right" vertical="top"/>
    </xf>
    <xf numFmtId="0" fontId="7" fillId="0" borderId="117" xfId="0" applyFont="1" applyFill="1" applyBorder="1" applyAlignment="1">
      <alignment horizontal="center" vertical="top" wrapText="1"/>
    </xf>
    <xf numFmtId="49" fontId="9" fillId="0" borderId="100" xfId="0" applyNumberFormat="1" applyFont="1" applyBorder="1" applyAlignment="1">
      <alignment horizontal="center" vertical="top"/>
    </xf>
    <xf numFmtId="49" fontId="11" fillId="0" borderId="117" xfId="0" applyNumberFormat="1" applyFont="1" applyBorder="1" applyAlignment="1">
      <alignment horizontal="center" vertical="top"/>
    </xf>
    <xf numFmtId="49" fontId="9" fillId="0" borderId="104" xfId="0" applyNumberFormat="1" applyFont="1" applyBorder="1" applyAlignment="1">
      <alignment horizontal="center" vertical="top"/>
    </xf>
    <xf numFmtId="164" fontId="9" fillId="7" borderId="106" xfId="0" applyNumberFormat="1" applyFont="1" applyFill="1" applyBorder="1" applyAlignment="1">
      <alignment horizontal="right" vertical="top"/>
    </xf>
    <xf numFmtId="164" fontId="9" fillId="7" borderId="100" xfId="0" applyNumberFormat="1" applyFont="1" applyFill="1" applyBorder="1" applyAlignment="1">
      <alignment horizontal="right" vertical="top"/>
    </xf>
    <xf numFmtId="164" fontId="9" fillId="7" borderId="104" xfId="0" applyNumberFormat="1" applyFont="1" applyFill="1" applyBorder="1" applyAlignment="1">
      <alignment horizontal="right" vertical="top"/>
    </xf>
    <xf numFmtId="164" fontId="9" fillId="0" borderId="100" xfId="0" applyNumberFormat="1" applyFont="1" applyBorder="1" applyAlignment="1">
      <alignment vertical="top"/>
    </xf>
    <xf numFmtId="164" fontId="9" fillId="6" borderId="100" xfId="0" applyNumberFormat="1" applyFont="1" applyFill="1" applyBorder="1" applyAlignment="1">
      <alignment horizontal="center" vertical="top"/>
    </xf>
    <xf numFmtId="164" fontId="9" fillId="0" borderId="104" xfId="0" applyNumberFormat="1" applyFont="1" applyBorder="1" applyAlignment="1">
      <alignment horizontal="center" vertical="top"/>
    </xf>
    <xf numFmtId="164" fontId="9" fillId="11" borderId="105" xfId="0" applyNumberFormat="1" applyFont="1" applyFill="1" applyBorder="1" applyAlignment="1">
      <alignment horizontal="right" vertical="top"/>
    </xf>
    <xf numFmtId="164" fontId="9" fillId="11" borderId="100" xfId="0" applyNumberFormat="1" applyFont="1" applyFill="1" applyBorder="1" applyAlignment="1">
      <alignment horizontal="right" vertical="top"/>
    </xf>
    <xf numFmtId="164" fontId="9" fillId="0" borderId="102" xfId="0" applyNumberFormat="1" applyFont="1" applyBorder="1" applyAlignment="1">
      <alignment horizontal="center" vertical="top"/>
    </xf>
    <xf numFmtId="0" fontId="9" fillId="7" borderId="34" xfId="0" applyFont="1" applyFill="1" applyBorder="1" applyAlignment="1">
      <alignment vertical="top" wrapText="1"/>
    </xf>
    <xf numFmtId="0" fontId="5" fillId="6" borderId="16" xfId="0" applyFont="1" applyFill="1" applyBorder="1" applyAlignment="1">
      <alignment vertical="top"/>
    </xf>
    <xf numFmtId="0" fontId="5" fillId="6" borderId="65" xfId="0" applyFont="1" applyFill="1" applyBorder="1" applyAlignment="1">
      <alignment vertical="top"/>
    </xf>
    <xf numFmtId="0" fontId="9" fillId="7" borderId="33" xfId="0" applyFont="1" applyFill="1" applyBorder="1" applyAlignment="1">
      <alignment horizontal="left" vertical="top" wrapText="1"/>
    </xf>
    <xf numFmtId="0" fontId="9" fillId="7" borderId="34" xfId="0" applyNumberFormat="1" applyFont="1" applyFill="1" applyBorder="1" applyAlignment="1">
      <alignment horizontal="center" vertical="top"/>
    </xf>
    <xf numFmtId="49" fontId="9" fillId="0" borderId="40" xfId="0" applyNumberFormat="1" applyFont="1" applyFill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0" fontId="9" fillId="7" borderId="40" xfId="0" applyNumberFormat="1" applyFont="1" applyFill="1" applyBorder="1" applyAlignment="1">
      <alignment horizontal="center" vertical="top"/>
    </xf>
    <xf numFmtId="49" fontId="11" fillId="0" borderId="18" xfId="0" applyNumberFormat="1" applyFont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49" fontId="11" fillId="0" borderId="62" xfId="0" applyNumberFormat="1" applyFont="1" applyFill="1" applyBorder="1" applyAlignment="1">
      <alignment horizontal="center" vertical="top"/>
    </xf>
    <xf numFmtId="49" fontId="9" fillId="0" borderId="34" xfId="0" applyNumberFormat="1" applyFont="1" applyFill="1" applyBorder="1" applyAlignment="1">
      <alignment horizontal="center" vertical="top"/>
    </xf>
    <xf numFmtId="49" fontId="11" fillId="0" borderId="34" xfId="0" applyNumberFormat="1" applyFont="1" applyFill="1" applyBorder="1" applyAlignment="1">
      <alignment horizontal="center" vertical="top"/>
    </xf>
    <xf numFmtId="0" fontId="9" fillId="0" borderId="26" xfId="0" applyFont="1" applyBorder="1" applyAlignment="1">
      <alignment horizontal="center" vertical="top"/>
    </xf>
    <xf numFmtId="164" fontId="9" fillId="0" borderId="8" xfId="0" applyNumberFormat="1" applyFont="1" applyBorder="1" applyAlignment="1">
      <alignment horizontal="center" vertical="top"/>
    </xf>
    <xf numFmtId="164" fontId="9" fillId="0" borderId="38" xfId="0" applyNumberFormat="1" applyFont="1" applyBorder="1" applyAlignment="1">
      <alignment horizontal="center" vertical="top"/>
    </xf>
    <xf numFmtId="0" fontId="9" fillId="0" borderId="38" xfId="0" applyFont="1" applyBorder="1" applyAlignment="1">
      <alignment horizontal="center" vertical="top"/>
    </xf>
    <xf numFmtId="164" fontId="11" fillId="4" borderId="9" xfId="0" applyNumberFormat="1" applyFont="1" applyFill="1" applyBorder="1" applyAlignment="1">
      <alignment vertical="top"/>
    </xf>
    <xf numFmtId="164" fontId="11" fillId="4" borderId="118" xfId="0" applyNumberFormat="1" applyFont="1" applyFill="1" applyBorder="1" applyAlignment="1">
      <alignment vertical="top"/>
    </xf>
    <xf numFmtId="164" fontId="11" fillId="4" borderId="3" xfId="0" applyNumberFormat="1" applyFont="1" applyFill="1" applyBorder="1" applyAlignment="1">
      <alignment vertical="top"/>
    </xf>
    <xf numFmtId="0" fontId="9" fillId="0" borderId="27" xfId="0" applyFont="1" applyBorder="1" applyAlignment="1">
      <alignment horizontal="center" vertical="top"/>
    </xf>
    <xf numFmtId="0" fontId="9" fillId="0" borderId="72" xfId="0" applyFont="1" applyBorder="1" applyAlignment="1">
      <alignment horizontal="center" vertical="top"/>
    </xf>
    <xf numFmtId="164" fontId="9" fillId="6" borderId="33" xfId="0" applyNumberFormat="1" applyFont="1" applyFill="1" applyBorder="1" applyAlignment="1">
      <alignment horizontal="center" vertical="top"/>
    </xf>
    <xf numFmtId="164" fontId="9" fillId="6" borderId="62" xfId="0" applyNumberFormat="1" applyFont="1" applyFill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164" fontId="9" fillId="7" borderId="39" xfId="0" applyNumberFormat="1" applyFont="1" applyFill="1" applyBorder="1" applyAlignment="1">
      <alignment horizontal="center" vertical="top"/>
    </xf>
    <xf numFmtId="164" fontId="9" fillId="7" borderId="61" xfId="0" applyNumberFormat="1" applyFont="1" applyFill="1" applyBorder="1" applyAlignment="1">
      <alignment horizontal="center" vertical="top"/>
    </xf>
    <xf numFmtId="0" fontId="9" fillId="0" borderId="39" xfId="0" applyFont="1" applyBorder="1" applyAlignment="1">
      <alignment horizontal="center" vertical="top"/>
    </xf>
    <xf numFmtId="164" fontId="11" fillId="11" borderId="14" xfId="0" applyNumberFormat="1" applyFont="1" applyFill="1" applyBorder="1" applyAlignment="1">
      <alignment horizontal="center" vertical="top"/>
    </xf>
    <xf numFmtId="164" fontId="11" fillId="11" borderId="29" xfId="0" applyNumberFormat="1" applyFont="1" applyFill="1" applyBorder="1" applyAlignment="1">
      <alignment horizontal="center" vertical="top"/>
    </xf>
    <xf numFmtId="164" fontId="11" fillId="11" borderId="59" xfId="0" applyNumberFormat="1" applyFont="1" applyFill="1" applyBorder="1" applyAlignment="1">
      <alignment horizontal="center" vertical="top"/>
    </xf>
    <xf numFmtId="164" fontId="11" fillId="11" borderId="30" xfId="0" applyNumberFormat="1" applyFont="1" applyFill="1" applyBorder="1" applyAlignment="1">
      <alignment horizontal="center" vertical="top"/>
    </xf>
    <xf numFmtId="164" fontId="11" fillId="11" borderId="74" xfId="0" applyNumberFormat="1" applyFont="1" applyFill="1" applyBorder="1" applyAlignment="1">
      <alignment horizontal="center" vertical="top"/>
    </xf>
    <xf numFmtId="164" fontId="11" fillId="11" borderId="73" xfId="0" applyNumberFormat="1" applyFont="1" applyFill="1" applyBorder="1" applyAlignment="1">
      <alignment horizontal="center" vertical="top"/>
    </xf>
    <xf numFmtId="49" fontId="9" fillId="0" borderId="64" xfId="0" applyNumberFormat="1" applyFont="1" applyBorder="1" applyAlignment="1">
      <alignment horizontal="center" vertical="top" wrapText="1"/>
    </xf>
    <xf numFmtId="49" fontId="9" fillId="0" borderId="41" xfId="0" applyNumberFormat="1" applyFont="1" applyBorder="1" applyAlignment="1">
      <alignment horizontal="center" vertical="top" wrapText="1"/>
    </xf>
    <xf numFmtId="49" fontId="9" fillId="0" borderId="35" xfId="0" applyNumberFormat="1" applyFont="1" applyBorder="1" applyAlignment="1">
      <alignment horizontal="center" vertical="top" wrapText="1"/>
    </xf>
    <xf numFmtId="0" fontId="9" fillId="0" borderId="62" xfId="0" applyFont="1" applyBorder="1" applyAlignment="1">
      <alignment vertical="top" wrapText="1"/>
    </xf>
    <xf numFmtId="165" fontId="7" fillId="7" borderId="6" xfId="0" applyNumberFormat="1" applyFont="1" applyFill="1" applyBorder="1" applyAlignment="1">
      <alignment horizontal="right" vertical="top"/>
    </xf>
    <xf numFmtId="165" fontId="7" fillId="7" borderId="1" xfId="0" applyNumberFormat="1" applyFont="1" applyFill="1" applyBorder="1" applyAlignment="1">
      <alignment horizontal="right" vertical="top"/>
    </xf>
    <xf numFmtId="164" fontId="9" fillId="0" borderId="110" xfId="0" applyNumberFormat="1" applyFont="1" applyFill="1" applyBorder="1" applyAlignment="1">
      <alignment vertical="top"/>
    </xf>
    <xf numFmtId="164" fontId="9" fillId="0" borderId="110" xfId="0" applyNumberFormat="1" applyFont="1" applyBorder="1" applyAlignment="1">
      <alignment vertical="top"/>
    </xf>
    <xf numFmtId="0" fontId="9" fillId="0" borderId="119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9" fillId="0" borderId="97" xfId="0" applyFont="1" applyBorder="1" applyAlignment="1">
      <alignment vertical="top" wrapText="1"/>
    </xf>
    <xf numFmtId="0" fontId="9" fillId="0" borderId="95" xfId="0" applyNumberFormat="1" applyFont="1" applyBorder="1" applyAlignment="1">
      <alignment horizontal="center" vertical="top"/>
    </xf>
    <xf numFmtId="164" fontId="7" fillId="7" borderId="34" xfId="0" applyNumberFormat="1" applyFont="1" applyFill="1" applyBorder="1" applyAlignment="1">
      <alignment horizontal="right" vertical="top"/>
    </xf>
    <xf numFmtId="164" fontId="7" fillId="7" borderId="6" xfId="0" applyNumberFormat="1" applyFont="1" applyFill="1" applyBorder="1" applyAlignment="1">
      <alignment horizontal="right" vertical="top"/>
    </xf>
    <xf numFmtId="164" fontId="7" fillId="7" borderId="35" xfId="0" applyNumberFormat="1" applyFont="1" applyFill="1" applyBorder="1" applyAlignment="1">
      <alignment horizontal="right" vertical="top"/>
    </xf>
    <xf numFmtId="165" fontId="7" fillId="11" borderId="34" xfId="0" applyNumberFormat="1" applyFont="1" applyFill="1" applyBorder="1" applyAlignment="1">
      <alignment horizontal="right" vertical="top"/>
    </xf>
    <xf numFmtId="165" fontId="7" fillId="11" borderId="35" xfId="0" applyNumberFormat="1" applyFont="1" applyFill="1" applyBorder="1" applyAlignment="1">
      <alignment horizontal="right" vertical="top"/>
    </xf>
    <xf numFmtId="164" fontId="7" fillId="7" borderId="95" xfId="0" applyNumberFormat="1" applyFont="1" applyFill="1" applyBorder="1" applyAlignment="1">
      <alignment horizontal="right" vertical="top"/>
    </xf>
    <xf numFmtId="164" fontId="6" fillId="7" borderId="95" xfId="0" applyNumberFormat="1" applyFont="1" applyFill="1" applyBorder="1" applyAlignment="1">
      <alignment horizontal="right" vertical="top"/>
    </xf>
    <xf numFmtId="164" fontId="6" fillId="7" borderId="96" xfId="0" applyNumberFormat="1" applyFont="1" applyFill="1" applyBorder="1" applyAlignment="1">
      <alignment horizontal="right" vertical="top"/>
    </xf>
    <xf numFmtId="164" fontId="6" fillId="11" borderId="95" xfId="0" applyNumberFormat="1" applyFont="1" applyFill="1" applyBorder="1" applyAlignment="1">
      <alignment horizontal="right" vertical="top"/>
    </xf>
    <xf numFmtId="164" fontId="6" fillId="11" borderId="96" xfId="0" applyNumberFormat="1" applyFont="1" applyFill="1" applyBorder="1" applyAlignment="1">
      <alignment horizontal="right" vertical="top"/>
    </xf>
    <xf numFmtId="164" fontId="7" fillId="7" borderId="92" xfId="0" applyNumberFormat="1" applyFont="1" applyFill="1" applyBorder="1" applyAlignment="1">
      <alignment horizontal="right" vertical="top"/>
    </xf>
    <xf numFmtId="0" fontId="6" fillId="0" borderId="40" xfId="0" applyFont="1" applyFill="1" applyBorder="1" applyAlignment="1">
      <alignment horizontal="center" vertical="top" wrapText="1"/>
    </xf>
    <xf numFmtId="0" fontId="6" fillId="0" borderId="53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49" fontId="9" fillId="0" borderId="40" xfId="0" applyNumberFormat="1" applyFont="1" applyBorder="1" applyAlignment="1">
      <alignment horizontal="center" vertical="top" wrapText="1"/>
    </xf>
    <xf numFmtId="49" fontId="9" fillId="0" borderId="53" xfId="0" applyNumberFormat="1" applyFont="1" applyBorder="1" applyAlignment="1">
      <alignment horizontal="center" vertical="top" wrapText="1"/>
    </xf>
    <xf numFmtId="49" fontId="9" fillId="0" borderId="34" xfId="0" applyNumberFormat="1" applyFont="1" applyBorder="1" applyAlignment="1">
      <alignment horizontal="center" vertical="top" wrapText="1"/>
    </xf>
    <xf numFmtId="49" fontId="11" fillId="0" borderId="40" xfId="0" applyNumberFormat="1" applyFont="1" applyBorder="1" applyAlignment="1">
      <alignment horizontal="center" vertical="top" wrapText="1"/>
    </xf>
    <xf numFmtId="49" fontId="11" fillId="0" borderId="53" xfId="0" applyNumberFormat="1" applyFont="1" applyBorder="1" applyAlignment="1">
      <alignment horizontal="center" vertical="top" wrapText="1"/>
    </xf>
    <xf numFmtId="49" fontId="11" fillId="0" borderId="34" xfId="0" applyNumberFormat="1" applyFont="1" applyBorder="1" applyAlignment="1">
      <alignment horizontal="center" vertical="top" wrapText="1"/>
    </xf>
    <xf numFmtId="0" fontId="9" fillId="7" borderId="61" xfId="0" applyFont="1" applyFill="1" applyBorder="1" applyAlignment="1">
      <alignment horizontal="left" vertical="top" wrapText="1"/>
    </xf>
    <xf numFmtId="0" fontId="9" fillId="0" borderId="93" xfId="0" applyFont="1" applyFill="1" applyBorder="1" applyAlignment="1">
      <alignment vertical="top" wrapText="1"/>
    </xf>
    <xf numFmtId="164" fontId="9" fillId="7" borderId="33" xfId="0" applyNumberFormat="1" applyFont="1" applyFill="1" applyBorder="1" applyAlignment="1">
      <alignment horizontal="left" vertical="top" wrapText="1"/>
    </xf>
    <xf numFmtId="0" fontId="11" fillId="7" borderId="38" xfId="0" applyFont="1" applyFill="1" applyBorder="1" applyAlignment="1">
      <alignment vertical="top"/>
    </xf>
    <xf numFmtId="0" fontId="7" fillId="7" borderId="62" xfId="0" applyFont="1" applyFill="1" applyBorder="1" applyAlignment="1">
      <alignment horizontal="center" vertical="top" wrapText="1"/>
    </xf>
    <xf numFmtId="49" fontId="9" fillId="7" borderId="62" xfId="0" applyNumberFormat="1" applyFont="1" applyFill="1" applyBorder="1" applyAlignment="1">
      <alignment horizontal="center" vertical="top"/>
    </xf>
    <xf numFmtId="0" fontId="11" fillId="7" borderId="62" xfId="4" applyNumberFormat="1" applyFont="1" applyFill="1" applyBorder="1" applyAlignment="1">
      <alignment horizontal="center" vertical="top"/>
    </xf>
    <xf numFmtId="164" fontId="9" fillId="7" borderId="1" xfId="0" applyNumberFormat="1" applyFont="1" applyFill="1" applyBorder="1" applyAlignment="1">
      <alignment vertical="top"/>
    </xf>
    <xf numFmtId="164" fontId="9" fillId="0" borderId="53" xfId="0" applyNumberFormat="1" applyFont="1" applyBorder="1" applyAlignment="1">
      <alignment vertical="top"/>
    </xf>
    <xf numFmtId="164" fontId="9" fillId="0" borderId="64" xfId="0" applyNumberFormat="1" applyFont="1" applyBorder="1" applyAlignment="1">
      <alignment vertical="top"/>
    </xf>
    <xf numFmtId="164" fontId="9" fillId="0" borderId="4" xfId="0" applyNumberFormat="1" applyFont="1" applyFill="1" applyBorder="1" applyAlignment="1">
      <alignment vertical="top"/>
    </xf>
    <xf numFmtId="164" fontId="9" fillId="0" borderId="4" xfId="0" applyNumberFormat="1" applyFont="1" applyBorder="1" applyAlignment="1">
      <alignment vertical="top"/>
    </xf>
    <xf numFmtId="0" fontId="9" fillId="0" borderId="53" xfId="0" applyFont="1" applyBorder="1" applyAlignment="1">
      <alignment horizontal="center" vertical="top" wrapText="1"/>
    </xf>
    <xf numFmtId="164" fontId="9" fillId="0" borderId="38" xfId="0" applyNumberFormat="1" applyFont="1" applyBorder="1" applyAlignment="1">
      <alignment vertical="top"/>
    </xf>
    <xf numFmtId="0" fontId="9" fillId="0" borderId="76" xfId="0" applyFont="1" applyBorder="1" applyAlignment="1">
      <alignment vertical="top" wrapText="1"/>
    </xf>
    <xf numFmtId="164" fontId="9" fillId="0" borderId="16" xfId="0" applyNumberFormat="1" applyFont="1" applyFill="1" applyBorder="1" applyAlignment="1">
      <alignment vertical="top"/>
    </xf>
    <xf numFmtId="164" fontId="9" fillId="0" borderId="16" xfId="0" applyNumberFormat="1" applyFont="1" applyBorder="1" applyAlignment="1">
      <alignment vertical="top"/>
    </xf>
    <xf numFmtId="164" fontId="9" fillId="0" borderId="65" xfId="0" applyNumberFormat="1" applyFont="1" applyBorder="1" applyAlignment="1">
      <alignment vertical="top"/>
    </xf>
    <xf numFmtId="164" fontId="9" fillId="11" borderId="63" xfId="0" applyNumberFormat="1" applyFont="1" applyFill="1" applyBorder="1" applyAlignment="1">
      <alignment vertical="top"/>
    </xf>
    <xf numFmtId="164" fontId="9" fillId="0" borderId="67" xfId="0" applyNumberFormat="1" applyFont="1" applyFill="1" applyBorder="1" applyAlignment="1">
      <alignment vertical="top"/>
    </xf>
    <xf numFmtId="164" fontId="9" fillId="0" borderId="67" xfId="0" applyNumberFormat="1" applyFont="1" applyBorder="1" applyAlignment="1">
      <alignment vertical="top"/>
    </xf>
    <xf numFmtId="164" fontId="9" fillId="0" borderId="104" xfId="0" applyNumberFormat="1" applyFont="1" applyBorder="1" applyAlignment="1">
      <alignment vertical="top"/>
    </xf>
    <xf numFmtId="164" fontId="9" fillId="0" borderId="101" xfId="0" applyNumberFormat="1" applyFont="1" applyFill="1" applyBorder="1" applyAlignment="1">
      <alignment vertical="top"/>
    </xf>
    <xf numFmtId="0" fontId="9" fillId="0" borderId="117" xfId="0" applyFont="1" applyBorder="1" applyAlignment="1">
      <alignment horizontal="left" vertical="top" wrapText="1"/>
    </xf>
    <xf numFmtId="0" fontId="9" fillId="0" borderId="106" xfId="0" applyFont="1" applyBorder="1" applyAlignment="1">
      <alignment horizontal="center" vertical="top"/>
    </xf>
    <xf numFmtId="0" fontId="9" fillId="0" borderId="104" xfId="0" applyFont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0" fontId="9" fillId="0" borderId="64" xfId="4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/>
    </xf>
    <xf numFmtId="49" fontId="9" fillId="0" borderId="64" xfId="0" applyNumberFormat="1" applyFont="1" applyBorder="1" applyAlignment="1">
      <alignment horizontal="center" vertical="top" wrapText="1"/>
    </xf>
    <xf numFmtId="49" fontId="11" fillId="12" borderId="28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12" borderId="20" xfId="0" applyNumberFormat="1" applyFont="1" applyFill="1" applyBorder="1" applyAlignment="1">
      <alignment horizontal="center" vertical="top"/>
    </xf>
    <xf numFmtId="49" fontId="11" fillId="13" borderId="40" xfId="0" applyNumberFormat="1" applyFont="1" applyFill="1" applyBorder="1" applyAlignment="1">
      <alignment horizontal="center" vertical="top"/>
    </xf>
    <xf numFmtId="49" fontId="11" fillId="13" borderId="53" xfId="0" applyNumberFormat="1" applyFont="1" applyFill="1" applyBorder="1" applyAlignment="1">
      <alignment horizontal="center" vertical="top"/>
    </xf>
    <xf numFmtId="49" fontId="11" fillId="0" borderId="34" xfId="0" applyNumberFormat="1" applyFont="1" applyBorder="1" applyAlignment="1">
      <alignment horizontal="center" vertical="top"/>
    </xf>
    <xf numFmtId="164" fontId="9" fillId="7" borderId="38" xfId="0" applyNumberFormat="1" applyFont="1" applyFill="1" applyBorder="1" applyAlignment="1">
      <alignment horizontal="right" vertical="top"/>
    </xf>
    <xf numFmtId="164" fontId="9" fillId="7" borderId="72" xfId="0" applyNumberFormat="1" applyFont="1" applyFill="1" applyBorder="1" applyAlignment="1">
      <alignment horizontal="right" vertical="top"/>
    </xf>
    <xf numFmtId="164" fontId="9" fillId="0" borderId="2" xfId="0" applyNumberFormat="1" applyFont="1" applyBorder="1" applyAlignment="1">
      <alignment horizontal="right" vertical="top"/>
    </xf>
    <xf numFmtId="164" fontId="2" fillId="13" borderId="31" xfId="0" applyNumberFormat="1" applyFont="1" applyFill="1" applyBorder="1" applyAlignment="1">
      <alignment horizontal="right" vertical="top"/>
    </xf>
    <xf numFmtId="49" fontId="3" fillId="0" borderId="62" xfId="0" applyNumberFormat="1" applyFont="1" applyBorder="1" applyAlignment="1">
      <alignment horizontal="left" vertical="top" wrapText="1"/>
    </xf>
    <xf numFmtId="49" fontId="9" fillId="0" borderId="61" xfId="0" applyNumberFormat="1" applyFont="1" applyFill="1" applyBorder="1" applyAlignment="1">
      <alignment horizontal="center" wrapText="1"/>
    </xf>
    <xf numFmtId="49" fontId="9" fillId="0" borderId="65" xfId="0" applyNumberFormat="1" applyFont="1" applyFill="1" applyBorder="1" applyAlignment="1">
      <alignment horizontal="center" wrapText="1"/>
    </xf>
    <xf numFmtId="0" fontId="12" fillId="0" borderId="77" xfId="0" applyFont="1" applyFill="1" applyBorder="1" applyAlignment="1">
      <alignment horizontal="center" vertical="top" wrapText="1"/>
    </xf>
    <xf numFmtId="49" fontId="12" fillId="0" borderId="62" xfId="0" quotePrefix="1" applyNumberFormat="1" applyFont="1" applyBorder="1" applyAlignment="1">
      <alignment horizontal="center" vertical="top" wrapText="1"/>
    </xf>
    <xf numFmtId="0" fontId="6" fillId="0" borderId="63" xfId="0" applyFont="1" applyFill="1" applyBorder="1" applyAlignment="1">
      <alignment horizontal="center" vertical="center" textRotation="90"/>
    </xf>
    <xf numFmtId="49" fontId="9" fillId="0" borderId="63" xfId="0" applyNumberFormat="1" applyFont="1" applyBorder="1" applyAlignment="1">
      <alignment horizontal="center" vertical="top"/>
    </xf>
    <xf numFmtId="49" fontId="11" fillId="0" borderId="16" xfId="0" applyNumberFormat="1" applyFont="1" applyFill="1" applyBorder="1" applyAlignment="1">
      <alignment horizontal="center" vertical="top"/>
    </xf>
    <xf numFmtId="0" fontId="9" fillId="0" borderId="91" xfId="0" applyFont="1" applyBorder="1" applyAlignment="1">
      <alignment horizontal="center" vertical="top"/>
    </xf>
    <xf numFmtId="164" fontId="9" fillId="7" borderId="93" xfId="0" applyNumberFormat="1" applyFont="1" applyFill="1" applyBorder="1" applyAlignment="1">
      <alignment horizontal="right" vertical="top"/>
    </xf>
    <xf numFmtId="164" fontId="9" fillId="7" borderId="95" xfId="0" applyNumberFormat="1" applyFont="1" applyFill="1" applyBorder="1" applyAlignment="1">
      <alignment horizontal="right" vertical="top"/>
    </xf>
    <xf numFmtId="164" fontId="9" fillId="7" borderId="96" xfId="0" applyNumberFormat="1" applyFont="1" applyFill="1" applyBorder="1" applyAlignment="1">
      <alignment horizontal="right" vertical="top"/>
    </xf>
    <xf numFmtId="164" fontId="9" fillId="11" borderId="93" xfId="0" applyNumberFormat="1" applyFont="1" applyFill="1" applyBorder="1" applyAlignment="1">
      <alignment horizontal="right" vertical="top"/>
    </xf>
    <xf numFmtId="164" fontId="9" fillId="11" borderId="95" xfId="0" applyNumberFormat="1" applyFont="1" applyFill="1" applyBorder="1" applyAlignment="1">
      <alignment horizontal="right" vertical="top"/>
    </xf>
    <xf numFmtId="164" fontId="9" fillId="0" borderId="91" xfId="0" applyNumberFormat="1" applyFont="1" applyBorder="1" applyAlignment="1">
      <alignment horizontal="right" vertical="top"/>
    </xf>
    <xf numFmtId="0" fontId="9" fillId="0" borderId="93" xfId="0" applyFont="1" applyBorder="1" applyAlignment="1">
      <alignment horizontal="left" vertical="top" wrapText="1"/>
    </xf>
    <xf numFmtId="0" fontId="5" fillId="7" borderId="34" xfId="0" applyFont="1" applyFill="1" applyBorder="1" applyAlignment="1">
      <alignment horizontal="left" vertical="top" wrapText="1"/>
    </xf>
    <xf numFmtId="49" fontId="11" fillId="0" borderId="94" xfId="0" applyNumberFormat="1" applyFont="1" applyBorder="1" applyAlignment="1">
      <alignment horizontal="center" vertical="top"/>
    </xf>
    <xf numFmtId="0" fontId="9" fillId="7" borderId="95" xfId="0" applyFont="1" applyFill="1" applyBorder="1" applyAlignment="1">
      <alignment horizontal="left" vertical="top" wrapText="1"/>
    </xf>
    <xf numFmtId="0" fontId="9" fillId="0" borderId="56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vertical="top"/>
    </xf>
    <xf numFmtId="0" fontId="9" fillId="0" borderId="29" xfId="0" applyFont="1" applyBorder="1" applyAlignment="1">
      <alignment horizontal="center" vertical="center" textRotation="90" shrinkToFit="1"/>
    </xf>
    <xf numFmtId="0" fontId="9" fillId="0" borderId="36" xfId="0" applyFont="1" applyBorder="1" applyAlignment="1">
      <alignment horizontal="center" vertical="center" textRotation="90" shrinkToFit="1"/>
    </xf>
    <xf numFmtId="0" fontId="9" fillId="0" borderId="20" xfId="0" applyFont="1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0" fontId="5" fillId="0" borderId="65" xfId="0" applyNumberFormat="1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 vertical="top" wrapText="1"/>
    </xf>
    <xf numFmtId="0" fontId="12" fillId="7" borderId="16" xfId="0" applyFont="1" applyFill="1" applyBorder="1" applyAlignment="1">
      <alignment horizontal="center" vertical="top" wrapText="1"/>
    </xf>
    <xf numFmtId="0" fontId="12" fillId="7" borderId="65" xfId="0" applyFont="1" applyFill="1" applyBorder="1" applyAlignment="1">
      <alignment horizontal="center" vertical="top" wrapText="1"/>
    </xf>
    <xf numFmtId="49" fontId="5" fillId="7" borderId="16" xfId="0" applyNumberFormat="1" applyFont="1" applyFill="1" applyBorder="1" applyAlignment="1">
      <alignment horizontal="center" vertical="top" wrapText="1"/>
    </xf>
    <xf numFmtId="164" fontId="9" fillId="6" borderId="26" xfId="0" applyNumberFormat="1" applyFont="1" applyFill="1" applyBorder="1" applyAlignment="1">
      <alignment horizontal="center" vertical="center"/>
    </xf>
    <xf numFmtId="164" fontId="9" fillId="6" borderId="38" xfId="0" applyNumberFormat="1" applyFont="1" applyFill="1" applyBorder="1" applyAlignment="1">
      <alignment horizontal="center" vertical="center"/>
    </xf>
    <xf numFmtId="164" fontId="11" fillId="11" borderId="36" xfId="0" applyNumberFormat="1" applyFont="1" applyFill="1" applyBorder="1" applyAlignment="1">
      <alignment horizontal="center" vertical="top"/>
    </xf>
    <xf numFmtId="164" fontId="9" fillId="7" borderId="56" xfId="0" applyNumberFormat="1" applyFont="1" applyFill="1" applyBorder="1" applyAlignment="1">
      <alignment horizontal="center" vertical="top"/>
    </xf>
    <xf numFmtId="164" fontId="9" fillId="7" borderId="35" xfId="0" applyNumberFormat="1" applyFont="1" applyFill="1" applyBorder="1" applyAlignment="1">
      <alignment horizontal="center" vertical="top"/>
    </xf>
    <xf numFmtId="164" fontId="9" fillId="7" borderId="84" xfId="0" applyNumberFormat="1" applyFont="1" applyFill="1" applyBorder="1" applyAlignment="1">
      <alignment horizontal="center" vertical="top"/>
    </xf>
    <xf numFmtId="164" fontId="9" fillId="7" borderId="16" xfId="0" applyNumberFormat="1" applyFont="1" applyFill="1" applyBorder="1" applyAlignment="1">
      <alignment horizontal="center" vertical="top"/>
    </xf>
    <xf numFmtId="0" fontId="9" fillId="7" borderId="16" xfId="0" applyFont="1" applyFill="1" applyBorder="1" applyAlignment="1">
      <alignment horizontal="center" vertical="top"/>
    </xf>
    <xf numFmtId="164" fontId="9" fillId="7" borderId="65" xfId="0" applyNumberFormat="1" applyFont="1" applyFill="1" applyBorder="1" applyAlignment="1">
      <alignment horizontal="center" vertical="top"/>
    </xf>
    <xf numFmtId="164" fontId="9" fillId="0" borderId="39" xfId="0" applyNumberFormat="1" applyFont="1" applyFill="1" applyBorder="1" applyAlignment="1">
      <alignment horizontal="center" vertical="top"/>
    </xf>
    <xf numFmtId="164" fontId="9" fillId="0" borderId="38" xfId="0" applyNumberFormat="1" applyFont="1" applyFill="1" applyBorder="1" applyAlignment="1">
      <alignment horizontal="center" vertical="top"/>
    </xf>
    <xf numFmtId="164" fontId="9" fillId="11" borderId="75" xfId="0" applyNumberFormat="1" applyFont="1" applyFill="1" applyBorder="1" applyAlignment="1">
      <alignment horizontal="center" vertical="top"/>
    </xf>
    <xf numFmtId="164" fontId="9" fillId="11" borderId="26" xfId="0" applyNumberFormat="1" applyFont="1" applyFill="1" applyBorder="1" applyAlignment="1">
      <alignment horizontal="center" vertical="top"/>
    </xf>
    <xf numFmtId="164" fontId="9" fillId="11" borderId="60" xfId="0" applyNumberFormat="1" applyFont="1" applyFill="1" applyBorder="1" applyAlignment="1">
      <alignment horizontal="center" vertical="top"/>
    </xf>
    <xf numFmtId="164" fontId="9" fillId="11" borderId="70" xfId="0" applyNumberFormat="1" applyFont="1" applyFill="1" applyBorder="1" applyAlignment="1">
      <alignment horizontal="center" vertical="top"/>
    </xf>
    <xf numFmtId="164" fontId="9" fillId="11" borderId="38" xfId="0" applyNumberFormat="1" applyFont="1" applyFill="1" applyBorder="1" applyAlignment="1">
      <alignment horizontal="center" vertical="top"/>
    </xf>
    <xf numFmtId="164" fontId="9" fillId="11" borderId="61" xfId="0" applyNumberFormat="1" applyFont="1" applyFill="1" applyBorder="1" applyAlignment="1">
      <alignment horizontal="center" vertical="top"/>
    </xf>
    <xf numFmtId="164" fontId="9" fillId="0" borderId="2" xfId="0" applyNumberFormat="1" applyFont="1" applyBorder="1" applyAlignment="1">
      <alignment horizontal="center" vertical="top"/>
    </xf>
    <xf numFmtId="164" fontId="9" fillId="0" borderId="69" xfId="0" applyNumberFormat="1" applyFont="1" applyBorder="1" applyAlignment="1">
      <alignment horizontal="center" vertical="top"/>
    </xf>
    <xf numFmtId="164" fontId="9" fillId="0" borderId="27" xfId="0" applyNumberFormat="1" applyFont="1" applyFill="1" applyBorder="1" applyAlignment="1">
      <alignment horizontal="center" vertical="center"/>
    </xf>
    <xf numFmtId="164" fontId="9" fillId="11" borderId="75" xfId="0" applyNumberFormat="1" applyFont="1" applyFill="1" applyBorder="1" applyAlignment="1">
      <alignment horizontal="center" vertical="center"/>
    </xf>
    <xf numFmtId="164" fontId="9" fillId="11" borderId="26" xfId="0" applyNumberFormat="1" applyFont="1" applyFill="1" applyBorder="1" applyAlignment="1">
      <alignment horizontal="center" vertical="center"/>
    </xf>
    <xf numFmtId="164" fontId="9" fillId="11" borderId="27" xfId="0" applyNumberFormat="1" applyFont="1" applyFill="1" applyBorder="1" applyAlignment="1">
      <alignment horizontal="center" vertical="center"/>
    </xf>
    <xf numFmtId="164" fontId="9" fillId="0" borderId="58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9" fillId="0" borderId="72" xfId="0" applyNumberFormat="1" applyFont="1" applyFill="1" applyBorder="1" applyAlignment="1">
      <alignment horizontal="center" vertical="center"/>
    </xf>
    <xf numFmtId="164" fontId="9" fillId="11" borderId="70" xfId="0" applyNumberFormat="1" applyFont="1" applyFill="1" applyBorder="1" applyAlignment="1">
      <alignment horizontal="center" vertical="center"/>
    </xf>
    <xf numFmtId="164" fontId="9" fillId="11" borderId="38" xfId="0" applyNumberFormat="1" applyFont="1" applyFill="1" applyBorder="1" applyAlignment="1">
      <alignment horizontal="center" vertical="center"/>
    </xf>
    <xf numFmtId="164" fontId="9" fillId="11" borderId="72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11" borderId="56" xfId="0" applyNumberFormat="1" applyFont="1" applyFill="1" applyBorder="1" applyAlignment="1">
      <alignment horizontal="center" vertical="top"/>
    </xf>
    <xf numFmtId="164" fontId="9" fillId="11" borderId="34" xfId="0" applyNumberFormat="1" applyFont="1" applyFill="1" applyBorder="1" applyAlignment="1">
      <alignment horizontal="center" vertical="top"/>
    </xf>
    <xf numFmtId="164" fontId="9" fillId="11" borderId="35" xfId="0" applyNumberFormat="1" applyFont="1" applyFill="1" applyBorder="1" applyAlignment="1">
      <alignment horizontal="center" vertical="top"/>
    </xf>
    <xf numFmtId="164" fontId="9" fillId="11" borderId="84" xfId="0" applyNumberFormat="1" applyFont="1" applyFill="1" applyBorder="1" applyAlignment="1">
      <alignment horizontal="center" vertical="top"/>
    </xf>
    <xf numFmtId="164" fontId="9" fillId="11" borderId="16" xfId="0" applyNumberFormat="1" applyFont="1" applyFill="1" applyBorder="1" applyAlignment="1">
      <alignment horizontal="center" vertical="top"/>
    </xf>
    <xf numFmtId="164" fontId="9" fillId="0" borderId="71" xfId="0" applyNumberFormat="1" applyFont="1" applyFill="1" applyBorder="1" applyAlignment="1">
      <alignment horizontal="center" vertical="top"/>
    </xf>
    <xf numFmtId="164" fontId="9" fillId="11" borderId="72" xfId="0" applyNumberFormat="1" applyFont="1" applyFill="1" applyBorder="1" applyAlignment="1">
      <alignment horizontal="center" vertical="top"/>
    </xf>
    <xf numFmtId="164" fontId="9" fillId="11" borderId="76" xfId="0" applyNumberFormat="1" applyFont="1" applyFill="1" applyBorder="1" applyAlignment="1">
      <alignment horizontal="center" vertical="top"/>
    </xf>
    <xf numFmtId="164" fontId="9" fillId="11" borderId="53" xfId="0" applyNumberFormat="1" applyFont="1" applyFill="1" applyBorder="1" applyAlignment="1">
      <alignment horizontal="center" vertical="top"/>
    </xf>
    <xf numFmtId="164" fontId="9" fillId="11" borderId="64" xfId="0" applyNumberFormat="1" applyFont="1" applyFill="1" applyBorder="1" applyAlignment="1">
      <alignment horizontal="center" vertical="top"/>
    </xf>
    <xf numFmtId="164" fontId="9" fillId="0" borderId="66" xfId="0" applyNumberFormat="1" applyFont="1" applyFill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top"/>
    </xf>
    <xf numFmtId="164" fontId="9" fillId="11" borderId="105" xfId="0" applyNumberFormat="1" applyFont="1" applyFill="1" applyBorder="1" applyAlignment="1">
      <alignment horizontal="center" vertical="top"/>
    </xf>
    <xf numFmtId="164" fontId="9" fillId="11" borderId="100" xfId="0" applyNumberFormat="1" applyFont="1" applyFill="1" applyBorder="1" applyAlignment="1">
      <alignment horizontal="center" vertical="top"/>
    </xf>
    <xf numFmtId="164" fontId="9" fillId="11" borderId="104" xfId="0" applyNumberFormat="1" applyFont="1" applyFill="1" applyBorder="1" applyAlignment="1">
      <alignment horizontal="center" vertical="top"/>
    </xf>
    <xf numFmtId="164" fontId="9" fillId="0" borderId="107" xfId="0" applyNumberFormat="1" applyFont="1" applyFill="1" applyBorder="1" applyAlignment="1">
      <alignment horizontal="center" vertical="top"/>
    </xf>
    <xf numFmtId="164" fontId="11" fillId="13" borderId="21" xfId="0" applyNumberFormat="1" applyFont="1" applyFill="1" applyBorder="1" applyAlignment="1">
      <alignment horizontal="center" vertical="top"/>
    </xf>
    <xf numFmtId="164" fontId="9" fillId="7" borderId="62" xfId="0" applyNumberFormat="1" applyFont="1" applyFill="1" applyBorder="1" applyAlignment="1">
      <alignment horizontal="center" vertical="top"/>
    </xf>
    <xf numFmtId="164" fontId="9" fillId="11" borderId="62" xfId="0" applyNumberFormat="1" applyFont="1" applyFill="1" applyBorder="1" applyAlignment="1">
      <alignment horizontal="center" vertical="top"/>
    </xf>
    <xf numFmtId="164" fontId="9" fillId="0" borderId="12" xfId="0" applyNumberFormat="1" applyFont="1" applyFill="1" applyBorder="1" applyAlignment="1">
      <alignment horizontal="center" vertical="top"/>
    </xf>
    <xf numFmtId="165" fontId="9" fillId="7" borderId="2" xfId="0" applyNumberFormat="1" applyFont="1" applyFill="1" applyBorder="1" applyAlignment="1">
      <alignment horizontal="center" vertical="top" wrapText="1"/>
    </xf>
    <xf numFmtId="164" fontId="9" fillId="11" borderId="25" xfId="0" applyNumberFormat="1" applyFont="1" applyFill="1" applyBorder="1" applyAlignment="1">
      <alignment horizontal="center" vertical="top"/>
    </xf>
    <xf numFmtId="164" fontId="9" fillId="11" borderId="27" xfId="0" applyNumberFormat="1" applyFont="1" applyFill="1" applyBorder="1" applyAlignment="1">
      <alignment horizontal="center" vertical="top"/>
    </xf>
    <xf numFmtId="164" fontId="9" fillId="11" borderId="39" xfId="0" applyNumberFormat="1" applyFont="1" applyFill="1" applyBorder="1" applyAlignment="1">
      <alignment horizontal="center" vertical="top"/>
    </xf>
    <xf numFmtId="164" fontId="11" fillId="11" borderId="84" xfId="0" applyNumberFormat="1" applyFont="1" applyFill="1" applyBorder="1" applyAlignment="1">
      <alignment horizontal="center" vertical="top"/>
    </xf>
    <xf numFmtId="164" fontId="11" fillId="11" borderId="16" xfId="0" applyNumberFormat="1" applyFont="1" applyFill="1" applyBorder="1" applyAlignment="1">
      <alignment horizontal="center" vertical="top"/>
    </xf>
    <xf numFmtId="164" fontId="11" fillId="11" borderId="65" xfId="0" applyNumberFormat="1" applyFont="1" applyFill="1" applyBorder="1" applyAlignment="1">
      <alignment horizontal="center" vertical="top"/>
    </xf>
    <xf numFmtId="164" fontId="11" fillId="11" borderId="63" xfId="0" applyNumberFormat="1" applyFont="1" applyFill="1" applyBorder="1" applyAlignment="1">
      <alignment horizontal="center" vertical="top"/>
    </xf>
    <xf numFmtId="164" fontId="11" fillId="11" borderId="55" xfId="0" applyNumberFormat="1" applyFont="1" applyFill="1" applyBorder="1" applyAlignment="1">
      <alignment horizontal="center" vertical="top"/>
    </xf>
    <xf numFmtId="164" fontId="11" fillId="12" borderId="24" xfId="0" applyNumberFormat="1" applyFont="1" applyFill="1" applyBorder="1" applyAlignment="1">
      <alignment horizontal="center" vertical="top"/>
    </xf>
    <xf numFmtId="164" fontId="11" fillId="10" borderId="24" xfId="0" applyNumberFormat="1" applyFont="1" applyFill="1" applyBorder="1" applyAlignment="1">
      <alignment horizontal="center" vertical="top"/>
    </xf>
    <xf numFmtId="164" fontId="11" fillId="10" borderId="3" xfId="0" applyNumberFormat="1" applyFont="1" applyFill="1" applyBorder="1" applyAlignment="1">
      <alignment horizontal="center" vertical="top"/>
    </xf>
    <xf numFmtId="0" fontId="5" fillId="0" borderId="63" xfId="0" applyNumberFormat="1" applyFont="1" applyBorder="1" applyAlignment="1">
      <alignment horizontal="center" vertical="top"/>
    </xf>
    <xf numFmtId="0" fontId="5" fillId="7" borderId="53" xfId="0" applyFont="1" applyFill="1" applyBorder="1" applyAlignment="1">
      <alignment horizontal="center" vertical="top" wrapText="1"/>
    </xf>
    <xf numFmtId="0" fontId="12" fillId="7" borderId="53" xfId="0" applyFont="1" applyFill="1" applyBorder="1" applyAlignment="1">
      <alignment horizontal="center" vertical="top" wrapText="1"/>
    </xf>
    <xf numFmtId="0" fontId="12" fillId="7" borderId="64" xfId="0" applyFont="1" applyFill="1" applyBorder="1" applyAlignment="1">
      <alignment horizontal="center" vertical="top" wrapText="1"/>
    </xf>
    <xf numFmtId="0" fontId="5" fillId="0" borderId="53" xfId="0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left" vertical="top" wrapText="1"/>
    </xf>
    <xf numFmtId="0" fontId="12" fillId="7" borderId="81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vertical="top"/>
    </xf>
    <xf numFmtId="0" fontId="9" fillId="0" borderId="81" xfId="0" applyNumberFormat="1" applyFont="1" applyBorder="1" applyAlignment="1">
      <alignment horizontal="center" vertical="top"/>
    </xf>
    <xf numFmtId="0" fontId="9" fillId="7" borderId="21" xfId="0" applyFont="1" applyFill="1" applyBorder="1" applyAlignment="1">
      <alignment vertical="top" wrapText="1"/>
    </xf>
    <xf numFmtId="0" fontId="9" fillId="0" borderId="53" xfId="0" applyFont="1" applyBorder="1" applyAlignment="1">
      <alignment vertical="top"/>
    </xf>
    <xf numFmtId="164" fontId="9" fillId="0" borderId="27" xfId="0" applyNumberFormat="1" applyFont="1" applyFill="1" applyBorder="1" applyAlignment="1">
      <alignment horizontal="center" vertical="top"/>
    </xf>
    <xf numFmtId="164" fontId="9" fillId="0" borderId="61" xfId="0" applyNumberFormat="1" applyFont="1" applyBorder="1" applyAlignment="1">
      <alignment horizontal="center" vertical="top"/>
    </xf>
    <xf numFmtId="164" fontId="9" fillId="7" borderId="93" xfId="0" applyNumberFormat="1" applyFont="1" applyFill="1" applyBorder="1" applyAlignment="1">
      <alignment horizontal="center" vertical="top"/>
    </xf>
    <xf numFmtId="164" fontId="9" fillId="0" borderId="95" xfId="0" applyNumberFormat="1" applyFont="1" applyBorder="1" applyAlignment="1">
      <alignment horizontal="center" vertical="top"/>
    </xf>
    <xf numFmtId="164" fontId="9" fillId="0" borderId="94" xfId="0" applyNumberFormat="1" applyFont="1" applyBorder="1" applyAlignment="1">
      <alignment horizontal="center" vertical="top"/>
    </xf>
    <xf numFmtId="164" fontId="3" fillId="0" borderId="62" xfId="0" applyNumberFormat="1" applyFont="1" applyFill="1" applyBorder="1" applyAlignment="1">
      <alignment horizontal="center" vertical="top"/>
    </xf>
    <xf numFmtId="164" fontId="2" fillId="13" borderId="21" xfId="0" applyNumberFormat="1" applyFont="1" applyFill="1" applyBorder="1" applyAlignment="1">
      <alignment horizontal="center" vertical="top"/>
    </xf>
    <xf numFmtId="0" fontId="9" fillId="7" borderId="105" xfId="0" applyFont="1" applyFill="1" applyBorder="1" applyAlignment="1">
      <alignment vertical="top" wrapText="1"/>
    </xf>
    <xf numFmtId="0" fontId="5" fillId="6" borderId="64" xfId="0" applyFont="1" applyFill="1" applyBorder="1" applyAlignment="1">
      <alignment vertical="top"/>
    </xf>
    <xf numFmtId="0" fontId="5" fillId="6" borderId="53" xfId="0" applyFont="1" applyFill="1" applyBorder="1" applyAlignment="1">
      <alignment vertical="top"/>
    </xf>
    <xf numFmtId="0" fontId="31" fillId="13" borderId="23" xfId="0" applyFont="1" applyFill="1" applyBorder="1" applyAlignment="1"/>
    <xf numFmtId="164" fontId="9" fillId="7" borderId="90" xfId="0" applyNumberFormat="1" applyFont="1" applyFill="1" applyBorder="1" applyAlignment="1">
      <alignment vertical="top"/>
    </xf>
    <xf numFmtId="0" fontId="9" fillId="0" borderId="15" xfId="0" applyFont="1" applyFill="1" applyBorder="1" applyAlignment="1">
      <alignment horizontal="center" vertical="top" wrapText="1"/>
    </xf>
    <xf numFmtId="164" fontId="9" fillId="7" borderId="17" xfId="0" applyNumberFormat="1" applyFont="1" applyFill="1" applyBorder="1" applyAlignment="1">
      <alignment vertical="top"/>
    </xf>
    <xf numFmtId="164" fontId="11" fillId="13" borderId="13" xfId="0" applyNumberFormat="1" applyFont="1" applyFill="1" applyBorder="1" applyAlignment="1">
      <alignment vertical="top"/>
    </xf>
    <xf numFmtId="164" fontId="9" fillId="11" borderId="8" xfId="0" applyNumberFormat="1" applyFont="1" applyFill="1" applyBorder="1" applyAlignment="1">
      <alignment horizontal="center" vertical="top" wrapText="1"/>
    </xf>
    <xf numFmtId="49" fontId="11" fillId="12" borderId="28" xfId="0" applyNumberFormat="1" applyFont="1" applyFill="1" applyBorder="1" applyAlignment="1">
      <alignment horizontal="center" vertical="top"/>
    </xf>
    <xf numFmtId="49" fontId="9" fillId="0" borderId="64" xfId="0" applyNumberFormat="1" applyFont="1" applyBorder="1" applyAlignment="1">
      <alignment horizontal="center" vertical="top" wrapText="1"/>
    </xf>
    <xf numFmtId="49" fontId="11" fillId="4" borderId="53" xfId="0" applyNumberFormat="1" applyFont="1" applyFill="1" applyBorder="1" applyAlignment="1">
      <alignment horizontal="center" vertical="top"/>
    </xf>
    <xf numFmtId="49" fontId="11" fillId="7" borderId="62" xfId="0" applyNumberFormat="1" applyFont="1" applyFill="1" applyBorder="1" applyAlignment="1">
      <alignment horizontal="center" vertical="top"/>
    </xf>
    <xf numFmtId="0" fontId="7" fillId="0" borderId="56" xfId="0" applyFont="1" applyFill="1" applyBorder="1" applyAlignment="1">
      <alignment horizontal="center" vertical="top" wrapText="1"/>
    </xf>
    <xf numFmtId="164" fontId="9" fillId="11" borderId="62" xfId="0" applyNumberFormat="1" applyFont="1" applyFill="1" applyBorder="1" applyAlignment="1">
      <alignment horizontal="right" vertical="top"/>
    </xf>
    <xf numFmtId="164" fontId="9" fillId="11" borderId="63" xfId="0" applyNumberFormat="1" applyFont="1" applyFill="1" applyBorder="1" applyAlignment="1">
      <alignment horizontal="right" vertical="top"/>
    </xf>
    <xf numFmtId="164" fontId="9" fillId="11" borderId="106" xfId="0" applyNumberFormat="1" applyFont="1" applyFill="1" applyBorder="1" applyAlignment="1">
      <alignment horizontal="right" vertical="top"/>
    </xf>
    <xf numFmtId="164" fontId="11" fillId="11" borderId="18" xfId="0" applyNumberFormat="1" applyFont="1" applyFill="1" applyBorder="1" applyAlignment="1">
      <alignment vertical="top"/>
    </xf>
    <xf numFmtId="164" fontId="11" fillId="11" borderId="57" xfId="0" applyNumberFormat="1" applyFont="1" applyFill="1" applyBorder="1" applyAlignment="1">
      <alignment vertical="top"/>
    </xf>
    <xf numFmtId="164" fontId="9" fillId="11" borderId="61" xfId="0" applyNumberFormat="1" applyFont="1" applyFill="1" applyBorder="1" applyAlignment="1">
      <alignment horizontal="right" vertical="top"/>
    </xf>
    <xf numFmtId="164" fontId="9" fillId="11" borderId="94" xfId="0" applyNumberFormat="1" applyFont="1" applyFill="1" applyBorder="1" applyAlignment="1">
      <alignment horizontal="right" vertical="top"/>
    </xf>
    <xf numFmtId="164" fontId="3" fillId="11" borderId="62" xfId="0" applyNumberFormat="1" applyFont="1" applyFill="1" applyBorder="1" applyAlignment="1">
      <alignment horizontal="right" vertical="top"/>
    </xf>
    <xf numFmtId="164" fontId="2" fillId="13" borderId="23" xfId="0" applyNumberFormat="1" applyFont="1" applyFill="1" applyBorder="1" applyAlignment="1">
      <alignment horizontal="right" vertical="top"/>
    </xf>
    <xf numFmtId="164" fontId="11" fillId="11" borderId="63" xfId="0" applyNumberFormat="1" applyFont="1" applyFill="1" applyBorder="1" applyAlignment="1">
      <alignment vertical="top"/>
    </xf>
    <xf numFmtId="49" fontId="11" fillId="0" borderId="77" xfId="0" applyNumberFormat="1" applyFont="1" applyBorder="1" applyAlignment="1">
      <alignment horizontal="center" vertical="top"/>
    </xf>
    <xf numFmtId="49" fontId="11" fillId="7" borderId="62" xfId="0" applyNumberFormat="1" applyFont="1" applyFill="1" applyBorder="1" applyAlignment="1">
      <alignment vertical="top"/>
    </xf>
    <xf numFmtId="49" fontId="11" fillId="12" borderId="33" xfId="0" applyNumberFormat="1" applyFont="1" applyFill="1" applyBorder="1" applyAlignment="1">
      <alignment vertical="top"/>
    </xf>
    <xf numFmtId="49" fontId="11" fillId="4" borderId="34" xfId="0" applyNumberFormat="1" applyFont="1" applyFill="1" applyBorder="1" applyAlignment="1">
      <alignment vertical="top"/>
    </xf>
    <xf numFmtId="49" fontId="11" fillId="13" borderId="34" xfId="0" applyNumberFormat="1" applyFont="1" applyFill="1" applyBorder="1" applyAlignment="1">
      <alignment vertical="top"/>
    </xf>
    <xf numFmtId="0" fontId="11" fillId="0" borderId="77" xfId="4" applyNumberFormat="1" applyFont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164" fontId="11" fillId="11" borderId="67" xfId="0" applyNumberFormat="1" applyFont="1" applyFill="1" applyBorder="1" applyAlignment="1">
      <alignment horizontal="center" vertical="top"/>
    </xf>
    <xf numFmtId="164" fontId="11" fillId="4" borderId="3" xfId="0" applyNumberFormat="1" applyFont="1" applyFill="1" applyBorder="1" applyAlignment="1">
      <alignment horizontal="center" vertical="top"/>
    </xf>
    <xf numFmtId="164" fontId="11" fillId="12" borderId="3" xfId="0" applyNumberFormat="1" applyFont="1" applyFill="1" applyBorder="1" applyAlignment="1">
      <alignment horizontal="center" vertical="top"/>
    </xf>
    <xf numFmtId="49" fontId="11" fillId="12" borderId="20" xfId="0" applyNumberFormat="1" applyFont="1" applyFill="1" applyBorder="1" applyAlignment="1">
      <alignment horizontal="center" vertical="top"/>
    </xf>
    <xf numFmtId="49" fontId="11" fillId="12" borderId="21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12" borderId="28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9" fillId="7" borderId="16" xfId="0" applyFont="1" applyFill="1" applyBorder="1" applyAlignment="1">
      <alignment vertical="top" wrapText="1"/>
    </xf>
    <xf numFmtId="0" fontId="9" fillId="7" borderId="38" xfId="0" applyFont="1" applyFill="1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7" borderId="53" xfId="0" applyNumberFormat="1" applyFont="1" applyFill="1" applyBorder="1" applyAlignment="1">
      <alignment horizontal="center" vertical="top"/>
    </xf>
    <xf numFmtId="49" fontId="11" fillId="12" borderId="28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7" borderId="40" xfId="0" applyNumberFormat="1" applyFont="1" applyFill="1" applyBorder="1" applyAlignment="1">
      <alignment horizontal="center" vertical="top"/>
    </xf>
    <xf numFmtId="49" fontId="11" fillId="7" borderId="0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0" fontId="11" fillId="11" borderId="13" xfId="0" applyFont="1" applyFill="1" applyBorder="1" applyAlignment="1">
      <alignment horizontal="right" vertical="top" wrapText="1"/>
    </xf>
    <xf numFmtId="49" fontId="11" fillId="7" borderId="53" xfId="0" applyNumberFormat="1" applyFont="1" applyFill="1" applyBorder="1" applyAlignment="1">
      <alignment vertical="top"/>
    </xf>
    <xf numFmtId="49" fontId="11" fillId="7" borderId="18" xfId="0" applyNumberFormat="1" applyFont="1" applyFill="1" applyBorder="1" applyAlignment="1">
      <alignment vertical="top"/>
    </xf>
    <xf numFmtId="49" fontId="11" fillId="7" borderId="19" xfId="0" applyNumberFormat="1" applyFont="1" applyFill="1" applyBorder="1" applyAlignment="1">
      <alignment vertical="top"/>
    </xf>
    <xf numFmtId="164" fontId="9" fillId="7" borderId="53" xfId="0" applyNumberFormat="1" applyFont="1" applyFill="1" applyBorder="1" applyAlignment="1">
      <alignment horizontal="center" vertical="center" textRotation="90" wrapText="1"/>
    </xf>
    <xf numFmtId="164" fontId="9" fillId="7" borderId="64" xfId="0" applyNumberFormat="1" applyFont="1" applyFill="1" applyBorder="1" applyAlignment="1">
      <alignment horizontal="center" vertical="center" textRotation="90" wrapText="1"/>
    </xf>
    <xf numFmtId="49" fontId="11" fillId="7" borderId="90" xfId="0" applyNumberFormat="1" applyFont="1" applyFill="1" applyBorder="1" applyAlignment="1">
      <alignment horizontal="center" vertical="top"/>
    </xf>
    <xf numFmtId="49" fontId="11" fillId="7" borderId="76" xfId="0" applyNumberFormat="1" applyFont="1" applyFill="1" applyBorder="1" applyAlignment="1">
      <alignment horizontal="center" vertical="top"/>
    </xf>
    <xf numFmtId="49" fontId="11" fillId="7" borderId="23" xfId="0" applyNumberFormat="1" applyFont="1" applyFill="1" applyBorder="1" applyAlignment="1">
      <alignment vertical="top"/>
    </xf>
    <xf numFmtId="0" fontId="3" fillId="0" borderId="110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53" xfId="0" applyFont="1" applyFill="1" applyBorder="1" applyAlignment="1">
      <alignment horizontal="center" vertical="top"/>
    </xf>
    <xf numFmtId="0" fontId="5" fillId="0" borderId="64" xfId="0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left" vertical="top" wrapText="1"/>
    </xf>
    <xf numFmtId="0" fontId="12" fillId="7" borderId="31" xfId="0" applyNumberFormat="1" applyFont="1" applyFill="1" applyBorder="1" applyAlignment="1">
      <alignment horizontal="center" vertical="top"/>
    </xf>
    <xf numFmtId="0" fontId="12" fillId="7" borderId="32" xfId="0" applyNumberFormat="1" applyFont="1" applyFill="1" applyBorder="1" applyAlignment="1">
      <alignment horizontal="center" vertical="top"/>
    </xf>
    <xf numFmtId="49" fontId="11" fillId="7" borderId="40" xfId="0" applyNumberFormat="1" applyFont="1" applyFill="1" applyBorder="1" applyAlignment="1">
      <alignment vertical="top"/>
    </xf>
    <xf numFmtId="49" fontId="11" fillId="7" borderId="76" xfId="0" applyNumberFormat="1" applyFont="1" applyFill="1" applyBorder="1" applyAlignment="1">
      <alignment vertical="top"/>
    </xf>
    <xf numFmtId="49" fontId="11" fillId="0" borderId="41" xfId="0" applyNumberFormat="1" applyFont="1" applyFill="1" applyBorder="1" applyAlignment="1">
      <alignment horizontal="center" vertical="top"/>
    </xf>
    <xf numFmtId="49" fontId="11" fillId="0" borderId="72" xfId="0" applyNumberFormat="1" applyFont="1" applyFill="1" applyBorder="1" applyAlignment="1">
      <alignment horizontal="center" vertical="top"/>
    </xf>
    <xf numFmtId="49" fontId="11" fillId="0" borderId="65" xfId="0" applyNumberFormat="1" applyFont="1" applyFill="1" applyBorder="1" applyAlignment="1">
      <alignment horizontal="center" vertical="top"/>
    </xf>
    <xf numFmtId="0" fontId="11" fillId="11" borderId="67" xfId="0" applyFont="1" applyFill="1" applyBorder="1" applyAlignment="1">
      <alignment horizontal="center" vertical="top"/>
    </xf>
    <xf numFmtId="0" fontId="9" fillId="0" borderId="34" xfId="0" applyFont="1" applyFill="1" applyBorder="1" applyAlignment="1">
      <alignment horizontal="center" vertical="top"/>
    </xf>
    <xf numFmtId="0" fontId="9" fillId="0" borderId="35" xfId="0" applyFont="1" applyFill="1" applyBorder="1" applyAlignment="1">
      <alignment horizontal="center" vertical="top"/>
    </xf>
    <xf numFmtId="0" fontId="31" fillId="7" borderId="31" xfId="0" applyFont="1" applyFill="1" applyBorder="1" applyAlignment="1"/>
    <xf numFmtId="49" fontId="11" fillId="7" borderId="31" xfId="0" applyNumberFormat="1" applyFont="1" applyFill="1" applyBorder="1" applyAlignment="1">
      <alignment vertical="top"/>
    </xf>
    <xf numFmtId="49" fontId="11" fillId="7" borderId="32" xfId="0" applyNumberFormat="1" applyFont="1" applyFill="1" applyBorder="1" applyAlignment="1">
      <alignment vertical="top"/>
    </xf>
    <xf numFmtId="164" fontId="9" fillId="11" borderId="84" xfId="0" applyNumberFormat="1" applyFont="1" applyFill="1" applyBorder="1" applyAlignment="1">
      <alignment vertical="top"/>
    </xf>
    <xf numFmtId="164" fontId="9" fillId="11" borderId="121" xfId="0" applyNumberFormat="1" applyFont="1" applyFill="1" applyBorder="1" applyAlignment="1">
      <alignment vertical="top"/>
    </xf>
    <xf numFmtId="49" fontId="11" fillId="0" borderId="34" xfId="0" applyNumberFormat="1" applyFont="1" applyBorder="1" applyAlignment="1">
      <alignment horizontal="center" vertical="top"/>
    </xf>
    <xf numFmtId="49" fontId="11" fillId="12" borderId="33" xfId="0" applyNumberFormat="1" applyFont="1" applyFill="1" applyBorder="1" applyAlignment="1">
      <alignment horizontal="center" vertical="top"/>
    </xf>
    <xf numFmtId="49" fontId="11" fillId="4" borderId="34" xfId="0" applyNumberFormat="1" applyFont="1" applyFill="1" applyBorder="1" applyAlignment="1">
      <alignment horizontal="center" vertical="top"/>
    </xf>
    <xf numFmtId="0" fontId="9" fillId="7" borderId="38" xfId="0" applyFont="1" applyFill="1" applyBorder="1" applyAlignment="1">
      <alignment vertical="top" wrapText="1"/>
    </xf>
    <xf numFmtId="164" fontId="9" fillId="6" borderId="25" xfId="0" applyNumberFormat="1" applyFont="1" applyFill="1" applyBorder="1" applyAlignment="1">
      <alignment horizontal="center" vertical="top"/>
    </xf>
    <xf numFmtId="164" fontId="9" fillId="6" borderId="26" xfId="0" applyNumberFormat="1" applyFont="1" applyFill="1" applyBorder="1" applyAlignment="1">
      <alignment horizontal="center" vertical="top"/>
    </xf>
    <xf numFmtId="164" fontId="9" fillId="6" borderId="27" xfId="0" applyNumberFormat="1" applyFont="1" applyFill="1" applyBorder="1" applyAlignment="1">
      <alignment horizontal="center" vertical="top"/>
    </xf>
    <xf numFmtId="0" fontId="9" fillId="0" borderId="103" xfId="0" applyFont="1" applyBorder="1" applyAlignment="1">
      <alignment vertical="top" wrapText="1"/>
    </xf>
    <xf numFmtId="0" fontId="30" fillId="0" borderId="0" xfId="0" applyFont="1" applyAlignment="1">
      <alignment vertical="top"/>
    </xf>
    <xf numFmtId="0" fontId="9" fillId="7" borderId="53" xfId="0" applyFont="1" applyFill="1" applyBorder="1" applyAlignment="1">
      <alignment vertical="top" wrapText="1"/>
    </xf>
    <xf numFmtId="49" fontId="11" fillId="13" borderId="34" xfId="0" applyNumberFormat="1" applyFont="1" applyFill="1" applyBorder="1" applyAlignment="1">
      <alignment horizontal="center" vertical="top"/>
    </xf>
    <xf numFmtId="49" fontId="11" fillId="7" borderId="77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textRotation="90"/>
    </xf>
    <xf numFmtId="49" fontId="9" fillId="0" borderId="19" xfId="0" applyNumberFormat="1" applyFont="1" applyBorder="1" applyAlignment="1">
      <alignment horizontal="center" vertical="top"/>
    </xf>
    <xf numFmtId="164" fontId="9" fillId="0" borderId="34" xfId="0" applyNumberFormat="1" applyFont="1" applyBorder="1" applyAlignment="1">
      <alignment horizontal="center" vertical="top"/>
    </xf>
    <xf numFmtId="164" fontId="9" fillId="0" borderId="62" xfId="0" applyNumberFormat="1" applyFont="1" applyBorder="1" applyAlignment="1">
      <alignment horizontal="center" vertical="top"/>
    </xf>
    <xf numFmtId="0" fontId="11" fillId="11" borderId="1" xfId="0" applyFont="1" applyFill="1" applyBorder="1" applyAlignment="1">
      <alignment horizontal="right" vertical="top" wrapText="1"/>
    </xf>
    <xf numFmtId="164" fontId="11" fillId="11" borderId="33" xfId="0" applyNumberFormat="1" applyFont="1" applyFill="1" applyBorder="1" applyAlignment="1">
      <alignment vertical="top"/>
    </xf>
    <xf numFmtId="164" fontId="11" fillId="11" borderId="34" xfId="0" applyNumberFormat="1" applyFont="1" applyFill="1" applyBorder="1" applyAlignment="1">
      <alignment vertical="top"/>
    </xf>
    <xf numFmtId="164" fontId="11" fillId="11" borderId="33" xfId="0" applyNumberFormat="1" applyFont="1" applyFill="1" applyBorder="1" applyAlignment="1">
      <alignment horizontal="center" vertical="top"/>
    </xf>
    <xf numFmtId="0" fontId="30" fillId="7" borderId="34" xfId="0" applyNumberFormat="1" applyFont="1" applyFill="1" applyBorder="1" applyAlignment="1">
      <alignment horizontal="center" vertical="top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7" xfId="0" applyNumberFormat="1" applyFont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0" fontId="6" fillId="0" borderId="5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top" wrapText="1"/>
    </xf>
    <xf numFmtId="0" fontId="9" fillId="0" borderId="32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9" fillId="7" borderId="38" xfId="0" applyNumberFormat="1" applyFont="1" applyFill="1" applyBorder="1" applyAlignment="1">
      <alignment horizontal="center" vertical="top"/>
    </xf>
    <xf numFmtId="165" fontId="7" fillId="0" borderId="38" xfId="0" applyNumberFormat="1" applyFont="1" applyFill="1" applyBorder="1" applyAlignment="1">
      <alignment horizontal="center" vertical="top" wrapText="1"/>
    </xf>
    <xf numFmtId="164" fontId="11" fillId="13" borderId="87" xfId="0" applyNumberFormat="1" applyFont="1" applyFill="1" applyBorder="1" applyAlignment="1">
      <alignment horizontal="center" vertical="top"/>
    </xf>
    <xf numFmtId="164" fontId="11" fillId="13" borderId="30" xfId="0" applyNumberFormat="1" applyFont="1" applyFill="1" applyBorder="1" applyAlignment="1">
      <alignment horizontal="center" vertical="top"/>
    </xf>
    <xf numFmtId="164" fontId="11" fillId="13" borderId="29" xfId="0" applyNumberFormat="1" applyFont="1" applyFill="1" applyBorder="1" applyAlignment="1">
      <alignment horizontal="center" vertical="top"/>
    </xf>
    <xf numFmtId="164" fontId="11" fillId="13" borderId="36" xfId="0" applyNumberFormat="1" applyFont="1" applyFill="1" applyBorder="1" applyAlignment="1">
      <alignment horizontal="center" vertical="top"/>
    </xf>
    <xf numFmtId="165" fontId="7" fillId="0" borderId="75" xfId="0" applyNumberFormat="1" applyFont="1" applyFill="1" applyBorder="1" applyAlignment="1">
      <alignment horizontal="center" vertical="top"/>
    </xf>
    <xf numFmtId="165" fontId="7" fillId="0" borderId="70" xfId="0" applyNumberFormat="1" applyFont="1" applyFill="1" applyBorder="1" applyAlignment="1">
      <alignment horizontal="center" vertical="top"/>
    </xf>
    <xf numFmtId="164" fontId="11" fillId="13" borderId="74" xfId="0" applyNumberFormat="1" applyFont="1" applyFill="1" applyBorder="1" applyAlignment="1">
      <alignment horizontal="center" vertical="top"/>
    </xf>
    <xf numFmtId="49" fontId="11" fillId="12" borderId="20" xfId="0" applyNumberFormat="1" applyFont="1" applyFill="1" applyBorder="1" applyAlignment="1">
      <alignment horizontal="center" vertical="top"/>
    </xf>
    <xf numFmtId="49" fontId="11" fillId="12" borderId="21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7" borderId="17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49" fontId="11" fillId="12" borderId="28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0" fontId="9" fillId="7" borderId="38" xfId="0" applyFont="1" applyFill="1" applyBorder="1" applyAlignment="1">
      <alignment vertical="top" wrapText="1"/>
    </xf>
    <xf numFmtId="0" fontId="9" fillId="7" borderId="18" xfId="0" applyFont="1" applyFill="1" applyBorder="1" applyAlignment="1">
      <alignment horizontal="center" vertical="top"/>
    </xf>
    <xf numFmtId="0" fontId="9" fillId="0" borderId="100" xfId="0" applyFont="1" applyBorder="1" applyAlignment="1">
      <alignment horizontal="center" vertical="top" wrapText="1"/>
    </xf>
    <xf numFmtId="0" fontId="9" fillId="0" borderId="95" xfId="0" applyFont="1" applyBorder="1" applyAlignment="1">
      <alignment horizontal="center" vertical="top"/>
    </xf>
    <xf numFmtId="0" fontId="9" fillId="0" borderId="114" xfId="0" applyFont="1" applyBorder="1" applyAlignment="1">
      <alignment horizontal="center" vertical="top"/>
    </xf>
    <xf numFmtId="0" fontId="9" fillId="0" borderId="112" xfId="0" applyFont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7" fillId="0" borderId="95" xfId="0" applyFont="1" applyFill="1" applyBorder="1" applyAlignment="1">
      <alignment horizontal="center" vertical="top"/>
    </xf>
    <xf numFmtId="0" fontId="7" fillId="0" borderId="96" xfId="0" applyFont="1" applyFill="1" applyBorder="1" applyAlignment="1">
      <alignment horizontal="center" vertical="top"/>
    </xf>
    <xf numFmtId="49" fontId="7" fillId="7" borderId="34" xfId="0" applyNumberFormat="1" applyFont="1" applyFill="1" applyBorder="1" applyAlignment="1">
      <alignment horizontal="center" vertical="top"/>
    </xf>
    <xf numFmtId="49" fontId="7" fillId="7" borderId="35" xfId="0" applyNumberFormat="1" applyFont="1" applyFill="1" applyBorder="1" applyAlignment="1">
      <alignment horizontal="center" vertical="top"/>
    </xf>
    <xf numFmtId="49" fontId="9" fillId="0" borderId="72" xfId="0" applyNumberFormat="1" applyFont="1" applyBorder="1" applyAlignment="1">
      <alignment horizontal="center" vertical="top"/>
    </xf>
    <xf numFmtId="0" fontId="9" fillId="7" borderId="38" xfId="0" applyFont="1" applyFill="1" applyBorder="1" applyAlignment="1">
      <alignment horizontal="center" vertical="top" wrapText="1"/>
    </xf>
    <xf numFmtId="0" fontId="9" fillId="7" borderId="16" xfId="0" applyFont="1" applyFill="1" applyBorder="1" applyAlignment="1">
      <alignment horizontal="center" vertical="top" wrapText="1"/>
    </xf>
    <xf numFmtId="164" fontId="11" fillId="10" borderId="4" xfId="0" applyNumberFormat="1" applyFont="1" applyFill="1" applyBorder="1" applyAlignment="1">
      <alignment horizontal="center" vertical="top" wrapText="1"/>
    </xf>
    <xf numFmtId="0" fontId="11" fillId="0" borderId="65" xfId="4" applyNumberFormat="1" applyFont="1" applyBorder="1" applyAlignment="1">
      <alignment horizontal="center" vertical="top"/>
    </xf>
    <xf numFmtId="0" fontId="11" fillId="7" borderId="40" xfId="0" applyFont="1" applyFill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7" borderId="38" xfId="0" applyFont="1" applyFill="1" applyBorder="1" applyAlignment="1">
      <alignment horizontal="left" vertical="top" wrapText="1"/>
    </xf>
    <xf numFmtId="0" fontId="9" fillId="7" borderId="38" xfId="0" applyFont="1" applyFill="1" applyBorder="1" applyAlignment="1">
      <alignment vertical="top" wrapText="1"/>
    </xf>
    <xf numFmtId="0" fontId="9" fillId="0" borderId="105" xfId="0" applyFont="1" applyBorder="1" applyAlignment="1">
      <alignment vertical="top" wrapText="1"/>
    </xf>
    <xf numFmtId="0" fontId="9" fillId="7" borderId="103" xfId="0" applyFont="1" applyFill="1" applyBorder="1" applyAlignment="1">
      <alignment vertical="top" wrapText="1"/>
    </xf>
    <xf numFmtId="49" fontId="9" fillId="7" borderId="106" xfId="0" applyNumberFormat="1" applyFont="1" applyFill="1" applyBorder="1" applyAlignment="1">
      <alignment horizontal="center" vertical="top"/>
    </xf>
    <xf numFmtId="49" fontId="9" fillId="7" borderId="104" xfId="0" applyNumberFormat="1" applyFont="1" applyFill="1" applyBorder="1" applyAlignment="1">
      <alignment horizontal="center" vertical="top"/>
    </xf>
    <xf numFmtId="0" fontId="11" fillId="0" borderId="72" xfId="4" applyNumberFormat="1" applyFont="1" applyBorder="1" applyAlignment="1">
      <alignment horizontal="center" vertical="top"/>
    </xf>
    <xf numFmtId="0" fontId="9" fillId="0" borderId="70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center" vertical="top"/>
    </xf>
    <xf numFmtId="0" fontId="7" fillId="0" borderId="72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center" textRotation="90"/>
    </xf>
    <xf numFmtId="0" fontId="6" fillId="0" borderId="82" xfId="0" applyFont="1" applyFill="1" applyBorder="1" applyAlignment="1">
      <alignment horizontal="center" vertical="center" textRotation="90"/>
    </xf>
    <xf numFmtId="0" fontId="7" fillId="0" borderId="90" xfId="0" applyFont="1" applyFill="1" applyBorder="1" applyAlignment="1">
      <alignment vertical="top" wrapText="1"/>
    </xf>
    <xf numFmtId="0" fontId="7" fillId="0" borderId="76" xfId="0" applyFont="1" applyFill="1" applyBorder="1" applyAlignment="1">
      <alignment vertical="top" wrapText="1"/>
    </xf>
    <xf numFmtId="0" fontId="7" fillId="0" borderId="56" xfId="0" applyFont="1" applyFill="1" applyBorder="1" applyAlignment="1">
      <alignment vertical="top" wrapText="1"/>
    </xf>
    <xf numFmtId="0" fontId="7" fillId="0" borderId="84" xfId="0" applyFont="1" applyFill="1" applyBorder="1" applyAlignment="1">
      <alignment vertical="top" wrapText="1"/>
    </xf>
    <xf numFmtId="0" fontId="7" fillId="0" borderId="7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77" xfId="0" applyFont="1" applyFill="1" applyBorder="1" applyAlignment="1">
      <alignment vertical="top" wrapText="1"/>
    </xf>
    <xf numFmtId="0" fontId="9" fillId="7" borderId="38" xfId="0" applyFont="1" applyFill="1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0" fontId="11" fillId="0" borderId="40" xfId="4" applyNumberFormat="1" applyFont="1" applyBorder="1" applyAlignment="1">
      <alignment horizontal="center" vertical="top"/>
    </xf>
    <xf numFmtId="49" fontId="11" fillId="4" borderId="19" xfId="0" applyNumberFormat="1" applyFont="1" applyFill="1" applyBorder="1" applyAlignment="1">
      <alignment vertical="top"/>
    </xf>
    <xf numFmtId="49" fontId="11" fillId="13" borderId="19" xfId="0" applyNumberFormat="1" applyFont="1" applyFill="1" applyBorder="1" applyAlignment="1">
      <alignment vertical="top"/>
    </xf>
    <xf numFmtId="164" fontId="9" fillId="0" borderId="76" xfId="0" applyNumberFormat="1" applyFont="1" applyFill="1" applyBorder="1" applyAlignment="1">
      <alignment horizontal="center" vertical="top"/>
    </xf>
    <xf numFmtId="164" fontId="9" fillId="7" borderId="53" xfId="0" applyNumberFormat="1" applyFont="1" applyFill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164" fontId="9" fillId="7" borderId="1" xfId="0" applyNumberFormat="1" applyFont="1" applyFill="1" applyBorder="1" applyAlignment="1">
      <alignment horizontal="right" vertical="top"/>
    </xf>
    <xf numFmtId="0" fontId="9" fillId="7" borderId="122" xfId="0" applyFont="1" applyFill="1" applyBorder="1" applyAlignment="1">
      <alignment horizontal="center" vertical="top"/>
    </xf>
    <xf numFmtId="0" fontId="9" fillId="7" borderId="126" xfId="0" applyFont="1" applyFill="1" applyBorder="1" applyAlignment="1">
      <alignment horizontal="center" vertical="top"/>
    </xf>
    <xf numFmtId="164" fontId="9" fillId="7" borderId="127" xfId="0" applyNumberFormat="1" applyFont="1" applyFill="1" applyBorder="1" applyAlignment="1">
      <alignment vertical="top"/>
    </xf>
    <xf numFmtId="164" fontId="9" fillId="11" borderId="109" xfId="0" applyNumberFormat="1" applyFont="1" applyFill="1" applyBorder="1" applyAlignment="1">
      <alignment vertical="top"/>
    </xf>
    <xf numFmtId="164" fontId="9" fillId="11" borderId="128" xfId="0" applyNumberFormat="1" applyFont="1" applyFill="1" applyBorder="1" applyAlignment="1">
      <alignment vertical="top"/>
    </xf>
    <xf numFmtId="164" fontId="9" fillId="0" borderId="129" xfId="0" applyNumberFormat="1" applyFont="1" applyBorder="1" applyAlignment="1">
      <alignment horizontal="center" vertical="top"/>
    </xf>
    <xf numFmtId="164" fontId="9" fillId="0" borderId="130" xfId="0" applyNumberFormat="1" applyFont="1" applyBorder="1" applyAlignment="1">
      <alignment horizontal="center" vertical="top"/>
    </xf>
    <xf numFmtId="164" fontId="9" fillId="7" borderId="128" xfId="0" applyNumberFormat="1" applyFont="1" applyFill="1" applyBorder="1" applyAlignment="1">
      <alignment vertical="top"/>
    </xf>
    <xf numFmtId="164" fontId="9" fillId="6" borderId="109" xfId="0" applyNumberFormat="1" applyFont="1" applyFill="1" applyBorder="1" applyAlignment="1">
      <alignment vertical="top"/>
    </xf>
    <xf numFmtId="164" fontId="9" fillId="0" borderId="128" xfId="0" applyNumberFormat="1" applyFont="1" applyBorder="1" applyAlignment="1">
      <alignment vertical="top"/>
    </xf>
    <xf numFmtId="164" fontId="9" fillId="11" borderId="108" xfId="0" applyNumberFormat="1" applyFont="1" applyFill="1" applyBorder="1" applyAlignment="1">
      <alignment vertical="top"/>
    </xf>
    <xf numFmtId="0" fontId="9" fillId="7" borderId="108" xfId="0" applyFont="1" applyFill="1" applyBorder="1" applyAlignment="1">
      <alignment horizontal="left" vertical="top" wrapText="1"/>
    </xf>
    <xf numFmtId="0" fontId="9" fillId="7" borderId="128" xfId="0" applyNumberFormat="1" applyFont="1" applyFill="1" applyBorder="1" applyAlignment="1">
      <alignment horizontal="center" vertical="top"/>
    </xf>
    <xf numFmtId="0" fontId="9" fillId="7" borderId="109" xfId="0" applyNumberFormat="1" applyFont="1" applyFill="1" applyBorder="1" applyAlignment="1">
      <alignment horizontal="center" vertical="top"/>
    </xf>
    <xf numFmtId="0" fontId="9" fillId="7" borderId="127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0" fontId="9" fillId="7" borderId="105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vertical="top"/>
    </xf>
    <xf numFmtId="0" fontId="7" fillId="0" borderId="120" xfId="0" applyFont="1" applyFill="1" applyBorder="1" applyAlignment="1">
      <alignment horizontal="center" vertical="top" wrapText="1"/>
    </xf>
    <xf numFmtId="49" fontId="9" fillId="0" borderId="114" xfId="0" applyNumberFormat="1" applyFont="1" applyBorder="1" applyAlignment="1">
      <alignment horizontal="center" vertical="top"/>
    </xf>
    <xf numFmtId="49" fontId="11" fillId="0" borderId="120" xfId="0" applyNumberFormat="1" applyFont="1" applyBorder="1" applyAlignment="1">
      <alignment horizontal="center" vertical="top"/>
    </xf>
    <xf numFmtId="49" fontId="9" fillId="0" borderId="112" xfId="0" applyNumberFormat="1" applyFont="1" applyBorder="1" applyAlignment="1">
      <alignment horizontal="center" vertical="top"/>
    </xf>
    <xf numFmtId="0" fontId="9" fillId="0" borderId="131" xfId="0" applyFont="1" applyBorder="1" applyAlignment="1">
      <alignment horizontal="center" vertical="top"/>
    </xf>
    <xf numFmtId="164" fontId="9" fillId="7" borderId="131" xfId="0" applyNumberFormat="1" applyFont="1" applyFill="1" applyBorder="1" applyAlignment="1">
      <alignment horizontal="right" vertical="top"/>
    </xf>
    <xf numFmtId="164" fontId="9" fillId="7" borderId="111" xfId="0" applyNumberFormat="1" applyFont="1" applyFill="1" applyBorder="1" applyAlignment="1">
      <alignment horizontal="right" vertical="top"/>
    </xf>
    <xf numFmtId="164" fontId="9" fillId="7" borderId="114" xfId="0" applyNumberFormat="1" applyFont="1" applyFill="1" applyBorder="1" applyAlignment="1">
      <alignment horizontal="right" vertical="top"/>
    </xf>
    <xf numFmtId="164" fontId="9" fillId="7" borderId="112" xfId="0" applyNumberFormat="1" applyFont="1" applyFill="1" applyBorder="1" applyAlignment="1">
      <alignment horizontal="right" vertical="top"/>
    </xf>
    <xf numFmtId="164" fontId="9" fillId="0" borderId="110" xfId="0" applyNumberFormat="1" applyFont="1" applyBorder="1" applyAlignment="1">
      <alignment horizontal="center" vertical="top"/>
    </xf>
    <xf numFmtId="0" fontId="9" fillId="0" borderId="113" xfId="0" applyFont="1" applyBorder="1" applyAlignment="1">
      <alignment vertical="top" wrapText="1"/>
    </xf>
    <xf numFmtId="0" fontId="5" fillId="6" borderId="111" xfId="0" applyFont="1" applyFill="1" applyBorder="1" applyAlignment="1">
      <alignment vertical="top"/>
    </xf>
    <xf numFmtId="0" fontId="5" fillId="6" borderId="112" xfId="0" applyFont="1" applyFill="1" applyBorder="1" applyAlignment="1">
      <alignment vertical="top"/>
    </xf>
    <xf numFmtId="164" fontId="9" fillId="7" borderId="125" xfId="0" applyNumberFormat="1" applyFont="1" applyFill="1" applyBorder="1" applyAlignment="1">
      <alignment vertical="top"/>
    </xf>
    <xf numFmtId="164" fontId="9" fillId="7" borderId="122" xfId="0" applyNumberFormat="1" applyFont="1" applyFill="1" applyBorder="1" applyAlignment="1">
      <alignment vertical="top"/>
    </xf>
    <xf numFmtId="164" fontId="9" fillId="7" borderId="126" xfId="0" applyNumberFormat="1" applyFont="1" applyFill="1" applyBorder="1" applyAlignment="1">
      <alignment vertical="top"/>
    </xf>
    <xf numFmtId="164" fontId="9" fillId="11" borderId="125" xfId="0" applyNumberFormat="1" applyFont="1" applyFill="1" applyBorder="1" applyAlignment="1">
      <alignment vertical="top"/>
    </xf>
    <xf numFmtId="164" fontId="9" fillId="11" borderId="122" xfId="0" applyNumberFormat="1" applyFont="1" applyFill="1" applyBorder="1" applyAlignment="1">
      <alignment vertical="top"/>
    </xf>
    <xf numFmtId="164" fontId="9" fillId="11" borderId="133" xfId="0" applyNumberFormat="1" applyFont="1" applyFill="1" applyBorder="1" applyAlignment="1">
      <alignment vertical="top"/>
    </xf>
    <xf numFmtId="49" fontId="9" fillId="7" borderId="72" xfId="0" applyNumberFormat="1" applyFont="1" applyFill="1" applyBorder="1" applyAlignment="1">
      <alignment horizontal="center" vertical="center" wrapText="1"/>
    </xf>
    <xf numFmtId="49" fontId="9" fillId="0" borderId="53" xfId="0" applyNumberFormat="1" applyFont="1" applyFill="1" applyBorder="1" applyAlignment="1">
      <alignment horizontal="center" vertical="top"/>
    </xf>
    <xf numFmtId="0" fontId="11" fillId="7" borderId="40" xfId="0" applyFont="1" applyFill="1" applyBorder="1" applyAlignment="1">
      <alignment vertical="top" wrapText="1"/>
    </xf>
    <xf numFmtId="49" fontId="11" fillId="0" borderId="19" xfId="0" applyNumberFormat="1" applyFont="1" applyFill="1" applyBorder="1" applyAlignment="1">
      <alignment horizontal="center" vertical="top"/>
    </xf>
    <xf numFmtId="49" fontId="9" fillId="0" borderId="19" xfId="0" applyNumberFormat="1" applyFont="1" applyFill="1" applyBorder="1" applyAlignment="1">
      <alignment horizontal="center" vertical="top" wrapText="1"/>
    </xf>
    <xf numFmtId="49" fontId="9" fillId="0" borderId="62" xfId="0" applyNumberFormat="1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center" textRotation="90" wrapText="1"/>
    </xf>
    <xf numFmtId="0" fontId="7" fillId="0" borderId="34" xfId="0" applyFont="1" applyFill="1" applyBorder="1" applyAlignment="1">
      <alignment horizontal="center" vertical="center" textRotation="90" wrapText="1"/>
    </xf>
    <xf numFmtId="0" fontId="9" fillId="7" borderId="132" xfId="0" applyFont="1" applyFill="1" applyBorder="1" applyAlignment="1">
      <alignment horizontal="left" vertical="top" wrapText="1"/>
    </xf>
    <xf numFmtId="0" fontId="9" fillId="0" borderId="132" xfId="0" applyFont="1" applyBorder="1" applyAlignment="1">
      <alignment vertical="top" wrapText="1"/>
    </xf>
    <xf numFmtId="0" fontId="9" fillId="0" borderId="122" xfId="0" applyNumberFormat="1" applyFont="1" applyBorder="1" applyAlignment="1">
      <alignment horizontal="center" vertical="top"/>
    </xf>
    <xf numFmtId="0" fontId="9" fillId="0" borderId="103" xfId="0" applyFont="1" applyFill="1" applyBorder="1" applyAlignment="1">
      <alignment vertical="center" wrapText="1"/>
    </xf>
    <xf numFmtId="0" fontId="9" fillId="0" borderId="100" xfId="0" applyFont="1" applyFill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7" borderId="134" xfId="0" applyFont="1" applyFill="1" applyBorder="1" applyAlignment="1">
      <alignment horizontal="left" vertical="top" wrapText="1"/>
    </xf>
    <xf numFmtId="0" fontId="9" fillId="0" borderId="127" xfId="0" applyNumberFormat="1" applyFont="1" applyBorder="1" applyAlignment="1">
      <alignment horizontal="center" vertical="top"/>
    </xf>
    <xf numFmtId="49" fontId="11" fillId="7" borderId="64" xfId="0" applyNumberFormat="1" applyFont="1" applyFill="1" applyBorder="1" applyAlignment="1">
      <alignment horizontal="center" vertical="top"/>
    </xf>
    <xf numFmtId="0" fontId="9" fillId="7" borderId="132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center" vertical="top"/>
    </xf>
    <xf numFmtId="0" fontId="9" fillId="7" borderId="99" xfId="0" applyFont="1" applyFill="1" applyBorder="1" applyAlignment="1">
      <alignment horizontal="center" vertical="top"/>
    </xf>
    <xf numFmtId="164" fontId="9" fillId="7" borderId="19" xfId="0" applyNumberFormat="1" applyFont="1" applyFill="1" applyBorder="1" applyAlignment="1">
      <alignment vertical="top"/>
    </xf>
    <xf numFmtId="164" fontId="9" fillId="7" borderId="123" xfId="0" applyNumberFormat="1" applyFont="1" applyFill="1" applyBorder="1" applyAlignment="1">
      <alignment horizontal="center" vertical="top"/>
    </xf>
    <xf numFmtId="164" fontId="9" fillId="7" borderId="4" xfId="0" applyNumberFormat="1" applyFont="1" applyFill="1" applyBorder="1" applyAlignment="1">
      <alignment horizontal="center" vertical="top"/>
    </xf>
    <xf numFmtId="164" fontId="9" fillId="7" borderId="129" xfId="0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 wrapText="1"/>
    </xf>
    <xf numFmtId="164" fontId="9" fillId="7" borderId="0" xfId="0" applyNumberFormat="1" applyFont="1" applyFill="1" applyBorder="1" applyAlignment="1">
      <alignment vertical="top"/>
    </xf>
    <xf numFmtId="164" fontId="9" fillId="7" borderId="4" xfId="0" applyNumberFormat="1" applyFont="1" applyFill="1" applyBorder="1" applyAlignment="1">
      <alignment horizontal="right" vertical="top"/>
    </xf>
    <xf numFmtId="0" fontId="7" fillId="0" borderId="7" xfId="0" applyFont="1" applyBorder="1" applyAlignment="1">
      <alignment vertical="top" wrapText="1"/>
    </xf>
    <xf numFmtId="0" fontId="9" fillId="7" borderId="105" xfId="0" applyFont="1" applyFill="1" applyBorder="1" applyAlignment="1">
      <alignment vertical="top"/>
    </xf>
    <xf numFmtId="0" fontId="3" fillId="13" borderId="23" xfId="0" applyFont="1" applyFill="1" applyBorder="1" applyAlignment="1">
      <alignment horizontal="left" vertical="top" wrapText="1"/>
    </xf>
    <xf numFmtId="0" fontId="7" fillId="0" borderId="76" xfId="0" applyFont="1" applyFill="1" applyBorder="1" applyAlignment="1">
      <alignment horizontal="center" vertical="center" textRotation="90" wrapText="1"/>
    </xf>
    <xf numFmtId="0" fontId="9" fillId="7" borderId="90" xfId="0" applyFont="1" applyFill="1" applyBorder="1" applyAlignment="1">
      <alignment vertical="top"/>
    </xf>
    <xf numFmtId="49" fontId="9" fillId="0" borderId="16" xfId="0" applyNumberFormat="1" applyFont="1" applyFill="1" applyBorder="1" applyAlignment="1">
      <alignment horizontal="center" vertical="top"/>
    </xf>
    <xf numFmtId="0" fontId="9" fillId="0" borderId="67" xfId="0" applyFont="1" applyFill="1" applyBorder="1" applyAlignment="1">
      <alignment horizontal="center" vertical="top" wrapText="1"/>
    </xf>
    <xf numFmtId="164" fontId="9" fillId="7" borderId="82" xfId="0" applyNumberFormat="1" applyFont="1" applyFill="1" applyBorder="1" applyAlignment="1">
      <alignment vertical="top"/>
    </xf>
    <xf numFmtId="164" fontId="9" fillId="7" borderId="67" xfId="0" applyNumberFormat="1" applyFont="1" applyFill="1" applyBorder="1" applyAlignment="1">
      <alignment horizontal="right" vertical="top"/>
    </xf>
    <xf numFmtId="0" fontId="9" fillId="0" borderId="16" xfId="0" applyFont="1" applyBorder="1" applyAlignment="1">
      <alignment vertical="top"/>
    </xf>
    <xf numFmtId="0" fontId="9" fillId="7" borderId="84" xfId="0" applyFont="1" applyFill="1" applyBorder="1" applyAlignment="1">
      <alignment vertical="top"/>
    </xf>
    <xf numFmtId="0" fontId="9" fillId="0" borderId="65" xfId="0" applyFont="1" applyBorder="1" applyAlignment="1">
      <alignment vertical="top"/>
    </xf>
    <xf numFmtId="0" fontId="9" fillId="7" borderId="76" xfId="0" applyFont="1" applyFill="1" applyBorder="1" applyAlignment="1">
      <alignment horizontal="left" vertical="top" wrapText="1"/>
    </xf>
    <xf numFmtId="0" fontId="9" fillId="7" borderId="62" xfId="0" applyFont="1" applyFill="1" applyBorder="1" applyAlignment="1">
      <alignment horizontal="center" vertical="top"/>
    </xf>
    <xf numFmtId="0" fontId="9" fillId="0" borderId="34" xfId="0" applyFont="1" applyBorder="1" applyAlignment="1">
      <alignment vertical="top"/>
    </xf>
    <xf numFmtId="0" fontId="9" fillId="0" borderId="35" xfId="0" applyFont="1" applyBorder="1" applyAlignment="1">
      <alignment vertical="top"/>
    </xf>
    <xf numFmtId="0" fontId="9" fillId="0" borderId="100" xfId="0" applyFont="1" applyBorder="1" applyAlignment="1">
      <alignment vertical="top"/>
    </xf>
    <xf numFmtId="0" fontId="9" fillId="7" borderId="106" xfId="0" applyFont="1" applyFill="1" applyBorder="1" applyAlignment="1">
      <alignment horizontal="center" vertical="top"/>
    </xf>
    <xf numFmtId="0" fontId="9" fillId="0" borderId="104" xfId="0" applyFont="1" applyBorder="1" applyAlignment="1">
      <alignment vertical="top"/>
    </xf>
    <xf numFmtId="164" fontId="32" fillId="0" borderId="28" xfId="0" applyNumberFormat="1" applyFont="1" applyBorder="1" applyAlignment="1">
      <alignment vertical="top"/>
    </xf>
    <xf numFmtId="0" fontId="32" fillId="0" borderId="53" xfId="0" applyFont="1" applyBorder="1" applyAlignment="1">
      <alignment vertical="top"/>
    </xf>
    <xf numFmtId="164" fontId="32" fillId="0" borderId="64" xfId="0" applyNumberFormat="1" applyFont="1" applyBorder="1" applyAlignment="1">
      <alignment vertical="top"/>
    </xf>
    <xf numFmtId="0" fontId="11" fillId="7" borderId="16" xfId="0" applyFont="1" applyFill="1" applyBorder="1" applyAlignment="1">
      <alignment vertical="top" wrapText="1"/>
    </xf>
    <xf numFmtId="0" fontId="9" fillId="0" borderId="100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164" fontId="9" fillId="7" borderId="77" xfId="0" applyNumberFormat="1" applyFont="1" applyFill="1" applyBorder="1" applyAlignment="1">
      <alignment vertical="top"/>
    </xf>
    <xf numFmtId="0" fontId="9" fillId="7" borderId="56" xfId="0" applyFont="1" applyFill="1" applyBorder="1" applyAlignment="1">
      <alignment vertical="top"/>
    </xf>
    <xf numFmtId="0" fontId="32" fillId="0" borderId="33" xfId="0" applyFont="1" applyBorder="1" applyAlignment="1">
      <alignment vertical="top"/>
    </xf>
    <xf numFmtId="0" fontId="11" fillId="7" borderId="53" xfId="0" applyFont="1" applyFill="1" applyBorder="1" applyAlignment="1">
      <alignment vertical="top" wrapText="1"/>
    </xf>
    <xf numFmtId="0" fontId="11" fillId="0" borderId="38" xfId="0" applyFont="1" applyBorder="1" applyAlignment="1">
      <alignment horizontal="left" vertical="top" wrapText="1"/>
    </xf>
    <xf numFmtId="164" fontId="9" fillId="7" borderId="114" xfId="0" applyNumberFormat="1" applyFont="1" applyFill="1" applyBorder="1" applyAlignment="1">
      <alignment horizontal="center" vertical="top"/>
    </xf>
    <xf numFmtId="164" fontId="9" fillId="7" borderId="112" xfId="0" applyNumberFormat="1" applyFont="1" applyFill="1" applyBorder="1" applyAlignment="1">
      <alignment horizontal="center" vertical="top"/>
    </xf>
    <xf numFmtId="164" fontId="9" fillId="7" borderId="119" xfId="0" applyNumberFormat="1" applyFont="1" applyFill="1" applyBorder="1" applyAlignment="1">
      <alignment horizontal="right" vertical="top"/>
    </xf>
    <xf numFmtId="164" fontId="9" fillId="7" borderId="131" xfId="0" applyNumberFormat="1" applyFont="1" applyFill="1" applyBorder="1" applyAlignment="1">
      <alignment horizontal="center" vertical="top"/>
    </xf>
    <xf numFmtId="164" fontId="9" fillId="7" borderId="133" xfId="0" applyNumberFormat="1" applyFont="1" applyFill="1" applyBorder="1" applyAlignment="1">
      <alignment vertical="top"/>
    </xf>
    <xf numFmtId="165" fontId="7" fillId="7" borderId="70" xfId="0" applyNumberFormat="1" applyFont="1" applyFill="1" applyBorder="1" applyAlignment="1">
      <alignment horizontal="center" vertical="top"/>
    </xf>
    <xf numFmtId="165" fontId="7" fillId="7" borderId="38" xfId="0" applyNumberFormat="1" applyFont="1" applyFill="1" applyBorder="1" applyAlignment="1">
      <alignment horizontal="center" vertical="top"/>
    </xf>
    <xf numFmtId="164" fontId="7" fillId="7" borderId="38" xfId="0" applyNumberFormat="1" applyFont="1" applyFill="1" applyBorder="1" applyAlignment="1">
      <alignment horizontal="center" vertical="top"/>
    </xf>
    <xf numFmtId="164" fontId="7" fillId="7" borderId="72" xfId="0" applyNumberFormat="1" applyFont="1" applyFill="1" applyBorder="1" applyAlignment="1">
      <alignment horizontal="center" vertical="top"/>
    </xf>
    <xf numFmtId="164" fontId="9" fillId="7" borderId="70" xfId="0" applyNumberFormat="1" applyFont="1" applyFill="1" applyBorder="1" applyAlignment="1">
      <alignment vertical="top"/>
    </xf>
    <xf numFmtId="164" fontId="9" fillId="7" borderId="69" xfId="0" applyNumberFormat="1" applyFont="1" applyFill="1" applyBorder="1" applyAlignment="1">
      <alignment vertical="top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7" borderId="19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12" borderId="28" xfId="0" applyNumberFormat="1" applyFont="1" applyFill="1" applyBorder="1" applyAlignment="1">
      <alignment horizontal="center" vertical="top"/>
    </xf>
    <xf numFmtId="0" fontId="9" fillId="7" borderId="55" xfId="0" applyFont="1" applyFill="1" applyBorder="1" applyAlignment="1">
      <alignment horizontal="left" vertical="top" wrapText="1"/>
    </xf>
    <xf numFmtId="0" fontId="9" fillId="7" borderId="20" xfId="0" applyFont="1" applyFill="1" applyBorder="1" applyAlignment="1">
      <alignment vertical="top"/>
    </xf>
    <xf numFmtId="0" fontId="9" fillId="7" borderId="17" xfId="0" applyFont="1" applyFill="1" applyBorder="1" applyAlignment="1">
      <alignment horizontal="center" vertical="top"/>
    </xf>
    <xf numFmtId="0" fontId="9" fillId="0" borderId="40" xfId="0" applyFont="1" applyBorder="1" applyAlignment="1">
      <alignment vertical="top"/>
    </xf>
    <xf numFmtId="0" fontId="9" fillId="0" borderId="41" xfId="0" applyFont="1" applyBorder="1" applyAlignment="1">
      <alignment vertical="top"/>
    </xf>
    <xf numFmtId="0" fontId="9" fillId="7" borderId="113" xfId="0" applyFont="1" applyFill="1" applyBorder="1" applyAlignment="1">
      <alignment horizontal="left" vertical="top" wrapText="1"/>
    </xf>
    <xf numFmtId="0" fontId="9" fillId="7" borderId="111" xfId="0" applyFont="1" applyFill="1" applyBorder="1" applyAlignment="1">
      <alignment horizontal="center" vertical="top"/>
    </xf>
    <xf numFmtId="0" fontId="9" fillId="0" borderId="114" xfId="0" applyFont="1" applyBorder="1" applyAlignment="1">
      <alignment vertical="top"/>
    </xf>
    <xf numFmtId="0" fontId="9" fillId="0" borderId="112" xfId="0" applyFont="1" applyBorder="1" applyAlignment="1">
      <alignment vertical="top"/>
    </xf>
    <xf numFmtId="0" fontId="9" fillId="7" borderId="61" xfId="0" applyFont="1" applyFill="1" applyBorder="1" applyAlignment="1">
      <alignment horizontal="center" vertical="top"/>
    </xf>
    <xf numFmtId="0" fontId="9" fillId="0" borderId="38" xfId="0" applyFont="1" applyBorder="1" applyAlignment="1">
      <alignment vertical="top"/>
    </xf>
    <xf numFmtId="0" fontId="9" fillId="0" borderId="72" xfId="0" applyFont="1" applyBorder="1" applyAlignment="1">
      <alignment vertical="top"/>
    </xf>
    <xf numFmtId="0" fontId="7" fillId="0" borderId="70" xfId="0" applyFont="1" applyFill="1" applyBorder="1" applyAlignment="1">
      <alignment horizontal="center" vertical="center" textRotation="90" wrapText="1"/>
    </xf>
    <xf numFmtId="49" fontId="9" fillId="0" borderId="38" xfId="0" applyNumberFormat="1" applyFont="1" applyFill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top"/>
    </xf>
    <xf numFmtId="49" fontId="9" fillId="0" borderId="7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9" fillId="7" borderId="2" xfId="0" applyNumberFormat="1" applyFont="1" applyFill="1" applyBorder="1" applyAlignment="1">
      <alignment horizontal="right" vertical="top"/>
    </xf>
    <xf numFmtId="0" fontId="9" fillId="7" borderId="70" xfId="0" applyFont="1" applyFill="1" applyBorder="1" applyAlignment="1">
      <alignment vertical="top"/>
    </xf>
    <xf numFmtId="0" fontId="4" fillId="11" borderId="10" xfId="0" applyFont="1" applyFill="1" applyBorder="1" applyAlignment="1">
      <alignment horizontal="center" vertical="top"/>
    </xf>
    <xf numFmtId="164" fontId="9" fillId="7" borderId="8" xfId="0" applyNumberFormat="1" applyFont="1" applyFill="1" applyBorder="1" applyAlignment="1">
      <alignment horizontal="center" vertical="top"/>
    </xf>
    <xf numFmtId="164" fontId="9" fillId="7" borderId="97" xfId="0" applyNumberFormat="1" applyFont="1" applyFill="1" applyBorder="1" applyAlignment="1">
      <alignment horizontal="center" vertical="top"/>
    </xf>
    <xf numFmtId="164" fontId="9" fillId="7" borderId="7" xfId="0" applyNumberFormat="1" applyFont="1" applyFill="1" applyBorder="1" applyAlignment="1">
      <alignment vertical="top"/>
    </xf>
    <xf numFmtId="164" fontId="11" fillId="7" borderId="53" xfId="0" applyNumberFormat="1" applyFont="1" applyFill="1" applyBorder="1" applyAlignment="1">
      <alignment vertical="top"/>
    </xf>
    <xf numFmtId="164" fontId="11" fillId="7" borderId="66" xfId="0" applyNumberFormat="1" applyFont="1" applyFill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64" xfId="0" applyFont="1" applyBorder="1" applyAlignment="1">
      <alignment vertical="top"/>
    </xf>
    <xf numFmtId="49" fontId="9" fillId="0" borderId="27" xfId="0" applyNumberFormat="1" applyFont="1" applyFill="1" applyBorder="1" applyAlignment="1">
      <alignment horizontal="center" vertical="top" wrapText="1"/>
    </xf>
    <xf numFmtId="164" fontId="32" fillId="0" borderId="33" xfId="0" applyNumberFormat="1" applyFont="1" applyBorder="1" applyAlignment="1">
      <alignment vertical="top"/>
    </xf>
    <xf numFmtId="0" fontId="32" fillId="0" borderId="34" xfId="0" applyFont="1" applyBorder="1" applyAlignment="1">
      <alignment vertical="top"/>
    </xf>
    <xf numFmtId="164" fontId="32" fillId="0" borderId="35" xfId="0" applyNumberFormat="1" applyFont="1" applyBorder="1" applyAlignment="1">
      <alignment vertical="top"/>
    </xf>
    <xf numFmtId="0" fontId="9" fillId="7" borderId="56" xfId="0" applyFont="1" applyFill="1" applyBorder="1" applyAlignment="1">
      <alignment horizontal="left" vertical="top" wrapText="1"/>
    </xf>
    <xf numFmtId="164" fontId="32" fillId="0" borderId="7" xfId="0" applyNumberFormat="1" applyFont="1" applyBorder="1" applyAlignment="1">
      <alignment vertical="top"/>
    </xf>
    <xf numFmtId="0" fontId="9" fillId="0" borderId="76" xfId="0" applyFont="1" applyBorder="1" applyAlignment="1">
      <alignment vertical="top"/>
    </xf>
    <xf numFmtId="0" fontId="9" fillId="0" borderId="71" xfId="0" applyFont="1" applyBorder="1" applyAlignment="1">
      <alignment vertical="top"/>
    </xf>
    <xf numFmtId="0" fontId="32" fillId="0" borderId="19" xfId="0" applyFont="1" applyBorder="1" applyAlignment="1">
      <alignment vertical="top"/>
    </xf>
    <xf numFmtId="164" fontId="32" fillId="0" borderId="19" xfId="0" applyNumberFormat="1" applyFont="1" applyBorder="1" applyAlignment="1">
      <alignment vertical="top"/>
    </xf>
    <xf numFmtId="164" fontId="32" fillId="0" borderId="19" xfId="0" applyNumberFormat="1" applyFont="1" applyFill="1" applyBorder="1" applyAlignment="1">
      <alignment vertical="top"/>
    </xf>
    <xf numFmtId="0" fontId="32" fillId="0" borderId="62" xfId="0" applyFont="1" applyFill="1" applyBorder="1" applyAlignment="1">
      <alignment vertical="top"/>
    </xf>
    <xf numFmtId="0" fontId="9" fillId="0" borderId="114" xfId="0" applyFont="1" applyFill="1" applyBorder="1" applyAlignment="1">
      <alignment vertical="top" wrapText="1"/>
    </xf>
    <xf numFmtId="0" fontId="9" fillId="0" borderId="53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vertical="top" wrapText="1"/>
    </xf>
    <xf numFmtId="49" fontId="11" fillId="13" borderId="19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7" borderId="31" xfId="0" applyNumberFormat="1" applyFont="1" applyFill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vertical="top" wrapText="1"/>
    </xf>
    <xf numFmtId="49" fontId="9" fillId="0" borderId="64" xfId="0" applyNumberFormat="1" applyFont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center" vertical="top" wrapText="1"/>
    </xf>
    <xf numFmtId="0" fontId="7" fillId="0" borderId="53" xfId="0" applyFont="1" applyFill="1" applyBorder="1" applyAlignment="1">
      <alignment horizontal="center" vertical="top" wrapText="1"/>
    </xf>
    <xf numFmtId="49" fontId="9" fillId="0" borderId="53" xfId="0" applyNumberFormat="1" applyFont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9" fillId="0" borderId="53" xfId="0" applyNumberFormat="1" applyFont="1" applyBorder="1" applyAlignment="1">
      <alignment horizontal="center" vertical="center" textRotation="90"/>
    </xf>
    <xf numFmtId="49" fontId="11" fillId="7" borderId="53" xfId="0" applyNumberFormat="1" applyFont="1" applyFill="1" applyBorder="1" applyAlignment="1">
      <alignment horizontal="center" vertical="top"/>
    </xf>
    <xf numFmtId="49" fontId="11" fillId="12" borderId="28" xfId="0" applyNumberFormat="1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top" wrapText="1"/>
    </xf>
    <xf numFmtId="49" fontId="9" fillId="0" borderId="16" xfId="0" applyNumberFormat="1" applyFont="1" applyBorder="1" applyAlignment="1">
      <alignment horizontal="center" vertical="top"/>
    </xf>
    <xf numFmtId="49" fontId="11" fillId="0" borderId="63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11" fillId="12" borderId="21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0" fontId="9" fillId="7" borderId="61" xfId="0" applyFont="1" applyFill="1" applyBorder="1" applyAlignment="1">
      <alignment horizontal="left" vertical="top" wrapText="1"/>
    </xf>
    <xf numFmtId="0" fontId="9" fillId="7" borderId="38" xfId="0" applyFont="1" applyFill="1" applyBorder="1" applyAlignment="1">
      <alignment horizontal="left" vertical="top" wrapText="1"/>
    </xf>
    <xf numFmtId="49" fontId="11" fillId="0" borderId="62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11" fillId="0" borderId="19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49" fontId="11" fillId="0" borderId="82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0" fontId="9" fillId="7" borderId="55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53" xfId="0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49" fontId="9" fillId="0" borderId="65" xfId="0" applyNumberFormat="1" applyFont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9" fillId="7" borderId="16" xfId="0" applyFont="1" applyFill="1" applyBorder="1" applyAlignment="1">
      <alignment horizontal="left" vertical="top" wrapText="1"/>
    </xf>
    <xf numFmtId="49" fontId="11" fillId="13" borderId="17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49" fontId="11" fillId="0" borderId="22" xfId="0" applyNumberFormat="1" applyFont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0" fontId="11" fillId="7" borderId="53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49" fontId="9" fillId="0" borderId="41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9" fillId="0" borderId="38" xfId="0" applyNumberFormat="1" applyFont="1" applyBorder="1" applyAlignment="1">
      <alignment horizontal="center" vertical="top"/>
    </xf>
    <xf numFmtId="49" fontId="11" fillId="7" borderId="38" xfId="0" applyNumberFormat="1" applyFont="1" applyFill="1" applyBorder="1" applyAlignment="1">
      <alignment horizontal="center" vertical="top"/>
    </xf>
    <xf numFmtId="0" fontId="11" fillId="7" borderId="16" xfId="0" applyFont="1" applyFill="1" applyBorder="1" applyAlignment="1">
      <alignment horizontal="left" vertical="top" wrapText="1"/>
    </xf>
    <xf numFmtId="49" fontId="11" fillId="0" borderId="64" xfId="0" applyNumberFormat="1" applyFont="1" applyBorder="1" applyAlignment="1">
      <alignment horizontal="center" vertical="top"/>
    </xf>
    <xf numFmtId="49" fontId="11" fillId="0" borderId="64" xfId="0" applyNumberFormat="1" applyFont="1" applyFill="1" applyBorder="1" applyAlignment="1">
      <alignment horizontal="center" vertical="top"/>
    </xf>
    <xf numFmtId="49" fontId="11" fillId="13" borderId="18" xfId="0" applyNumberFormat="1" applyFont="1" applyFill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164" fontId="9" fillId="7" borderId="21" xfId="0" applyNumberFormat="1" applyFont="1" applyFill="1" applyBorder="1" applyAlignment="1">
      <alignment vertical="top"/>
    </xf>
    <xf numFmtId="164" fontId="9" fillId="7" borderId="18" xfId="0" applyNumberFormat="1" applyFont="1" applyFill="1" applyBorder="1" applyAlignment="1">
      <alignment vertical="top"/>
    </xf>
    <xf numFmtId="164" fontId="9" fillId="7" borderId="31" xfId="0" applyNumberFormat="1" applyFont="1" applyFill="1" applyBorder="1" applyAlignment="1">
      <alignment vertical="top"/>
    </xf>
    <xf numFmtId="164" fontId="9" fillId="7" borderId="32" xfId="0" applyNumberFormat="1" applyFont="1" applyFill="1" applyBorder="1" applyAlignment="1">
      <alignment vertical="top"/>
    </xf>
    <xf numFmtId="164" fontId="9" fillId="6" borderId="31" xfId="0" applyNumberFormat="1" applyFont="1" applyFill="1" applyBorder="1" applyAlignment="1">
      <alignment vertical="top"/>
    </xf>
    <xf numFmtId="164" fontId="9" fillId="0" borderId="18" xfId="0" applyNumberFormat="1" applyFont="1" applyBorder="1" applyAlignment="1">
      <alignment vertical="top"/>
    </xf>
    <xf numFmtId="164" fontId="9" fillId="11" borderId="21" xfId="0" applyNumberFormat="1" applyFont="1" applyFill="1" applyBorder="1" applyAlignment="1">
      <alignment vertical="top"/>
    </xf>
    <xf numFmtId="164" fontId="9" fillId="11" borderId="31" xfId="0" applyNumberFormat="1" applyFont="1" applyFill="1" applyBorder="1" applyAlignment="1">
      <alignment vertical="top"/>
    </xf>
    <xf numFmtId="164" fontId="9" fillId="11" borderId="18" xfId="0" applyNumberFormat="1" applyFont="1" applyFill="1" applyBorder="1" applyAlignment="1">
      <alignment vertical="top"/>
    </xf>
    <xf numFmtId="164" fontId="9" fillId="0" borderId="13" xfId="0" applyNumberFormat="1" applyFont="1" applyBorder="1" applyAlignment="1">
      <alignment horizontal="center" vertical="top"/>
    </xf>
    <xf numFmtId="0" fontId="9" fillId="7" borderId="21" xfId="0" applyFont="1" applyFill="1" applyBorder="1" applyAlignment="1">
      <alignment horizontal="left" vertical="top" wrapText="1"/>
    </xf>
    <xf numFmtId="0" fontId="9" fillId="7" borderId="18" xfId="0" applyNumberFormat="1" applyFont="1" applyFill="1" applyBorder="1" applyAlignment="1">
      <alignment horizontal="center" vertical="top"/>
    </xf>
    <xf numFmtId="49" fontId="11" fillId="12" borderId="37" xfId="0" applyNumberFormat="1" applyFont="1" applyFill="1" applyBorder="1" applyAlignment="1">
      <alignment horizontal="center" vertical="top"/>
    </xf>
    <xf numFmtId="49" fontId="11" fillId="7" borderId="60" xfId="0" applyNumberFormat="1" applyFont="1" applyFill="1" applyBorder="1" applyAlignment="1">
      <alignment horizontal="center" vertical="top"/>
    </xf>
    <xf numFmtId="0" fontId="9" fillId="7" borderId="26" xfId="0" applyFont="1" applyFill="1" applyBorder="1" applyAlignment="1">
      <alignment horizontal="left" vertical="top" wrapText="1"/>
    </xf>
    <xf numFmtId="49" fontId="11" fillId="0" borderId="60" xfId="0" applyNumberFormat="1" applyFont="1" applyBorder="1" applyAlignment="1">
      <alignment horizontal="center" vertical="top"/>
    </xf>
    <xf numFmtId="49" fontId="9" fillId="7" borderId="27" xfId="0" applyNumberFormat="1" applyFont="1" applyFill="1" applyBorder="1" applyAlignment="1">
      <alignment horizontal="center" vertical="top" wrapText="1"/>
    </xf>
    <xf numFmtId="0" fontId="9" fillId="7" borderId="86" xfId="0" applyFont="1" applyFill="1" applyBorder="1" applyAlignment="1">
      <alignment horizontal="center" vertical="top"/>
    </xf>
    <xf numFmtId="164" fontId="9" fillId="7" borderId="60" xfId="0" applyNumberFormat="1" applyFont="1" applyFill="1" applyBorder="1" applyAlignment="1">
      <alignment vertical="top"/>
    </xf>
    <xf numFmtId="164" fontId="9" fillId="7" borderId="12" xfId="0" applyNumberFormat="1" applyFont="1" applyFill="1" applyBorder="1" applyAlignment="1">
      <alignment horizontal="center" vertical="top"/>
    </xf>
    <xf numFmtId="0" fontId="9" fillId="7" borderId="26" xfId="0" applyFont="1" applyFill="1" applyBorder="1" applyAlignment="1">
      <alignment vertical="center" textRotation="90"/>
    </xf>
    <xf numFmtId="0" fontId="9" fillId="7" borderId="27" xfId="0" applyFont="1" applyFill="1" applyBorder="1" applyAlignment="1">
      <alignment vertical="center" textRotation="90"/>
    </xf>
    <xf numFmtId="49" fontId="9" fillId="7" borderId="133" xfId="0" applyNumberFormat="1" applyFont="1" applyFill="1" applyBorder="1" applyAlignment="1">
      <alignment horizontal="center" vertical="top"/>
    </xf>
    <xf numFmtId="49" fontId="9" fillId="7" borderId="126" xfId="0" applyNumberFormat="1" applyFont="1" applyFill="1" applyBorder="1" applyAlignment="1">
      <alignment horizontal="center" vertical="top"/>
    </xf>
    <xf numFmtId="0" fontId="9" fillId="0" borderId="108" xfId="0" applyFont="1" applyFill="1" applyBorder="1" applyAlignment="1">
      <alignment vertical="top" wrapText="1"/>
    </xf>
    <xf numFmtId="0" fontId="7" fillId="0" borderId="109" xfId="0" applyFont="1" applyFill="1" applyBorder="1" applyAlignment="1">
      <alignment horizontal="center" vertical="top"/>
    </xf>
    <xf numFmtId="0" fontId="7" fillId="0" borderId="127" xfId="0" applyFont="1" applyFill="1" applyBorder="1" applyAlignment="1">
      <alignment horizontal="center" vertical="top"/>
    </xf>
    <xf numFmtId="3" fontId="9" fillId="0" borderId="2" xfId="0" applyNumberFormat="1" applyFont="1" applyBorder="1" applyAlignment="1">
      <alignment horizontal="right" vertical="top"/>
    </xf>
    <xf numFmtId="3" fontId="9" fillId="0" borderId="91" xfId="0" applyNumberFormat="1" applyFont="1" applyBorder="1" applyAlignment="1">
      <alignment horizontal="right" vertical="top"/>
    </xf>
    <xf numFmtId="3" fontId="9" fillId="7" borderId="15" xfId="0" applyNumberFormat="1" applyFont="1" applyFill="1" applyBorder="1" applyAlignment="1">
      <alignment horizontal="right" vertical="top"/>
    </xf>
    <xf numFmtId="3" fontId="9" fillId="7" borderId="22" xfId="0" applyNumberFormat="1" applyFont="1" applyFill="1" applyBorder="1" applyAlignment="1">
      <alignment horizontal="right" vertical="top"/>
    </xf>
    <xf numFmtId="3" fontId="9" fillId="7" borderId="4" xfId="0" applyNumberFormat="1" applyFont="1" applyFill="1" applyBorder="1" applyAlignment="1">
      <alignment horizontal="right" vertical="top"/>
    </xf>
    <xf numFmtId="3" fontId="9" fillId="7" borderId="66" xfId="0" applyNumberFormat="1" applyFont="1" applyFill="1" applyBorder="1" applyAlignment="1">
      <alignment horizontal="right" vertical="top"/>
    </xf>
    <xf numFmtId="3" fontId="9" fillId="7" borderId="1" xfId="0" applyNumberFormat="1" applyFont="1" applyFill="1" applyBorder="1" applyAlignment="1">
      <alignment horizontal="right" vertical="top"/>
    </xf>
    <xf numFmtId="3" fontId="9" fillId="7" borderId="71" xfId="0" applyNumberFormat="1" applyFont="1" applyFill="1" applyBorder="1" applyAlignment="1">
      <alignment horizontal="right" vertical="top"/>
    </xf>
    <xf numFmtId="3" fontId="11" fillId="4" borderId="24" xfId="0" applyNumberFormat="1" applyFont="1" applyFill="1" applyBorder="1" applyAlignment="1">
      <alignment vertical="top"/>
    </xf>
    <xf numFmtId="3" fontId="11" fillId="4" borderId="3" xfId="0" applyNumberFormat="1" applyFont="1" applyFill="1" applyBorder="1" applyAlignment="1">
      <alignment vertical="top"/>
    </xf>
    <xf numFmtId="3" fontId="11" fillId="4" borderId="118" xfId="0" applyNumberFormat="1" applyFont="1" applyFill="1" applyBorder="1" applyAlignment="1">
      <alignment vertical="top"/>
    </xf>
    <xf numFmtId="0" fontId="9" fillId="0" borderId="23" xfId="0" applyFont="1" applyBorder="1" applyAlignment="1">
      <alignment horizontal="right" vertical="top"/>
    </xf>
    <xf numFmtId="164" fontId="30" fillId="7" borderId="127" xfId="0" applyNumberFormat="1" applyFont="1" applyFill="1" applyBorder="1" applyAlignment="1">
      <alignment vertical="top"/>
    </xf>
    <xf numFmtId="0" fontId="9" fillId="0" borderId="76" xfId="0" applyFont="1" applyFill="1" applyBorder="1" applyAlignment="1">
      <alignment horizontal="left" vertical="top" wrapText="1"/>
    </xf>
    <xf numFmtId="0" fontId="9" fillId="0" borderId="53" xfId="0" applyFont="1" applyFill="1" applyBorder="1" applyAlignment="1">
      <alignment horizontal="center" vertical="top"/>
    </xf>
    <xf numFmtId="0" fontId="9" fillId="0" borderId="64" xfId="0" applyFont="1" applyFill="1" applyBorder="1" applyAlignment="1">
      <alignment horizontal="center" vertical="top"/>
    </xf>
    <xf numFmtId="0" fontId="9" fillId="0" borderId="33" xfId="0" applyFont="1" applyFill="1" applyBorder="1" applyAlignment="1">
      <alignment horizontal="left"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 wrapText="1"/>
    </xf>
    <xf numFmtId="0" fontId="5" fillId="0" borderId="32" xfId="0" applyNumberFormat="1" applyFont="1" applyBorder="1" applyAlignment="1">
      <alignment horizontal="center" vertical="top"/>
    </xf>
    <xf numFmtId="164" fontId="9" fillId="6" borderId="84" xfId="0" applyNumberFormat="1" applyFont="1" applyFill="1" applyBorder="1" applyAlignment="1">
      <alignment horizontal="center" vertical="top"/>
    </xf>
    <xf numFmtId="164" fontId="9" fillId="0" borderId="105" xfId="0" applyNumberFormat="1" applyFont="1" applyFill="1" applyBorder="1" applyAlignment="1">
      <alignment horizontal="center" vertical="top"/>
    </xf>
    <xf numFmtId="164" fontId="9" fillId="0" borderId="100" xfId="0" applyNumberFormat="1" applyFont="1" applyFill="1" applyBorder="1" applyAlignment="1">
      <alignment horizontal="center" vertical="top"/>
    </xf>
    <xf numFmtId="164" fontId="9" fillId="0" borderId="53" xfId="0" applyNumberFormat="1" applyFont="1" applyFill="1" applyBorder="1" applyAlignment="1">
      <alignment horizontal="center" vertical="top"/>
    </xf>
    <xf numFmtId="164" fontId="9" fillId="6" borderId="70" xfId="0" applyNumberFormat="1" applyFont="1" applyFill="1" applyBorder="1" applyAlignment="1">
      <alignment horizontal="center" vertical="top"/>
    </xf>
    <xf numFmtId="164" fontId="9" fillId="6" borderId="38" xfId="0" applyNumberFormat="1" applyFont="1" applyFill="1" applyBorder="1" applyAlignment="1">
      <alignment horizontal="center" vertical="top"/>
    </xf>
    <xf numFmtId="164" fontId="9" fillId="7" borderId="76" xfId="0" applyNumberFormat="1" applyFont="1" applyFill="1" applyBorder="1" applyAlignment="1">
      <alignment horizontal="center" vertical="top"/>
    </xf>
    <xf numFmtId="164" fontId="9" fillId="7" borderId="105" xfId="0" applyNumberFormat="1" applyFont="1" applyFill="1" applyBorder="1" applyAlignment="1">
      <alignment horizontal="center" vertical="top"/>
    </xf>
    <xf numFmtId="164" fontId="9" fillId="7" borderId="100" xfId="0" applyNumberFormat="1" applyFont="1" applyFill="1" applyBorder="1" applyAlignment="1">
      <alignment horizontal="center" vertical="top" wrapText="1"/>
    </xf>
    <xf numFmtId="164" fontId="9" fillId="7" borderId="100" xfId="0" applyNumberFormat="1" applyFont="1" applyFill="1" applyBorder="1" applyAlignment="1">
      <alignment horizontal="center" vertical="top"/>
    </xf>
    <xf numFmtId="164" fontId="9" fillId="7" borderId="124" xfId="0" applyNumberFormat="1" applyFont="1" applyFill="1" applyBorder="1" applyAlignment="1">
      <alignment horizontal="center" vertical="top"/>
    </xf>
    <xf numFmtId="164" fontId="9" fillId="7" borderId="122" xfId="0" applyNumberFormat="1" applyFont="1" applyFill="1" applyBorder="1" applyAlignment="1">
      <alignment horizontal="center" vertical="top"/>
    </xf>
    <xf numFmtId="164" fontId="9" fillId="7" borderId="121" xfId="0" applyNumberFormat="1" applyFont="1" applyFill="1" applyBorder="1" applyAlignment="1">
      <alignment horizontal="center" vertical="top"/>
    </xf>
    <xf numFmtId="164" fontId="9" fillId="7" borderId="109" xfId="0" applyNumberFormat="1" applyFont="1" applyFill="1" applyBorder="1" applyAlignment="1">
      <alignment horizontal="center" vertical="top"/>
    </xf>
    <xf numFmtId="164" fontId="9" fillId="0" borderId="105" xfId="0" applyNumberFormat="1" applyFont="1" applyBorder="1" applyAlignment="1">
      <alignment horizontal="center" vertical="top"/>
    </xf>
    <xf numFmtId="164" fontId="9" fillId="0" borderId="100" xfId="0" applyNumberFormat="1" applyFont="1" applyBorder="1" applyAlignment="1">
      <alignment horizontal="center" vertical="top"/>
    </xf>
    <xf numFmtId="0" fontId="9" fillId="7" borderId="119" xfId="0" applyFont="1" applyFill="1" applyBorder="1" applyAlignment="1">
      <alignment horizontal="center" vertical="top"/>
    </xf>
    <xf numFmtId="164" fontId="9" fillId="6" borderId="56" xfId="0" applyNumberFormat="1" applyFont="1" applyFill="1" applyBorder="1" applyAlignment="1">
      <alignment horizontal="center" vertical="top"/>
    </xf>
    <xf numFmtId="164" fontId="9" fillId="7" borderId="87" xfId="0" applyNumberFormat="1" applyFont="1" applyFill="1" applyBorder="1" applyAlignment="1">
      <alignment horizontal="center" vertical="top"/>
    </xf>
    <xf numFmtId="164" fontId="9" fillId="7" borderId="31" xfId="0" applyNumberFormat="1" applyFont="1" applyFill="1" applyBorder="1" applyAlignment="1">
      <alignment horizontal="center" vertical="top"/>
    </xf>
    <xf numFmtId="164" fontId="7" fillId="6" borderId="16" xfId="0" applyNumberFormat="1" applyFont="1" applyFill="1" applyBorder="1" applyAlignment="1">
      <alignment horizontal="center" vertical="top"/>
    </xf>
    <xf numFmtId="164" fontId="9" fillId="0" borderId="63" xfId="0" applyNumberFormat="1" applyFont="1" applyBorder="1" applyAlignment="1">
      <alignment horizontal="center" vertical="top"/>
    </xf>
    <xf numFmtId="3" fontId="9" fillId="11" borderId="101" xfId="0" applyNumberFormat="1" applyFont="1" applyFill="1" applyBorder="1" applyAlignment="1">
      <alignment horizontal="right" vertical="top"/>
    </xf>
    <xf numFmtId="3" fontId="9" fillId="0" borderId="107" xfId="0" applyNumberFormat="1" applyFont="1" applyBorder="1" applyAlignment="1">
      <alignment horizontal="right" vertical="top"/>
    </xf>
    <xf numFmtId="3" fontId="9" fillId="0" borderId="101" xfId="0" applyNumberFormat="1" applyFont="1" applyBorder="1" applyAlignment="1">
      <alignment horizontal="right" vertical="top"/>
    </xf>
    <xf numFmtId="3" fontId="9" fillId="11" borderId="2" xfId="0" applyNumberFormat="1" applyFont="1" applyFill="1" applyBorder="1" applyAlignment="1">
      <alignment horizontal="right" vertical="top"/>
    </xf>
    <xf numFmtId="3" fontId="9" fillId="0" borderId="85" xfId="0" applyNumberFormat="1" applyFont="1" applyBorder="1" applyAlignment="1">
      <alignment horizontal="right" vertical="top"/>
    </xf>
    <xf numFmtId="3" fontId="9" fillId="11" borderId="4" xfId="0" applyNumberFormat="1" applyFont="1" applyFill="1" applyBorder="1" applyAlignment="1">
      <alignment horizontal="right" vertical="top"/>
    </xf>
    <xf numFmtId="3" fontId="9" fillId="0" borderId="66" xfId="0" applyNumberFormat="1" applyFont="1" applyBorder="1" applyAlignment="1">
      <alignment horizontal="right" vertical="top"/>
    </xf>
    <xf numFmtId="3" fontId="9" fillId="11" borderId="1" xfId="0" applyNumberFormat="1" applyFont="1" applyFill="1" applyBorder="1" applyAlignment="1">
      <alignment horizontal="right" vertical="top"/>
    </xf>
    <xf numFmtId="3" fontId="9" fillId="7" borderId="77" xfId="0" applyNumberFormat="1" applyFont="1" applyFill="1" applyBorder="1" applyAlignment="1">
      <alignment horizontal="right" vertical="top"/>
    </xf>
    <xf numFmtId="3" fontId="11" fillId="11" borderId="10" xfId="0" applyNumberFormat="1" applyFont="1" applyFill="1" applyBorder="1" applyAlignment="1">
      <alignment horizontal="right" vertical="top"/>
    </xf>
    <xf numFmtId="3" fontId="11" fillId="11" borderId="23" xfId="0" applyNumberFormat="1" applyFont="1" applyFill="1" applyBorder="1" applyAlignment="1">
      <alignment horizontal="right" vertical="top"/>
    </xf>
    <xf numFmtId="3" fontId="9" fillId="11" borderId="34" xfId="0" applyNumberFormat="1" applyFont="1" applyFill="1" applyBorder="1" applyAlignment="1">
      <alignment horizontal="right" vertical="top"/>
    </xf>
    <xf numFmtId="3" fontId="9" fillId="0" borderId="11" xfId="0" applyNumberFormat="1" applyFont="1" applyBorder="1" applyAlignment="1">
      <alignment horizontal="right" vertical="top"/>
    </xf>
    <xf numFmtId="3" fontId="9" fillId="0" borderId="12" xfId="0" applyNumberFormat="1" applyFont="1" applyBorder="1" applyAlignment="1">
      <alignment horizontal="right" vertical="top"/>
    </xf>
    <xf numFmtId="3" fontId="11" fillId="11" borderId="21" xfId="0" applyNumberFormat="1" applyFont="1" applyFill="1" applyBorder="1" applyAlignment="1">
      <alignment horizontal="right" vertical="top"/>
    </xf>
    <xf numFmtId="3" fontId="11" fillId="11" borderId="13" xfId="0" applyNumberFormat="1" applyFont="1" applyFill="1" applyBorder="1" applyAlignment="1">
      <alignment horizontal="right" vertical="top"/>
    </xf>
    <xf numFmtId="3" fontId="9" fillId="11" borderId="26" xfId="0" applyNumberFormat="1" applyFon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/>
    </xf>
    <xf numFmtId="3" fontId="11" fillId="11" borderId="30" xfId="0" applyNumberFormat="1" applyFont="1" applyFill="1" applyBorder="1" applyAlignment="1">
      <alignment horizontal="right" vertical="top"/>
    </xf>
    <xf numFmtId="3" fontId="11" fillId="11" borderId="5" xfId="0" applyNumberFormat="1" applyFont="1" applyFill="1" applyBorder="1" applyAlignment="1">
      <alignment horizontal="right" vertical="top"/>
    </xf>
    <xf numFmtId="3" fontId="9" fillId="11" borderId="56" xfId="0" applyNumberFormat="1" applyFont="1" applyFill="1" applyBorder="1" applyAlignment="1">
      <alignment horizontal="right" vertical="top"/>
    </xf>
    <xf numFmtId="3" fontId="9" fillId="0" borderId="1" xfId="0" applyNumberFormat="1" applyFont="1" applyBorder="1" applyAlignment="1">
      <alignment horizontal="right" vertical="top"/>
    </xf>
    <xf numFmtId="3" fontId="11" fillId="11" borderId="28" xfId="0" applyNumberFormat="1" applyFont="1" applyFill="1" applyBorder="1" applyAlignment="1">
      <alignment horizontal="right" vertical="top"/>
    </xf>
    <xf numFmtId="3" fontId="9" fillId="11" borderId="75" xfId="0" applyNumberFormat="1" applyFont="1" applyFill="1" applyBorder="1" applyAlignment="1">
      <alignment horizontal="right" vertical="top"/>
    </xf>
    <xf numFmtId="3" fontId="9" fillId="11" borderId="93" xfId="0" applyNumberFormat="1" applyFont="1" applyFill="1" applyBorder="1" applyAlignment="1">
      <alignment horizontal="right" vertical="top"/>
    </xf>
    <xf numFmtId="3" fontId="9" fillId="7" borderId="37" xfId="0" applyNumberFormat="1" applyFont="1" applyFill="1" applyBorder="1" applyAlignment="1">
      <alignment horizontal="right" vertical="top"/>
    </xf>
    <xf numFmtId="3" fontId="11" fillId="11" borderId="14" xfId="0" applyNumberFormat="1" applyFont="1" applyFill="1" applyBorder="1" applyAlignment="1">
      <alignment horizontal="right" vertical="top"/>
    </xf>
    <xf numFmtId="3" fontId="9" fillId="11" borderId="76" xfId="0" applyNumberFormat="1" applyFont="1" applyFill="1" applyBorder="1" applyAlignment="1">
      <alignment horizontal="right" vertical="top"/>
    </xf>
    <xf numFmtId="3" fontId="9" fillId="0" borderId="15" xfId="0" applyNumberFormat="1" applyFont="1" applyFill="1" applyBorder="1" applyAlignment="1">
      <alignment horizontal="right" vertical="top"/>
    </xf>
    <xf numFmtId="3" fontId="9" fillId="0" borderId="37" xfId="0" applyNumberFormat="1" applyFont="1" applyFill="1" applyBorder="1" applyAlignment="1">
      <alignment horizontal="right" vertical="top"/>
    </xf>
    <xf numFmtId="3" fontId="11" fillId="11" borderId="55" xfId="0" applyNumberFormat="1" applyFont="1" applyFill="1" applyBorder="1" applyAlignment="1">
      <alignment horizontal="right" vertical="top"/>
    </xf>
    <xf numFmtId="3" fontId="9" fillId="0" borderId="12" xfId="0" applyNumberFormat="1" applyFont="1" applyFill="1" applyBorder="1" applyAlignment="1">
      <alignment horizontal="right" vertical="top"/>
    </xf>
    <xf numFmtId="3" fontId="9" fillId="11" borderId="70" xfId="0" applyNumberFormat="1" applyFont="1" applyFill="1" applyBorder="1" applyAlignment="1">
      <alignment horizontal="right" vertical="top"/>
    </xf>
    <xf numFmtId="3" fontId="9" fillId="0" borderId="2" xfId="0" applyNumberFormat="1" applyFont="1" applyFill="1" applyBorder="1" applyAlignment="1">
      <alignment horizontal="right" vertical="top"/>
    </xf>
    <xf numFmtId="3" fontId="9" fillId="0" borderId="4" xfId="0" applyNumberFormat="1" applyFont="1" applyFill="1" applyBorder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3" fontId="9" fillId="0" borderId="1" xfId="0" applyNumberFormat="1" applyFont="1" applyFill="1" applyBorder="1" applyAlignment="1">
      <alignment horizontal="right" vertical="top"/>
    </xf>
    <xf numFmtId="3" fontId="9" fillId="11" borderId="77" xfId="0" applyNumberFormat="1" applyFont="1" applyFill="1" applyBorder="1" applyAlignment="1">
      <alignment horizontal="right" vertical="top"/>
    </xf>
    <xf numFmtId="3" fontId="9" fillId="7" borderId="2" xfId="0" applyNumberFormat="1" applyFont="1" applyFill="1" applyBorder="1" applyAlignment="1">
      <alignment horizontal="right" vertical="top"/>
    </xf>
    <xf numFmtId="3" fontId="11" fillId="11" borderId="82" xfId="0" applyNumberFormat="1" applyFont="1" applyFill="1" applyBorder="1" applyAlignment="1">
      <alignment horizontal="right" vertical="top"/>
    </xf>
    <xf numFmtId="3" fontId="11" fillId="11" borderId="84" xfId="0" applyNumberFormat="1" applyFont="1" applyFill="1" applyBorder="1" applyAlignment="1">
      <alignment horizontal="right" vertical="top"/>
    </xf>
    <xf numFmtId="3" fontId="9" fillId="11" borderId="22" xfId="0" applyNumberFormat="1" applyFont="1" applyFill="1" applyBorder="1" applyAlignment="1">
      <alignment horizontal="right" vertical="top"/>
    </xf>
    <xf numFmtId="3" fontId="9" fillId="0" borderId="22" xfId="0" applyNumberFormat="1" applyFont="1" applyBorder="1" applyAlignment="1">
      <alignment horizontal="right" vertical="top"/>
    </xf>
    <xf numFmtId="3" fontId="9" fillId="0" borderId="11" xfId="0" applyNumberFormat="1" applyFont="1" applyFill="1" applyBorder="1" applyAlignment="1">
      <alignment horizontal="right" vertical="top"/>
    </xf>
    <xf numFmtId="3" fontId="9" fillId="7" borderId="8" xfId="0" applyNumberFormat="1" applyFont="1" applyFill="1" applyBorder="1" applyAlignment="1">
      <alignment horizontal="right" vertical="top"/>
    </xf>
    <xf numFmtId="3" fontId="11" fillId="11" borderId="74" xfId="0" applyNumberFormat="1" applyFont="1" applyFill="1" applyBorder="1" applyAlignment="1">
      <alignment horizontal="right" vertical="top"/>
    </xf>
    <xf numFmtId="3" fontId="11" fillId="4" borderId="21" xfId="0" applyNumberFormat="1" applyFont="1" applyFill="1" applyBorder="1" applyAlignment="1">
      <alignment horizontal="right" vertical="top"/>
    </xf>
    <xf numFmtId="3" fontId="9" fillId="11" borderId="39" xfId="0" applyNumberFormat="1" applyFont="1" applyFill="1" applyBorder="1" applyAlignment="1">
      <alignment horizontal="right" vertical="top"/>
    </xf>
    <xf numFmtId="3" fontId="7" fillId="11" borderId="33" xfId="0" applyNumberFormat="1" applyFont="1" applyFill="1" applyBorder="1" applyAlignment="1">
      <alignment horizontal="right" vertical="top"/>
    </xf>
    <xf numFmtId="3" fontId="7" fillId="0" borderId="1" xfId="0" applyNumberFormat="1" applyFont="1" applyFill="1" applyBorder="1" applyAlignment="1">
      <alignment horizontal="right" vertical="top"/>
    </xf>
    <xf numFmtId="3" fontId="6" fillId="11" borderId="21" xfId="0" applyNumberFormat="1" applyFont="1" applyFill="1" applyBorder="1" applyAlignment="1">
      <alignment horizontal="right" vertical="top"/>
    </xf>
    <xf numFmtId="0" fontId="5" fillId="6" borderId="100" xfId="0" applyFont="1" applyFill="1" applyBorder="1" applyAlignment="1">
      <alignment horizontal="center" vertical="top"/>
    </xf>
    <xf numFmtId="0" fontId="5" fillId="6" borderId="104" xfId="0" applyFont="1" applyFill="1" applyBorder="1" applyAlignment="1">
      <alignment horizontal="center" vertical="top"/>
    </xf>
    <xf numFmtId="3" fontId="9" fillId="11" borderId="90" xfId="0" applyNumberFormat="1" applyFont="1" applyFill="1" applyBorder="1" applyAlignment="1">
      <alignment horizontal="right" vertical="top"/>
    </xf>
    <xf numFmtId="3" fontId="9" fillId="11" borderId="76" xfId="0" applyNumberFormat="1" applyFont="1" applyFill="1" applyBorder="1" applyAlignment="1">
      <alignment horizontal="right" vertical="top" wrapText="1"/>
    </xf>
    <xf numFmtId="3" fontId="3" fillId="11" borderId="56" xfId="0" applyNumberFormat="1" applyFont="1" applyFill="1" applyBorder="1" applyAlignment="1">
      <alignment horizontal="right" vertical="top"/>
    </xf>
    <xf numFmtId="3" fontId="3" fillId="7" borderId="12" xfId="0" applyNumberFormat="1" applyFont="1" applyFill="1" applyBorder="1" applyAlignment="1">
      <alignment horizontal="right" vertical="top" wrapText="1"/>
    </xf>
    <xf numFmtId="3" fontId="3" fillId="0" borderId="71" xfId="0" applyNumberFormat="1" applyFont="1" applyFill="1" applyBorder="1" applyAlignment="1">
      <alignment horizontal="right" vertical="top"/>
    </xf>
    <xf numFmtId="3" fontId="3" fillId="7" borderId="1" xfId="0" applyNumberFormat="1" applyFont="1" applyFill="1" applyBorder="1" applyAlignment="1">
      <alignment horizontal="right" vertical="top" wrapText="1"/>
    </xf>
    <xf numFmtId="3" fontId="2" fillId="11" borderId="30" xfId="0" applyNumberFormat="1" applyFont="1" applyFill="1" applyBorder="1" applyAlignment="1">
      <alignment horizontal="right" vertical="center"/>
    </xf>
    <xf numFmtId="3" fontId="2" fillId="11" borderId="5" xfId="0" applyNumberFormat="1" applyFont="1" applyFill="1" applyBorder="1" applyAlignment="1">
      <alignment horizontal="right" vertical="center"/>
    </xf>
    <xf numFmtId="3" fontId="2" fillId="11" borderId="74" xfId="0" applyNumberFormat="1" applyFont="1" applyFill="1" applyBorder="1" applyAlignment="1">
      <alignment horizontal="right" vertical="center"/>
    </xf>
    <xf numFmtId="3" fontId="9" fillId="11" borderId="58" xfId="0" applyNumberFormat="1" applyFont="1" applyFill="1" applyBorder="1" applyAlignment="1">
      <alignment horizontal="right" vertical="top"/>
    </xf>
    <xf numFmtId="3" fontId="3" fillId="0" borderId="86" xfId="0" applyNumberFormat="1" applyFont="1" applyFill="1" applyBorder="1" applyAlignment="1">
      <alignment horizontal="right" vertical="top"/>
    </xf>
    <xf numFmtId="3" fontId="9" fillId="11" borderId="69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 wrapText="1"/>
    </xf>
    <xf numFmtId="3" fontId="2" fillId="11" borderId="14" xfId="0" applyNumberFormat="1" applyFont="1" applyFill="1" applyBorder="1" applyAlignment="1">
      <alignment horizontal="right" vertical="center"/>
    </xf>
    <xf numFmtId="3" fontId="2" fillId="11" borderId="5" xfId="0" applyNumberFormat="1" applyFont="1" applyFill="1" applyBorder="1" applyAlignment="1">
      <alignment horizontal="right" vertical="center" wrapText="1"/>
    </xf>
    <xf numFmtId="3" fontId="2" fillId="11" borderId="73" xfId="0" applyNumberFormat="1" applyFont="1" applyFill="1" applyBorder="1" applyAlignment="1">
      <alignment horizontal="right" vertical="center"/>
    </xf>
    <xf numFmtId="3" fontId="9" fillId="0" borderId="77" xfId="0" applyNumberFormat="1" applyFont="1" applyBorder="1" applyAlignment="1">
      <alignment horizontal="right" vertical="top"/>
    </xf>
    <xf numFmtId="3" fontId="9" fillId="0" borderId="69" xfId="0" applyNumberFormat="1" applyFont="1" applyBorder="1" applyAlignment="1">
      <alignment horizontal="right" vertical="top"/>
    </xf>
    <xf numFmtId="3" fontId="3" fillId="11" borderId="12" xfId="0" applyNumberFormat="1" applyFont="1" applyFill="1" applyBorder="1" applyAlignment="1">
      <alignment horizontal="right" vertical="top"/>
    </xf>
    <xf numFmtId="3" fontId="9" fillId="0" borderId="58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3" fontId="3" fillId="11" borderId="1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top"/>
    </xf>
    <xf numFmtId="3" fontId="11" fillId="11" borderId="59" xfId="0" applyNumberFormat="1" applyFont="1" applyFill="1" applyBorder="1" applyAlignment="1">
      <alignment horizontal="right" vertical="top"/>
    </xf>
    <xf numFmtId="3" fontId="11" fillId="4" borderId="3" xfId="0" applyNumberFormat="1" applyFont="1" applyFill="1" applyBorder="1" applyAlignment="1">
      <alignment horizontal="right" vertical="top"/>
    </xf>
    <xf numFmtId="3" fontId="11" fillId="4" borderId="118" xfId="0" applyNumberFormat="1" applyFont="1" applyFill="1" applyBorder="1" applyAlignment="1">
      <alignment horizontal="right" vertical="top"/>
    </xf>
    <xf numFmtId="3" fontId="11" fillId="4" borderId="24" xfId="0" applyNumberFormat="1" applyFont="1" applyFill="1" applyBorder="1" applyAlignment="1">
      <alignment horizontal="right" vertical="top"/>
    </xf>
    <xf numFmtId="3" fontId="9" fillId="11" borderId="0" xfId="0" applyNumberFormat="1" applyFont="1" applyFill="1" applyBorder="1" applyAlignment="1">
      <alignment horizontal="right" vertical="top"/>
    </xf>
    <xf numFmtId="3" fontId="7" fillId="11" borderId="77" xfId="0" applyNumberFormat="1" applyFont="1" applyFill="1" applyBorder="1" applyAlignment="1">
      <alignment horizontal="right" vertical="top"/>
    </xf>
    <xf numFmtId="3" fontId="9" fillId="7" borderId="2" xfId="0" applyNumberFormat="1" applyFont="1" applyFill="1" applyBorder="1" applyAlignment="1">
      <alignment horizontal="right" vertical="top" wrapText="1"/>
    </xf>
    <xf numFmtId="3" fontId="11" fillId="4" borderId="9" xfId="0" applyNumberFormat="1" applyFont="1" applyFill="1" applyBorder="1" applyAlignment="1">
      <alignment horizontal="right" vertical="top"/>
    </xf>
    <xf numFmtId="3" fontId="11" fillId="12" borderId="9" xfId="0" applyNumberFormat="1" applyFont="1" applyFill="1" applyBorder="1" applyAlignment="1">
      <alignment horizontal="right" vertical="top"/>
    </xf>
    <xf numFmtId="3" fontId="11" fillId="12" borderId="3" xfId="0" applyNumberFormat="1" applyFont="1" applyFill="1" applyBorder="1" applyAlignment="1">
      <alignment horizontal="right" vertical="top"/>
    </xf>
    <xf numFmtId="3" fontId="11" fillId="12" borderId="24" xfId="0" applyNumberFormat="1" applyFont="1" applyFill="1" applyBorder="1" applyAlignment="1">
      <alignment horizontal="right" vertical="top"/>
    </xf>
    <xf numFmtId="3" fontId="11" fillId="10" borderId="9" xfId="0" applyNumberFormat="1" applyFont="1" applyFill="1" applyBorder="1" applyAlignment="1">
      <alignment horizontal="right" vertical="top"/>
    </xf>
    <xf numFmtId="3" fontId="11" fillId="10" borderId="24" xfId="0" applyNumberFormat="1" applyFont="1" applyFill="1" applyBorder="1" applyAlignment="1">
      <alignment horizontal="right" vertical="top"/>
    </xf>
    <xf numFmtId="3" fontId="11" fillId="10" borderId="37" xfId="0" applyNumberFormat="1" applyFont="1" applyFill="1" applyBorder="1" applyAlignment="1">
      <alignment horizontal="right" vertical="top" wrapText="1"/>
    </xf>
    <xf numFmtId="3" fontId="11" fillId="10" borderId="15" xfId="0" applyNumberFormat="1" applyFont="1" applyFill="1" applyBorder="1" applyAlignment="1">
      <alignment horizontal="right" vertical="top" wrapText="1"/>
    </xf>
    <xf numFmtId="3" fontId="9" fillId="11" borderId="8" xfId="0" applyNumberFormat="1" applyFont="1" applyFill="1" applyBorder="1" applyAlignment="1">
      <alignment horizontal="right" vertical="top" wrapText="1"/>
    </xf>
    <xf numFmtId="3" fontId="9" fillId="11" borderId="2" xfId="0" applyNumberFormat="1" applyFont="1" applyFill="1" applyBorder="1" applyAlignment="1">
      <alignment horizontal="right" vertical="top" wrapText="1"/>
    </xf>
    <xf numFmtId="3" fontId="9" fillId="0" borderId="8" xfId="0" applyNumberFormat="1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3" fontId="11" fillId="10" borderId="7" xfId="0" applyNumberFormat="1" applyFont="1" applyFill="1" applyBorder="1" applyAlignment="1">
      <alignment horizontal="right" vertical="top" wrapText="1"/>
    </xf>
    <xf numFmtId="3" fontId="11" fillId="10" borderId="4" xfId="0" applyNumberFormat="1" applyFont="1" applyFill="1" applyBorder="1" applyAlignment="1">
      <alignment horizontal="right" vertical="top" wrapText="1"/>
    </xf>
    <xf numFmtId="3" fontId="11" fillId="11" borderId="13" xfId="0" applyNumberFormat="1" applyFont="1" applyFill="1" applyBorder="1" applyAlignment="1">
      <alignment horizontal="right" vertical="top" wrapText="1"/>
    </xf>
    <xf numFmtId="3" fontId="11" fillId="11" borderId="10" xfId="0" applyNumberFormat="1" applyFont="1" applyFill="1" applyBorder="1" applyAlignment="1">
      <alignment horizontal="right" vertical="top" wrapText="1"/>
    </xf>
    <xf numFmtId="165" fontId="9" fillId="7" borderId="25" xfId="0" applyNumberFormat="1" applyFont="1" applyFill="1" applyBorder="1" applyAlignment="1">
      <alignment vertical="top"/>
    </xf>
    <xf numFmtId="165" fontId="9" fillId="7" borderId="39" xfId="0" applyNumberFormat="1" applyFont="1" applyFill="1" applyBorder="1" applyAlignment="1">
      <alignment vertical="top"/>
    </xf>
    <xf numFmtId="3" fontId="9" fillId="11" borderId="12" xfId="0" applyNumberFormat="1" applyFont="1" applyFill="1" applyBorder="1" applyAlignment="1">
      <alignment horizontal="right" vertical="top"/>
    </xf>
    <xf numFmtId="164" fontId="10" fillId="7" borderId="0" xfId="0" applyNumberFormat="1" applyFont="1" applyFill="1" applyBorder="1" applyAlignment="1">
      <alignment vertical="top"/>
    </xf>
    <xf numFmtId="3" fontId="10" fillId="7" borderId="0" xfId="0" applyNumberFormat="1" applyFont="1" applyFill="1" applyAlignment="1">
      <alignment vertical="top"/>
    </xf>
    <xf numFmtId="3" fontId="10" fillId="7" borderId="0" xfId="0" applyNumberFormat="1" applyFont="1" applyFill="1" applyBorder="1" applyAlignment="1">
      <alignment vertical="top"/>
    </xf>
    <xf numFmtId="164" fontId="9" fillId="7" borderId="108" xfId="0" applyNumberFormat="1" applyFont="1" applyFill="1" applyBorder="1" applyAlignment="1">
      <alignment horizontal="center" vertical="top"/>
    </xf>
    <xf numFmtId="0" fontId="11" fillId="0" borderId="41" xfId="4" applyNumberFormat="1" applyFont="1" applyBorder="1" applyAlignment="1">
      <alignment horizontal="center" vertical="top"/>
    </xf>
    <xf numFmtId="0" fontId="11" fillId="0" borderId="32" xfId="4" applyNumberFormat="1" applyFont="1" applyBorder="1" applyAlignment="1">
      <alignment horizontal="center" vertical="top"/>
    </xf>
    <xf numFmtId="0" fontId="9" fillId="7" borderId="38" xfId="0" applyFont="1" applyFill="1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49" fontId="11" fillId="4" borderId="31" xfId="0" applyNumberFormat="1" applyFont="1" applyFill="1" applyBorder="1" applyAlignment="1">
      <alignment vertical="top"/>
    </xf>
    <xf numFmtId="0" fontId="9" fillId="7" borderId="31" xfId="0" applyFont="1" applyFill="1" applyBorder="1" applyAlignment="1">
      <alignment vertical="top" wrapText="1"/>
    </xf>
    <xf numFmtId="0" fontId="7" fillId="0" borderId="87" xfId="0" applyFont="1" applyFill="1" applyBorder="1" applyAlignment="1">
      <alignment vertical="top" wrapText="1"/>
    </xf>
    <xf numFmtId="0" fontId="9" fillId="0" borderId="87" xfId="0" applyFont="1" applyBorder="1" applyAlignment="1">
      <alignment vertical="top" wrapText="1"/>
    </xf>
    <xf numFmtId="0" fontId="9" fillId="0" borderId="31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164" fontId="9" fillId="11" borderId="105" xfId="0" applyNumberFormat="1" applyFont="1" applyFill="1" applyBorder="1" applyAlignment="1">
      <alignment vertical="top"/>
    </xf>
    <xf numFmtId="165" fontId="7" fillId="11" borderId="97" xfId="0" applyNumberFormat="1" applyFont="1" applyFill="1" applyBorder="1" applyAlignment="1">
      <alignment horizontal="right" vertical="top"/>
    </xf>
    <xf numFmtId="165" fontId="7" fillId="11" borderId="56" xfId="0" applyNumberFormat="1" applyFont="1" applyFill="1" applyBorder="1" applyAlignment="1">
      <alignment horizontal="right" vertical="top"/>
    </xf>
    <xf numFmtId="164" fontId="11" fillId="13" borderId="30" xfId="0" applyNumberFormat="1" applyFont="1" applyFill="1" applyBorder="1" applyAlignment="1">
      <alignment vertical="top"/>
    </xf>
    <xf numFmtId="164" fontId="11" fillId="13" borderId="29" xfId="0" applyNumberFormat="1" applyFont="1" applyFill="1" applyBorder="1" applyAlignment="1">
      <alignment vertical="top"/>
    </xf>
    <xf numFmtId="164" fontId="11" fillId="13" borderId="36" xfId="0" applyNumberFormat="1" applyFont="1" applyFill="1" applyBorder="1" applyAlignment="1">
      <alignment vertical="top"/>
    </xf>
    <xf numFmtId="164" fontId="11" fillId="13" borderId="74" xfId="0" applyNumberFormat="1" applyFont="1" applyFill="1" applyBorder="1" applyAlignment="1">
      <alignment vertical="top"/>
    </xf>
    <xf numFmtId="164" fontId="9" fillId="0" borderId="75" xfId="0" applyNumberFormat="1" applyFont="1" applyFill="1" applyBorder="1" applyAlignment="1">
      <alignment vertical="top"/>
    </xf>
    <xf numFmtId="164" fontId="9" fillId="0" borderId="70" xfId="0" applyNumberFormat="1" applyFont="1" applyFill="1" applyBorder="1" applyAlignment="1">
      <alignment vertical="top"/>
    </xf>
    <xf numFmtId="164" fontId="9" fillId="0" borderId="76" xfId="0" applyNumberFormat="1" applyFont="1" applyFill="1" applyBorder="1" applyAlignment="1">
      <alignment vertical="top"/>
    </xf>
    <xf numFmtId="164" fontId="9" fillId="0" borderId="84" xfId="0" applyNumberFormat="1" applyFont="1" applyFill="1" applyBorder="1" applyAlignment="1">
      <alignment vertical="top"/>
    </xf>
    <xf numFmtId="164" fontId="9" fillId="0" borderId="105" xfId="0" applyNumberFormat="1" applyFont="1" applyFill="1" applyBorder="1" applyAlignment="1">
      <alignment vertical="top"/>
    </xf>
    <xf numFmtId="164" fontId="9" fillId="0" borderId="56" xfId="0" applyNumberFormat="1" applyFont="1" applyFill="1" applyBorder="1" applyAlignment="1">
      <alignment vertical="top"/>
    </xf>
    <xf numFmtId="164" fontId="9" fillId="7" borderId="97" xfId="0" applyNumberFormat="1" applyFont="1" applyFill="1" applyBorder="1" applyAlignment="1">
      <alignment vertical="top"/>
    </xf>
    <xf numFmtId="164" fontId="9" fillId="7" borderId="56" xfId="0" applyNumberFormat="1" applyFont="1" applyFill="1" applyBorder="1" applyAlignment="1">
      <alignment vertical="top"/>
    </xf>
    <xf numFmtId="165" fontId="7" fillId="0" borderId="97" xfId="0" applyNumberFormat="1" applyFont="1" applyFill="1" applyBorder="1" applyAlignment="1">
      <alignment horizontal="right" vertical="top"/>
    </xf>
    <xf numFmtId="165" fontId="7" fillId="0" borderId="56" xfId="0" applyNumberFormat="1" applyFont="1" applyFill="1" applyBorder="1" applyAlignment="1">
      <alignment horizontal="right" vertical="top"/>
    </xf>
    <xf numFmtId="3" fontId="9" fillId="11" borderId="67" xfId="0" applyNumberFormat="1" applyFont="1" applyFill="1" applyBorder="1" applyAlignment="1">
      <alignment horizontal="right" vertical="top"/>
    </xf>
    <xf numFmtId="3" fontId="9" fillId="0" borderId="83" xfId="0" applyNumberFormat="1" applyFont="1" applyBorder="1" applyAlignment="1">
      <alignment horizontal="right" vertical="top"/>
    </xf>
    <xf numFmtId="3" fontId="9" fillId="0" borderId="0" xfId="0" applyNumberFormat="1" applyFont="1" applyBorder="1" applyAlignment="1">
      <alignment horizontal="right" vertical="top"/>
    </xf>
    <xf numFmtId="3" fontId="9" fillId="7" borderId="0" xfId="0" applyNumberFormat="1" applyFont="1" applyFill="1" applyBorder="1" applyAlignment="1">
      <alignment horizontal="right" vertical="top"/>
    </xf>
    <xf numFmtId="0" fontId="9" fillId="7" borderId="4" xfId="0" applyFont="1" applyFill="1" applyBorder="1" applyAlignment="1">
      <alignment horizontal="center" vertical="top"/>
    </xf>
    <xf numFmtId="3" fontId="7" fillId="7" borderId="7" xfId="0" applyNumberFormat="1" applyFont="1" applyFill="1" applyBorder="1" applyAlignment="1">
      <alignment horizontal="right" vertical="top"/>
    </xf>
    <xf numFmtId="3" fontId="7" fillId="7" borderId="4" xfId="0" applyNumberFormat="1" applyFont="1" applyFill="1" applyBorder="1" applyAlignment="1">
      <alignment horizontal="right" vertical="top"/>
    </xf>
    <xf numFmtId="3" fontId="7" fillId="11" borderId="76" xfId="0" applyNumberFormat="1" applyFont="1" applyFill="1" applyBorder="1" applyAlignment="1">
      <alignment horizontal="right" vertical="top"/>
    </xf>
    <xf numFmtId="3" fontId="7" fillId="11" borderId="22" xfId="0" applyNumberFormat="1" applyFont="1" applyFill="1" applyBorder="1" applyAlignment="1">
      <alignment horizontal="right" vertical="top"/>
    </xf>
    <xf numFmtId="3" fontId="9" fillId="0" borderId="37" xfId="0" applyNumberFormat="1" applyFont="1" applyBorder="1" applyAlignment="1">
      <alignment horizontal="right" vertical="top"/>
    </xf>
    <xf numFmtId="3" fontId="7" fillId="11" borderId="0" xfId="0" applyNumberFormat="1" applyFont="1" applyFill="1" applyBorder="1" applyAlignment="1">
      <alignment horizontal="right" vertical="top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textRotation="90" wrapText="1"/>
    </xf>
    <xf numFmtId="0" fontId="12" fillId="0" borderId="28" xfId="1" applyFont="1" applyBorder="1" applyAlignment="1">
      <alignment horizontal="center" vertical="center" textRotation="90" wrapText="1"/>
    </xf>
    <xf numFmtId="49" fontId="12" fillId="0" borderId="12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0" fontId="12" fillId="0" borderId="37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2" fillId="0" borderId="38" xfId="1" applyFont="1" applyBorder="1" applyAlignment="1">
      <alignment horizontal="center" vertical="center"/>
    </xf>
    <xf numFmtId="0" fontId="12" fillId="0" borderId="65" xfId="1" applyFont="1" applyFill="1" applyBorder="1" applyAlignment="1">
      <alignment horizontal="center" vertical="center" textRotation="90" wrapText="1"/>
    </xf>
    <xf numFmtId="0" fontId="12" fillId="0" borderId="64" xfId="1" applyFont="1" applyFill="1" applyBorder="1" applyAlignment="1">
      <alignment horizontal="center" vertical="center" textRotation="90" wrapText="1"/>
    </xf>
    <xf numFmtId="0" fontId="7" fillId="0" borderId="20" xfId="1" applyFont="1" applyFill="1" applyBorder="1" applyAlignment="1">
      <alignment horizontal="center" vertical="top" wrapText="1"/>
    </xf>
    <xf numFmtId="0" fontId="7" fillId="0" borderId="21" xfId="1" applyFont="1" applyFill="1" applyBorder="1" applyAlignment="1">
      <alignment horizontal="center" vertical="top" wrapText="1"/>
    </xf>
    <xf numFmtId="0" fontId="10" fillId="0" borderId="28" xfId="1" applyFont="1" applyFill="1" applyBorder="1" applyAlignment="1">
      <alignment horizontal="center" vertical="top" wrapText="1"/>
    </xf>
    <xf numFmtId="0" fontId="10" fillId="0" borderId="21" xfId="1" applyFont="1" applyFill="1" applyBorder="1" applyAlignment="1">
      <alignment horizontal="center" vertical="top" wrapText="1"/>
    </xf>
    <xf numFmtId="49" fontId="7" fillId="0" borderId="64" xfId="1" applyNumberFormat="1" applyFont="1" applyBorder="1" applyAlignment="1">
      <alignment horizontal="center" vertical="top"/>
    </xf>
    <xf numFmtId="49" fontId="7" fillId="0" borderId="32" xfId="1" applyNumberFormat="1" applyFont="1" applyBorder="1" applyAlignment="1">
      <alignment horizontal="center" vertical="top"/>
    </xf>
    <xf numFmtId="49" fontId="6" fillId="3" borderId="9" xfId="1" applyNumberFormat="1" applyFont="1" applyFill="1" applyBorder="1" applyAlignment="1">
      <alignment horizontal="left" vertical="top"/>
    </xf>
    <xf numFmtId="49" fontId="6" fillId="3" borderId="78" xfId="1" applyNumberFormat="1" applyFont="1" applyFill="1" applyBorder="1" applyAlignment="1">
      <alignment horizontal="left" vertical="top"/>
    </xf>
    <xf numFmtId="49" fontId="6" fillId="3" borderId="79" xfId="1" applyNumberFormat="1" applyFont="1" applyFill="1" applyBorder="1" applyAlignment="1">
      <alignment horizontal="left" vertical="top"/>
    </xf>
    <xf numFmtId="49" fontId="2" fillId="4" borderId="17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5" fillId="6" borderId="17" xfId="0" applyFont="1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8" fillId="3" borderId="9" xfId="1" applyFont="1" applyFill="1" applyBorder="1" applyAlignment="1">
      <alignment horizontal="left" vertical="center" wrapText="1"/>
    </xf>
    <xf numFmtId="0" fontId="8" fillId="3" borderId="78" xfId="1" applyFont="1" applyFill="1" applyBorder="1" applyAlignment="1">
      <alignment horizontal="left" vertical="center" wrapText="1"/>
    </xf>
    <xf numFmtId="0" fontId="8" fillId="3" borderId="79" xfId="1" applyFont="1" applyFill="1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 textRotation="90" wrapText="1"/>
    </xf>
    <xf numFmtId="0" fontId="12" fillId="0" borderId="53" xfId="1" applyFont="1" applyBorder="1" applyAlignment="1">
      <alignment horizontal="center" vertical="center" textRotation="90" wrapText="1"/>
    </xf>
    <xf numFmtId="0" fontId="12" fillId="0" borderId="25" xfId="1" applyFont="1" applyBorder="1" applyAlignment="1">
      <alignment horizontal="center" vertical="center" textRotation="90" wrapText="1"/>
    </xf>
    <xf numFmtId="0" fontId="12" fillId="0" borderId="39" xfId="1" applyFont="1" applyBorder="1" applyAlignment="1">
      <alignment horizontal="center" vertical="center" textRotation="90" wrapText="1"/>
    </xf>
    <xf numFmtId="0" fontId="12" fillId="0" borderId="26" xfId="1" applyFont="1" applyBorder="1" applyAlignment="1">
      <alignment horizontal="center" vertical="center" textRotation="90" wrapText="1"/>
    </xf>
    <xf numFmtId="0" fontId="12" fillId="0" borderId="38" xfId="1" applyFont="1" applyBorder="1" applyAlignment="1">
      <alignment horizontal="center" vertical="center" textRotation="90" wrapText="1"/>
    </xf>
    <xf numFmtId="0" fontId="12" fillId="0" borderId="16" xfId="1" applyFont="1" applyBorder="1" applyAlignment="1">
      <alignment horizontal="center" vertical="center" textRotation="90" wrapText="1"/>
    </xf>
    <xf numFmtId="49" fontId="6" fillId="4" borderId="17" xfId="1" applyNumberFormat="1" applyFont="1" applyFill="1" applyBorder="1" applyAlignment="1">
      <alignment horizontal="center" vertical="top"/>
    </xf>
    <xf numFmtId="49" fontId="6" fillId="4" borderId="19" xfId="1" applyNumberFormat="1" applyFont="1" applyFill="1" applyBorder="1" applyAlignment="1">
      <alignment horizontal="center" vertical="top"/>
    </xf>
    <xf numFmtId="49" fontId="6" fillId="4" borderId="18" xfId="1" applyNumberFormat="1" applyFont="1" applyFill="1" applyBorder="1" applyAlignment="1">
      <alignment horizontal="center" vertical="top"/>
    </xf>
    <xf numFmtId="0" fontId="12" fillId="0" borderId="15" xfId="1" applyNumberFormat="1" applyFont="1" applyBorder="1" applyAlignment="1">
      <alignment horizontal="center" vertical="center" textRotation="90" wrapText="1"/>
    </xf>
    <xf numFmtId="0" fontId="12" fillId="0" borderId="4" xfId="1" applyNumberFormat="1" applyFont="1" applyBorder="1" applyAlignment="1">
      <alignment horizontal="center" vertical="center" textRotation="90" wrapText="1"/>
    </xf>
    <xf numFmtId="0" fontId="12" fillId="0" borderId="15" xfId="1" applyFont="1" applyBorder="1" applyAlignment="1">
      <alignment horizontal="center" vertical="center" textRotation="90" wrapText="1"/>
    </xf>
    <xf numFmtId="0" fontId="12" fillId="0" borderId="4" xfId="1" applyFont="1" applyBorder="1" applyAlignment="1">
      <alignment horizontal="center" vertical="center" textRotation="90" wrapText="1"/>
    </xf>
    <xf numFmtId="49" fontId="6" fillId="5" borderId="28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horizontal="center" vertical="top"/>
    </xf>
    <xf numFmtId="49" fontId="6" fillId="0" borderId="53" xfId="1" applyNumberFormat="1" applyFont="1" applyBorder="1" applyAlignment="1">
      <alignment horizontal="center" vertical="top"/>
    </xf>
    <xf numFmtId="49" fontId="6" fillId="0" borderId="31" xfId="1" applyNumberFormat="1" applyFont="1" applyBorder="1" applyAlignment="1">
      <alignment horizontal="center" vertical="top"/>
    </xf>
    <xf numFmtId="0" fontId="9" fillId="0" borderId="19" xfId="1" applyFont="1" applyFill="1" applyBorder="1" applyAlignment="1">
      <alignment horizontal="left" vertical="top" wrapText="1"/>
    </xf>
    <xf numFmtId="0" fontId="9" fillId="0" borderId="18" xfId="1" applyFont="1" applyFill="1" applyBorder="1" applyAlignment="1">
      <alignment horizontal="left" vertical="top" wrapText="1"/>
    </xf>
    <xf numFmtId="49" fontId="11" fillId="4" borderId="68" xfId="0" applyNumberFormat="1" applyFont="1" applyFill="1" applyBorder="1" applyAlignment="1">
      <alignment horizontal="right" vertical="top"/>
    </xf>
    <xf numFmtId="49" fontId="11" fillId="4" borderId="78" xfId="0" applyNumberFormat="1" applyFont="1" applyFill="1" applyBorder="1" applyAlignment="1">
      <alignment horizontal="right" vertical="top"/>
    </xf>
    <xf numFmtId="49" fontId="11" fillId="4" borderId="23" xfId="0" applyNumberFormat="1" applyFont="1" applyFill="1" applyBorder="1" applyAlignment="1">
      <alignment horizontal="right" vertical="top"/>
    </xf>
    <xf numFmtId="0" fontId="12" fillId="0" borderId="60" xfId="1" applyFont="1" applyBorder="1" applyAlignment="1">
      <alignment horizontal="center" vertical="center" textRotation="90" wrapText="1"/>
    </xf>
    <xf numFmtId="0" fontId="12" fillId="0" borderId="61" xfId="1" applyFont="1" applyBorder="1" applyAlignment="1">
      <alignment horizontal="center" vertical="center" textRotation="90" wrapText="1"/>
    </xf>
    <xf numFmtId="0" fontId="12" fillId="0" borderId="63" xfId="1" applyFont="1" applyBorder="1" applyAlignment="1">
      <alignment horizontal="center" vertical="center" textRotation="90" wrapText="1"/>
    </xf>
    <xf numFmtId="49" fontId="6" fillId="0" borderId="40" xfId="1" applyNumberFormat="1" applyFont="1" applyBorder="1" applyAlignment="1">
      <alignment horizontal="center" vertical="top"/>
    </xf>
    <xf numFmtId="0" fontId="9" fillId="0" borderId="17" xfId="1" applyFont="1" applyFill="1" applyBorder="1" applyAlignment="1">
      <alignment vertical="top" wrapText="1"/>
    </xf>
    <xf numFmtId="0" fontId="9" fillId="0" borderId="19" xfId="1" applyFont="1" applyFill="1" applyBorder="1" applyAlignment="1">
      <alignment vertical="top" wrapText="1"/>
    </xf>
    <xf numFmtId="0" fontId="15" fillId="0" borderId="19" xfId="1" applyFont="1" applyBorder="1" applyAlignment="1">
      <alignment vertical="top" wrapText="1"/>
    </xf>
    <xf numFmtId="49" fontId="7" fillId="0" borderId="41" xfId="1" applyNumberFormat="1" applyFont="1" applyBorder="1" applyAlignment="1">
      <alignment horizontal="center" vertical="top"/>
    </xf>
    <xf numFmtId="0" fontId="7" fillId="0" borderId="37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7" fillId="0" borderId="13" xfId="1" applyFont="1" applyBorder="1" applyAlignment="1">
      <alignment horizontal="center" vertical="top"/>
    </xf>
    <xf numFmtId="0" fontId="9" fillId="0" borderId="17" xfId="1" applyFont="1" applyFill="1" applyBorder="1" applyAlignment="1">
      <alignment horizontal="left" vertical="top" wrapText="1"/>
    </xf>
    <xf numFmtId="49" fontId="11" fillId="0" borderId="4" xfId="1" applyNumberFormat="1" applyFont="1" applyBorder="1" applyAlignment="1">
      <alignment horizontal="center" vertical="top"/>
    </xf>
    <xf numFmtId="49" fontId="11" fillId="0" borderId="10" xfId="1" applyNumberFormat="1" applyFont="1" applyBorder="1" applyAlignment="1">
      <alignment horizontal="center" vertical="top"/>
    </xf>
    <xf numFmtId="0" fontId="5" fillId="0" borderId="4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49" fontId="2" fillId="5" borderId="20" xfId="0" applyNumberFormat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49" fontId="11" fillId="0" borderId="15" xfId="1" applyNumberFormat="1" applyFont="1" applyBorder="1" applyAlignment="1">
      <alignment horizontal="center" vertical="top"/>
    </xf>
    <xf numFmtId="49" fontId="6" fillId="3" borderId="37" xfId="1" applyNumberFormat="1" applyFont="1" applyFill="1" applyBorder="1" applyAlignment="1">
      <alignment horizontal="left" vertical="top"/>
    </xf>
    <xf numFmtId="49" fontId="6" fillId="3" borderId="22" xfId="1" applyNumberFormat="1" applyFont="1" applyFill="1" applyBorder="1" applyAlignment="1">
      <alignment horizontal="left" vertical="top"/>
    </xf>
    <xf numFmtId="49" fontId="6" fillId="3" borderId="80" xfId="1" applyNumberFormat="1" applyFont="1" applyFill="1" applyBorder="1" applyAlignment="1">
      <alignment horizontal="left" vertical="top"/>
    </xf>
    <xf numFmtId="49" fontId="19" fillId="0" borderId="15" xfId="0" applyNumberFormat="1" applyFont="1" applyBorder="1" applyAlignment="1">
      <alignment horizontal="center" vertical="top" wrapText="1"/>
    </xf>
    <xf numFmtId="49" fontId="11" fillId="3" borderId="9" xfId="0" applyNumberFormat="1" applyFont="1" applyFill="1" applyBorder="1" applyAlignment="1">
      <alignment horizontal="left" vertical="top"/>
    </xf>
    <xf numFmtId="49" fontId="11" fillId="3" borderId="78" xfId="0" applyNumberFormat="1" applyFont="1" applyFill="1" applyBorder="1" applyAlignment="1">
      <alignment horizontal="left" vertical="top"/>
    </xf>
    <xf numFmtId="49" fontId="11" fillId="3" borderId="79" xfId="0" applyNumberFormat="1" applyFont="1" applyFill="1" applyBorder="1" applyAlignment="1">
      <alignment horizontal="left" vertical="top"/>
    </xf>
    <xf numFmtId="49" fontId="19" fillId="0" borderId="88" xfId="0" applyNumberFormat="1" applyFont="1" applyBorder="1" applyAlignment="1">
      <alignment horizontal="center" vertical="top" wrapText="1"/>
    </xf>
    <xf numFmtId="0" fontId="0" fillId="0" borderId="89" xfId="0" applyBorder="1" applyAlignment="1">
      <alignment horizontal="center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49" fontId="19" fillId="0" borderId="58" xfId="0" applyNumberFormat="1" applyFont="1" applyBorder="1" applyAlignment="1">
      <alignment horizontal="center" vertical="top"/>
    </xf>
    <xf numFmtId="49" fontId="12" fillId="0" borderId="59" xfId="0" applyNumberFormat="1" applyFont="1" applyBorder="1" applyAlignment="1">
      <alignment horizontal="center" vertical="top"/>
    </xf>
    <xf numFmtId="49" fontId="2" fillId="4" borderId="40" xfId="0" applyNumberFormat="1" applyFont="1" applyFill="1" applyBorder="1" applyAlignment="1">
      <alignment horizontal="center" vertical="top" wrapText="1"/>
    </xf>
    <xf numFmtId="49" fontId="2" fillId="5" borderId="25" xfId="0" applyNumberFormat="1" applyFont="1" applyFill="1" applyBorder="1" applyAlignment="1">
      <alignment horizontal="center" vertical="top"/>
    </xf>
    <xf numFmtId="49" fontId="2" fillId="5" borderId="30" xfId="0" applyNumberFormat="1" applyFont="1" applyFill="1" applyBorder="1" applyAlignment="1">
      <alignment horizontal="center" vertical="top"/>
    </xf>
    <xf numFmtId="49" fontId="2" fillId="4" borderId="26" xfId="0" applyNumberFormat="1" applyFont="1" applyFill="1" applyBorder="1" applyAlignment="1">
      <alignment horizontal="center" vertical="top"/>
    </xf>
    <xf numFmtId="49" fontId="2" fillId="4" borderId="29" xfId="0" applyNumberFormat="1" applyFont="1" applyFill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 vertical="top"/>
    </xf>
    <xf numFmtId="0" fontId="5" fillId="6" borderId="41" xfId="0" applyFont="1" applyFill="1" applyBorder="1" applyAlignment="1">
      <alignment horizontal="left" vertical="top" wrapText="1"/>
    </xf>
    <xf numFmtId="0" fontId="13" fillId="6" borderId="32" xfId="0" applyFont="1" applyFill="1" applyBorder="1" applyAlignment="1">
      <alignment horizontal="left" vertical="top" wrapText="1"/>
    </xf>
    <xf numFmtId="0" fontId="5" fillId="3" borderId="41" xfId="0" applyFont="1" applyFill="1" applyBorder="1" applyAlignment="1">
      <alignment horizontal="left" vertical="top" wrapText="1"/>
    </xf>
    <xf numFmtId="0" fontId="13" fillId="3" borderId="32" xfId="0" applyFont="1" applyFill="1" applyBorder="1" applyAlignment="1">
      <alignment horizontal="left" vertical="top" wrapText="1"/>
    </xf>
    <xf numFmtId="0" fontId="4" fillId="6" borderId="41" xfId="0" applyFont="1" applyFill="1" applyBorder="1" applyAlignment="1">
      <alignment horizontal="left" vertical="top" wrapText="1"/>
    </xf>
    <xf numFmtId="0" fontId="18" fillId="6" borderId="32" xfId="0" applyFont="1" applyFill="1" applyBorder="1" applyAlignment="1">
      <alignment horizontal="left" vertical="top" wrapText="1"/>
    </xf>
    <xf numFmtId="49" fontId="2" fillId="5" borderId="28" xfId="0" applyNumberFormat="1" applyFont="1" applyFill="1" applyBorder="1" applyAlignment="1">
      <alignment horizontal="center" vertical="top"/>
    </xf>
    <xf numFmtId="49" fontId="2" fillId="4" borderId="53" xfId="0" applyNumberFormat="1" applyFont="1" applyFill="1" applyBorder="1" applyAlignment="1">
      <alignment horizontal="center" vertical="top"/>
    </xf>
    <xf numFmtId="49" fontId="2" fillId="0" borderId="53" xfId="0" applyNumberFormat="1" applyFont="1" applyBorder="1" applyAlignment="1">
      <alignment horizontal="center" vertical="top"/>
    </xf>
    <xf numFmtId="49" fontId="2" fillId="4" borderId="31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49" fontId="11" fillId="3" borderId="68" xfId="0" applyNumberFormat="1" applyFont="1" applyFill="1" applyBorder="1" applyAlignment="1">
      <alignment horizontal="right" vertical="top"/>
    </xf>
    <xf numFmtId="49" fontId="11" fillId="3" borderId="78" xfId="0" applyNumberFormat="1" applyFont="1" applyFill="1" applyBorder="1" applyAlignment="1">
      <alignment horizontal="right" vertical="top"/>
    </xf>
    <xf numFmtId="49" fontId="11" fillId="3" borderId="79" xfId="0" applyNumberFormat="1" applyFont="1" applyFill="1" applyBorder="1" applyAlignment="1">
      <alignment horizontal="right" vertical="top"/>
    </xf>
    <xf numFmtId="0" fontId="21" fillId="6" borderId="41" xfId="0" applyFont="1" applyFill="1" applyBorder="1" applyAlignment="1">
      <alignment horizontal="left" vertical="top" wrapText="1"/>
    </xf>
    <xf numFmtId="0" fontId="22" fillId="6" borderId="32" xfId="0" applyFont="1" applyFill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49" fontId="11" fillId="4" borderId="79" xfId="0" applyNumberFormat="1" applyFont="1" applyFill="1" applyBorder="1" applyAlignment="1">
      <alignment horizontal="right" vertical="top"/>
    </xf>
    <xf numFmtId="49" fontId="2" fillId="0" borderId="31" xfId="0" applyNumberFormat="1" applyFont="1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88" xfId="0" applyBorder="1" applyAlignment="1">
      <alignment horizontal="center" vertical="top" wrapText="1"/>
    </xf>
    <xf numFmtId="49" fontId="2" fillId="5" borderId="37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49" fontId="19" fillId="0" borderId="0" xfId="0" applyNumberFormat="1" applyFont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 wrapText="1"/>
    </xf>
    <xf numFmtId="0" fontId="4" fillId="6" borderId="32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49" fontId="19" fillId="0" borderId="89" xfId="0" applyNumberFormat="1" applyFont="1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11" fillId="7" borderId="83" xfId="4" applyNumberFormat="1" applyFont="1" applyFill="1" applyBorder="1" applyAlignment="1">
      <alignment horizontal="center" vertical="top"/>
    </xf>
    <xf numFmtId="0" fontId="0" fillId="0" borderId="66" xfId="0" applyBorder="1" applyAlignment="1">
      <alignment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9" fillId="7" borderId="16" xfId="0" applyFont="1" applyFill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26" fillId="0" borderId="0" xfId="0" applyFont="1" applyAlignment="1">
      <alignment horizontal="center" vertical="top" wrapText="1"/>
    </xf>
    <xf numFmtId="0" fontId="9" fillId="0" borderId="20" xfId="0" applyFont="1" applyBorder="1" applyAlignment="1">
      <alignment horizontal="center" vertical="center" textRotation="90" shrinkToFit="1"/>
    </xf>
    <xf numFmtId="0" fontId="9" fillId="0" borderId="28" xfId="0" applyFont="1" applyBorder="1" applyAlignment="1">
      <alignment horizontal="center" vertical="center" textRotation="90" shrinkToFit="1"/>
    </xf>
    <xf numFmtId="0" fontId="9" fillId="0" borderId="21" xfId="0" applyFont="1" applyBorder="1" applyAlignment="1">
      <alignment horizontal="center" vertical="center" textRotation="90" shrinkToFit="1"/>
    </xf>
    <xf numFmtId="0" fontId="9" fillId="0" borderId="40" xfId="0" applyFont="1" applyBorder="1" applyAlignment="1">
      <alignment horizontal="center" vertical="center" textRotation="90" shrinkToFit="1"/>
    </xf>
    <xf numFmtId="0" fontId="9" fillId="0" borderId="53" xfId="0" applyFont="1" applyBorder="1" applyAlignment="1">
      <alignment horizontal="center" vertical="center" textRotation="90" shrinkToFit="1"/>
    </xf>
    <xf numFmtId="0" fontId="9" fillId="0" borderId="31" xfId="0" applyFont="1" applyBorder="1" applyAlignment="1">
      <alignment horizontal="center" vertical="center" textRotation="90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textRotation="90" shrinkToFit="1"/>
    </xf>
    <xf numFmtId="0" fontId="9" fillId="0" borderId="7" xfId="0" applyFont="1" applyBorder="1" applyAlignment="1">
      <alignment horizontal="center" vertical="center" textRotation="90" shrinkToFit="1"/>
    </xf>
    <xf numFmtId="0" fontId="9" fillId="0" borderId="13" xfId="0" applyFont="1" applyBorder="1" applyAlignment="1">
      <alignment horizontal="center" vertical="center" textRotation="90" shrinkToFit="1"/>
    </xf>
    <xf numFmtId="0" fontId="9" fillId="7" borderId="15" xfId="0" applyFont="1" applyFill="1" applyBorder="1" applyAlignment="1">
      <alignment horizontal="center" vertical="center" textRotation="90" wrapText="1" shrinkToFit="1"/>
    </xf>
    <xf numFmtId="0" fontId="0" fillId="7" borderId="4" xfId="0" applyFill="1" applyBorder="1" applyAlignment="1">
      <alignment horizontal="center" vertical="center" wrapText="1" shrinkToFit="1"/>
    </xf>
    <xf numFmtId="0" fontId="0" fillId="7" borderId="10" xfId="0" applyFill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49" fontId="11" fillId="9" borderId="37" xfId="0" applyNumberFormat="1" applyFont="1" applyFill="1" applyBorder="1" applyAlignment="1">
      <alignment horizontal="left" vertical="top" wrapText="1"/>
    </xf>
    <xf numFmtId="49" fontId="11" fillId="9" borderId="22" xfId="0" applyNumberFormat="1" applyFont="1" applyFill="1" applyBorder="1" applyAlignment="1">
      <alignment horizontal="left" vertical="top" wrapText="1"/>
    </xf>
    <xf numFmtId="49" fontId="11" fillId="9" borderId="80" xfId="0" applyNumberFormat="1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textRotation="90" shrinkToFit="1"/>
    </xf>
    <xf numFmtId="0" fontId="9" fillId="0" borderId="4" xfId="0" applyFont="1" applyBorder="1" applyAlignment="1">
      <alignment horizontal="center" textRotation="90" shrinkToFit="1"/>
    </xf>
    <xf numFmtId="0" fontId="9" fillId="0" borderId="10" xfId="0" applyFont="1" applyBorder="1" applyAlignment="1">
      <alignment horizontal="center" textRotation="90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center" textRotation="90" shrinkToFit="1"/>
    </xf>
    <xf numFmtId="0" fontId="9" fillId="0" borderId="64" xfId="0" applyNumberFormat="1" applyFont="1" applyBorder="1" applyAlignment="1">
      <alignment horizontal="center" vertical="center" textRotation="90" shrinkToFit="1"/>
    </xf>
    <xf numFmtId="0" fontId="9" fillId="0" borderId="32" xfId="0" applyNumberFormat="1" applyFont="1" applyBorder="1" applyAlignment="1">
      <alignment horizontal="center" vertical="center" textRotation="90" shrinkToFit="1"/>
    </xf>
    <xf numFmtId="0" fontId="9" fillId="0" borderId="15" xfId="0" applyFont="1" applyBorder="1" applyAlignment="1">
      <alignment horizontal="center" vertical="center" textRotation="90" shrinkToFit="1"/>
    </xf>
    <xf numFmtId="0" fontId="9" fillId="0" borderId="4" xfId="0" applyFont="1" applyBorder="1" applyAlignment="1">
      <alignment horizontal="center" vertical="center" textRotation="90" shrinkToFit="1"/>
    </xf>
    <xf numFmtId="0" fontId="9" fillId="0" borderId="10" xfId="0" applyFont="1" applyBorder="1" applyAlignment="1">
      <alignment horizontal="center" vertical="center" textRotation="90" shrinkToFit="1"/>
    </xf>
    <xf numFmtId="0" fontId="20" fillId="10" borderId="8" xfId="0" applyFont="1" applyFill="1" applyBorder="1" applyAlignment="1">
      <alignment horizontal="left" vertical="top" wrapText="1"/>
    </xf>
    <xf numFmtId="0" fontId="20" fillId="10" borderId="69" xfId="0" applyFont="1" applyFill="1" applyBorder="1" applyAlignment="1">
      <alignment horizontal="left" vertical="top" wrapText="1"/>
    </xf>
    <xf numFmtId="0" fontId="20" fillId="10" borderId="85" xfId="0" applyFont="1" applyFill="1" applyBorder="1" applyAlignment="1">
      <alignment horizontal="left" vertical="top" wrapText="1"/>
    </xf>
    <xf numFmtId="0" fontId="11" fillId="12" borderId="69" xfId="0" applyFont="1" applyFill="1" applyBorder="1" applyAlignment="1">
      <alignment horizontal="left" vertical="top" wrapText="1"/>
    </xf>
    <xf numFmtId="0" fontId="11" fillId="12" borderId="85" xfId="0" applyFont="1" applyFill="1" applyBorder="1" applyAlignment="1">
      <alignment horizontal="left" vertical="top" wrapText="1"/>
    </xf>
    <xf numFmtId="0" fontId="11" fillId="4" borderId="61" xfId="0" applyFont="1" applyFill="1" applyBorder="1" applyAlignment="1">
      <alignment horizontal="left" vertical="top" wrapText="1"/>
    </xf>
    <xf numFmtId="0" fontId="11" fillId="4" borderId="69" xfId="0" applyFont="1" applyFill="1" applyBorder="1" applyAlignment="1">
      <alignment horizontal="left" vertical="top" wrapText="1"/>
    </xf>
    <xf numFmtId="0" fontId="11" fillId="4" borderId="85" xfId="0" applyFont="1" applyFill="1" applyBorder="1" applyAlignment="1">
      <alignment horizontal="left" vertical="top" wrapText="1"/>
    </xf>
    <xf numFmtId="49" fontId="11" fillId="12" borderId="28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0" fontId="11" fillId="7" borderId="16" xfId="0" applyFont="1" applyFill="1" applyBorder="1" applyAlignment="1">
      <alignment horizontal="left" vertical="top" wrapText="1"/>
    </xf>
    <xf numFmtId="0" fontId="0" fillId="0" borderId="53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49" fontId="9" fillId="0" borderId="16" xfId="0" applyNumberFormat="1" applyFont="1" applyBorder="1" applyAlignment="1">
      <alignment horizontal="center" vertical="center" textRotation="90" wrapText="1"/>
    </xf>
    <xf numFmtId="0" fontId="0" fillId="0" borderId="53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49" fontId="11" fillId="0" borderId="66" xfId="0" applyNumberFormat="1" applyFont="1" applyBorder="1" applyAlignment="1">
      <alignment horizontal="center" vertical="top" wrapText="1"/>
    </xf>
    <xf numFmtId="0" fontId="0" fillId="0" borderId="66" xfId="0" applyBorder="1" applyAlignment="1">
      <alignment wrapText="1"/>
    </xf>
    <xf numFmtId="0" fontId="0" fillId="0" borderId="81" xfId="0" applyBorder="1" applyAlignment="1">
      <alignment wrapText="1"/>
    </xf>
    <xf numFmtId="0" fontId="9" fillId="7" borderId="125" xfId="0" applyFont="1" applyFill="1" applyBorder="1" applyAlignment="1">
      <alignment vertical="top" wrapText="1"/>
    </xf>
    <xf numFmtId="0" fontId="0" fillId="7" borderId="21" xfId="0" applyFill="1" applyBorder="1" applyAlignment="1">
      <alignment vertical="top" wrapText="1"/>
    </xf>
    <xf numFmtId="49" fontId="11" fillId="12" borderId="21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center" vertical="top"/>
    </xf>
    <xf numFmtId="49" fontId="11" fillId="7" borderId="53" xfId="0" applyNumberFormat="1" applyFont="1" applyFill="1" applyBorder="1" applyAlignment="1">
      <alignment horizontal="center" vertical="top"/>
    </xf>
    <xf numFmtId="49" fontId="11" fillId="7" borderId="31" xfId="0" applyNumberFormat="1" applyFont="1" applyFill="1" applyBorder="1" applyAlignment="1">
      <alignment horizontal="center" vertical="top"/>
    </xf>
    <xf numFmtId="0" fontId="9" fillId="7" borderId="53" xfId="0" applyFont="1" applyFill="1" applyBorder="1" applyAlignment="1">
      <alignment horizontal="left" vertical="top" wrapText="1"/>
    </xf>
    <xf numFmtId="0" fontId="9" fillId="7" borderId="31" xfId="0" applyFont="1" applyFill="1" applyBorder="1" applyAlignment="1">
      <alignment horizontal="left" vertical="top" wrapText="1"/>
    </xf>
    <xf numFmtId="0" fontId="7" fillId="0" borderId="76" xfId="0" applyFont="1" applyFill="1" applyBorder="1" applyAlignment="1">
      <alignment horizontal="center" vertical="top" wrapText="1"/>
    </xf>
    <xf numFmtId="0" fontId="7" fillId="0" borderId="87" xfId="0" applyFont="1" applyFill="1" applyBorder="1" applyAlignment="1">
      <alignment horizontal="center" vertical="top" wrapText="1"/>
    </xf>
    <xf numFmtId="49" fontId="11" fillId="0" borderId="64" xfId="0" applyNumberFormat="1" applyFont="1" applyBorder="1" applyAlignment="1">
      <alignment horizontal="center" vertical="top"/>
    </xf>
    <xf numFmtId="0" fontId="0" fillId="0" borderId="21" xfId="0" applyBorder="1" applyAlignment="1">
      <alignment vertical="top" wrapText="1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49" fontId="11" fillId="12" borderId="20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7" borderId="40" xfId="0" applyNumberFormat="1" applyFont="1" applyFill="1" applyBorder="1" applyAlignment="1">
      <alignment horizontal="center" vertical="top"/>
    </xf>
    <xf numFmtId="0" fontId="9" fillId="7" borderId="40" xfId="0" applyFont="1" applyFill="1" applyBorder="1" applyAlignment="1">
      <alignment horizontal="left" vertical="top" wrapText="1"/>
    </xf>
    <xf numFmtId="0" fontId="7" fillId="0" borderId="90" xfId="0" applyFont="1" applyFill="1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49" fontId="11" fillId="0" borderId="41" xfId="0" applyNumberFormat="1" applyFont="1" applyFill="1" applyBorder="1" applyAlignment="1">
      <alignment horizontal="center" vertical="top"/>
    </xf>
    <xf numFmtId="49" fontId="11" fillId="0" borderId="32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7" borderId="53" xfId="0" applyNumberFormat="1" applyFont="1" applyFill="1" applyBorder="1" applyAlignment="1">
      <alignment horizontal="left" vertical="top" wrapText="1"/>
    </xf>
    <xf numFmtId="49" fontId="11" fillId="7" borderId="31" xfId="0" applyNumberFormat="1" applyFont="1" applyFill="1" applyBorder="1" applyAlignment="1">
      <alignment horizontal="left" vertical="top" wrapText="1"/>
    </xf>
    <xf numFmtId="49" fontId="7" fillId="0" borderId="76" xfId="0" applyNumberFormat="1" applyFont="1" applyFill="1" applyBorder="1" applyAlignment="1">
      <alignment horizontal="right" vertical="top"/>
    </xf>
    <xf numFmtId="49" fontId="7" fillId="0" borderId="87" xfId="0" applyNumberFormat="1" applyFont="1" applyFill="1" applyBorder="1" applyAlignment="1">
      <alignment horizontal="right" vertical="top"/>
    </xf>
    <xf numFmtId="49" fontId="11" fillId="0" borderId="64" xfId="0" applyNumberFormat="1" applyFont="1" applyFill="1" applyBorder="1" applyAlignment="1">
      <alignment horizontal="center" vertical="top"/>
    </xf>
    <xf numFmtId="0" fontId="5" fillId="7" borderId="122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0" fontId="12" fillId="0" borderId="76" xfId="0" applyFont="1" applyFill="1" applyBorder="1" applyAlignment="1">
      <alignment horizontal="center" vertical="top" wrapText="1"/>
    </xf>
    <xf numFmtId="0" fontId="0" fillId="0" borderId="87" xfId="0" applyBorder="1" applyAlignment="1">
      <alignment vertical="top"/>
    </xf>
    <xf numFmtId="49" fontId="11" fillId="0" borderId="66" xfId="0" applyNumberFormat="1" applyFont="1" applyBorder="1" applyAlignment="1">
      <alignment horizontal="center" vertical="top"/>
    </xf>
    <xf numFmtId="0" fontId="0" fillId="0" borderId="81" xfId="0" applyBorder="1" applyAlignment="1">
      <alignment vertical="top"/>
    </xf>
    <xf numFmtId="0" fontId="11" fillId="7" borderId="40" xfId="0" applyFont="1" applyFill="1" applyBorder="1" applyAlignment="1">
      <alignment vertical="top" wrapText="1"/>
    </xf>
    <xf numFmtId="0" fontId="9" fillId="7" borderId="38" xfId="0" applyFont="1" applyFill="1" applyBorder="1" applyAlignment="1">
      <alignment horizontal="left" vertical="top" wrapText="1"/>
    </xf>
    <xf numFmtId="0" fontId="9" fillId="7" borderId="38" xfId="0" applyFont="1" applyFill="1" applyBorder="1" applyAlignment="1">
      <alignment vertical="top" wrapText="1"/>
    </xf>
    <xf numFmtId="0" fontId="1" fillId="7" borderId="38" xfId="0" applyFont="1" applyFill="1" applyBorder="1" applyAlignment="1">
      <alignment vertical="top" wrapText="1"/>
    </xf>
    <xf numFmtId="0" fontId="9" fillId="7" borderId="34" xfId="0" applyFont="1" applyFill="1" applyBorder="1" applyAlignment="1">
      <alignment horizontal="left" vertical="top" wrapText="1"/>
    </xf>
    <xf numFmtId="0" fontId="0" fillId="0" borderId="16" xfId="0" applyBorder="1" applyAlignment="1">
      <alignment vertical="top"/>
    </xf>
    <xf numFmtId="0" fontId="7" fillId="7" borderId="70" xfId="0" applyFont="1" applyFill="1" applyBorder="1" applyAlignment="1">
      <alignment horizontal="center" vertical="top" wrapText="1"/>
    </xf>
    <xf numFmtId="0" fontId="0" fillId="0" borderId="84" xfId="0" applyBorder="1" applyAlignment="1">
      <alignment vertical="top"/>
    </xf>
    <xf numFmtId="49" fontId="11" fillId="7" borderId="40" xfId="0" applyNumberFormat="1" applyFont="1" applyFill="1" applyBorder="1" applyAlignment="1">
      <alignment horizontal="left" vertical="top" wrapText="1"/>
    </xf>
    <xf numFmtId="0" fontId="11" fillId="0" borderId="41" xfId="4" applyNumberFormat="1" applyFont="1" applyBorder="1" applyAlignment="1">
      <alignment horizontal="center" vertical="top"/>
    </xf>
    <xf numFmtId="0" fontId="11" fillId="0" borderId="32" xfId="4" applyNumberFormat="1" applyFont="1" applyBorder="1" applyAlignment="1">
      <alignment horizontal="center" vertical="top"/>
    </xf>
    <xf numFmtId="49" fontId="11" fillId="7" borderId="26" xfId="0" applyNumberFormat="1" applyFont="1" applyFill="1" applyBorder="1" applyAlignment="1">
      <alignment horizontal="center" vertical="top"/>
    </xf>
    <xf numFmtId="49" fontId="11" fillId="7" borderId="38" xfId="0" applyNumberFormat="1" applyFont="1" applyFill="1" applyBorder="1" applyAlignment="1">
      <alignment horizontal="center" vertical="top"/>
    </xf>
    <xf numFmtId="49" fontId="11" fillId="7" borderId="29" xfId="0" applyNumberFormat="1" applyFont="1" applyFill="1" applyBorder="1" applyAlignment="1">
      <alignment horizontal="center" vertical="top"/>
    </xf>
    <xf numFmtId="0" fontId="7" fillId="0" borderId="75" xfId="0" applyFont="1" applyFill="1" applyBorder="1" applyAlignment="1">
      <alignment horizontal="center" vertical="top" wrapText="1"/>
    </xf>
    <xf numFmtId="0" fontId="7" fillId="0" borderId="70" xfId="0" applyFont="1" applyFill="1" applyBorder="1" applyAlignment="1">
      <alignment horizontal="center" vertical="top" wrapText="1"/>
    </xf>
    <xf numFmtId="0" fontId="7" fillId="0" borderId="74" xfId="0" applyFont="1" applyFill="1" applyBorder="1" applyAlignment="1">
      <alignment horizontal="center" vertical="top" wrapText="1"/>
    </xf>
    <xf numFmtId="49" fontId="11" fillId="0" borderId="27" xfId="0" applyNumberFormat="1" applyFont="1" applyBorder="1" applyAlignment="1">
      <alignment horizontal="center" vertical="top"/>
    </xf>
    <xf numFmtId="49" fontId="11" fillId="0" borderId="72" xfId="0" applyNumberFormat="1" applyFont="1" applyBorder="1" applyAlignment="1">
      <alignment horizontal="center" vertical="top"/>
    </xf>
    <xf numFmtId="49" fontId="11" fillId="0" borderId="36" xfId="0" applyNumberFormat="1" applyFont="1" applyBorder="1" applyAlignment="1">
      <alignment horizontal="center" vertical="top"/>
    </xf>
    <xf numFmtId="0" fontId="11" fillId="7" borderId="31" xfId="0" applyFont="1" applyFill="1" applyBorder="1" applyAlignment="1">
      <alignment vertical="top" wrapText="1"/>
    </xf>
    <xf numFmtId="0" fontId="11" fillId="7" borderId="17" xfId="0" applyFont="1" applyFill="1" applyBorder="1" applyAlignment="1">
      <alignment horizontal="left" vertical="top" wrapText="1"/>
    </xf>
    <xf numFmtId="0" fontId="11" fillId="7" borderId="19" xfId="0" applyFont="1" applyFill="1" applyBorder="1" applyAlignment="1">
      <alignment horizontal="left" vertical="top" wrapText="1"/>
    </xf>
    <xf numFmtId="0" fontId="11" fillId="7" borderId="18" xfId="0" applyFont="1" applyFill="1" applyBorder="1" applyAlignment="1">
      <alignment horizontal="left" vertical="top" wrapText="1"/>
    </xf>
    <xf numFmtId="49" fontId="5" fillId="0" borderId="40" xfId="0" applyNumberFormat="1" applyFont="1" applyFill="1" applyBorder="1" applyAlignment="1">
      <alignment horizontal="center" vertical="center" textRotation="90"/>
    </xf>
    <xf numFmtId="49" fontId="5" fillId="0" borderId="53" xfId="0" applyNumberFormat="1" applyFont="1" applyFill="1" applyBorder="1" applyAlignment="1">
      <alignment horizontal="center" vertical="center" textRotation="90"/>
    </xf>
    <xf numFmtId="49" fontId="5" fillId="0" borderId="31" xfId="0" applyNumberFormat="1" applyFont="1" applyFill="1" applyBorder="1" applyAlignment="1">
      <alignment horizontal="center" vertical="center" textRotation="90"/>
    </xf>
    <xf numFmtId="49" fontId="4" fillId="0" borderId="40" xfId="0" applyNumberFormat="1" applyFont="1" applyBorder="1" applyAlignment="1">
      <alignment horizontal="center" vertical="top"/>
    </xf>
    <xf numFmtId="49" fontId="4" fillId="0" borderId="53" xfId="0" applyNumberFormat="1" applyFont="1" applyBorder="1" applyAlignment="1">
      <alignment horizontal="center" vertical="top"/>
    </xf>
    <xf numFmtId="49" fontId="4" fillId="0" borderId="31" xfId="0" applyNumberFormat="1" applyFont="1" applyBorder="1" applyAlignment="1">
      <alignment horizontal="center" vertical="top"/>
    </xf>
    <xf numFmtId="0" fontId="5" fillId="7" borderId="20" xfId="0" applyFont="1" applyFill="1" applyBorder="1" applyAlignment="1">
      <alignment horizontal="left" vertical="top" wrapText="1"/>
    </xf>
    <xf numFmtId="0" fontId="0" fillId="7" borderId="28" xfId="0" applyFill="1" applyBorder="1" applyAlignment="1">
      <alignment horizontal="left" vertical="top" wrapText="1"/>
    </xf>
    <xf numFmtId="0" fontId="5" fillId="7" borderId="55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9" fillId="7" borderId="84" xfId="0" applyFont="1" applyFill="1" applyBorder="1" applyAlignment="1">
      <alignment horizontal="left" vertical="top" wrapText="1"/>
    </xf>
    <xf numFmtId="0" fontId="9" fillId="7" borderId="87" xfId="0" applyFont="1" applyFill="1" applyBorder="1" applyAlignment="1">
      <alignment horizontal="left" vertical="top" wrapText="1"/>
    </xf>
    <xf numFmtId="49" fontId="11" fillId="4" borderId="18" xfId="0" applyNumberFormat="1" applyFont="1" applyFill="1" applyBorder="1" applyAlignment="1">
      <alignment horizontal="right" vertical="top"/>
    </xf>
    <xf numFmtId="49" fontId="11" fillId="4" borderId="81" xfId="0" applyNumberFormat="1" applyFont="1" applyFill="1" applyBorder="1" applyAlignment="1">
      <alignment horizontal="right" vertical="top"/>
    </xf>
    <xf numFmtId="49" fontId="11" fillId="4" borderId="68" xfId="0" applyNumberFormat="1" applyFont="1" applyFill="1" applyBorder="1" applyAlignment="1">
      <alignment horizontal="left" vertical="top"/>
    </xf>
    <xf numFmtId="49" fontId="11" fillId="4" borderId="78" xfId="0" applyNumberFormat="1" applyFont="1" applyFill="1" applyBorder="1" applyAlignment="1">
      <alignment horizontal="left" vertical="top"/>
    </xf>
    <xf numFmtId="49" fontId="11" fillId="4" borderId="79" xfId="0" applyNumberFormat="1" applyFont="1" applyFill="1" applyBorder="1" applyAlignment="1">
      <alignment horizontal="left" vertical="top"/>
    </xf>
    <xf numFmtId="0" fontId="7" fillId="0" borderId="40" xfId="0" applyFont="1" applyFill="1" applyBorder="1" applyAlignment="1">
      <alignment horizontal="center" vertical="center" textRotation="90" wrapText="1"/>
    </xf>
    <xf numFmtId="0" fontId="0" fillId="0" borderId="53" xfId="0" applyBorder="1" applyAlignment="1">
      <alignment horizontal="center" vertical="center" textRotation="90" wrapText="1"/>
    </xf>
    <xf numFmtId="0" fontId="9" fillId="7" borderId="16" xfId="0" applyFont="1" applyFill="1" applyBorder="1" applyAlignment="1">
      <alignment horizontal="left" vertical="top" wrapText="1"/>
    </xf>
    <xf numFmtId="49" fontId="11" fillId="0" borderId="26" xfId="0" applyNumberFormat="1" applyFont="1" applyBorder="1" applyAlignment="1">
      <alignment horizontal="center" vertical="top"/>
    </xf>
    <xf numFmtId="49" fontId="11" fillId="0" borderId="34" xfId="0" applyNumberFormat="1" applyFont="1" applyBorder="1" applyAlignment="1">
      <alignment horizontal="center" vertical="top"/>
    </xf>
    <xf numFmtId="49" fontId="11" fillId="0" borderId="29" xfId="0" applyNumberFormat="1" applyFont="1" applyBorder="1" applyAlignment="1">
      <alignment horizontal="center" vertical="top"/>
    </xf>
    <xf numFmtId="0" fontId="1" fillId="0" borderId="28" xfId="0" applyFont="1" applyBorder="1" applyAlignment="1">
      <alignment horizontal="left" vertical="top" wrapText="1"/>
    </xf>
    <xf numFmtId="49" fontId="11" fillId="4" borderId="22" xfId="0" applyNumberFormat="1" applyFont="1" applyFill="1" applyBorder="1" applyAlignment="1">
      <alignment horizontal="left" vertical="top"/>
    </xf>
    <xf numFmtId="49" fontId="11" fillId="12" borderId="25" xfId="0" applyNumberFormat="1" applyFont="1" applyFill="1" applyBorder="1" applyAlignment="1">
      <alignment horizontal="center" vertical="top"/>
    </xf>
    <xf numFmtId="49" fontId="11" fillId="12" borderId="33" xfId="0" applyNumberFormat="1" applyFont="1" applyFill="1" applyBorder="1" applyAlignment="1">
      <alignment horizontal="center" vertical="top"/>
    </xf>
    <xf numFmtId="49" fontId="11" fillId="12" borderId="30" xfId="0" applyNumberFormat="1" applyFont="1" applyFill="1" applyBorder="1" applyAlignment="1">
      <alignment horizontal="center" vertical="top"/>
    </xf>
    <xf numFmtId="49" fontId="11" fillId="4" borderId="26" xfId="0" applyNumberFormat="1" applyFont="1" applyFill="1" applyBorder="1" applyAlignment="1">
      <alignment horizontal="center" vertical="top"/>
    </xf>
    <xf numFmtId="49" fontId="11" fillId="4" borderId="34" xfId="0" applyNumberFormat="1" applyFont="1" applyFill="1" applyBorder="1" applyAlignment="1">
      <alignment horizontal="center" vertical="top"/>
    </xf>
    <xf numFmtId="49" fontId="11" fillId="4" borderId="29" xfId="0" applyNumberFormat="1" applyFont="1" applyFill="1" applyBorder="1" applyAlignment="1">
      <alignment horizontal="center" vertical="top"/>
    </xf>
    <xf numFmtId="49" fontId="11" fillId="7" borderId="34" xfId="0" applyNumberFormat="1" applyFont="1" applyFill="1" applyBorder="1" applyAlignment="1">
      <alignment horizontal="center" vertical="top"/>
    </xf>
    <xf numFmtId="0" fontId="11" fillId="7" borderId="26" xfId="0" applyFont="1" applyFill="1" applyBorder="1" applyAlignment="1">
      <alignment horizontal="left" vertical="top" wrapText="1"/>
    </xf>
    <xf numFmtId="0" fontId="11" fillId="7" borderId="34" xfId="0" applyFont="1" applyFill="1" applyBorder="1" applyAlignment="1">
      <alignment horizontal="left" vertical="top" wrapText="1"/>
    </xf>
    <xf numFmtId="0" fontId="11" fillId="7" borderId="29" xfId="0" applyFont="1" applyFill="1" applyBorder="1" applyAlignment="1">
      <alignment horizontal="left" vertical="top" wrapText="1"/>
    </xf>
    <xf numFmtId="49" fontId="7" fillId="0" borderId="40" xfId="0" applyNumberFormat="1" applyFont="1" applyFill="1" applyBorder="1" applyAlignment="1">
      <alignment horizontal="center" vertical="center" textRotation="90" wrapText="1"/>
    </xf>
    <xf numFmtId="49" fontId="7" fillId="0" borderId="53" xfId="0" applyNumberFormat="1" applyFont="1" applyFill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49" fontId="11" fillId="7" borderId="18" xfId="0" applyNumberFormat="1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left" vertical="top" wrapText="1"/>
    </xf>
    <xf numFmtId="0" fontId="11" fillId="0" borderId="29" xfId="0" applyFont="1" applyFill="1" applyBorder="1" applyAlignment="1">
      <alignment horizontal="left" vertical="top" wrapText="1"/>
    </xf>
    <xf numFmtId="0" fontId="7" fillId="0" borderId="34" xfId="0" applyFont="1" applyFill="1" applyBorder="1" applyAlignment="1">
      <alignment horizontal="center" vertical="center" textRotation="90" wrapText="1"/>
    </xf>
    <xf numFmtId="0" fontId="7" fillId="0" borderId="29" xfId="0" applyFont="1" applyFill="1" applyBorder="1" applyAlignment="1">
      <alignment horizontal="center" vertical="center" textRotation="90" wrapText="1"/>
    </xf>
    <xf numFmtId="49" fontId="11" fillId="7" borderId="17" xfId="0" applyNumberFormat="1" applyFont="1" applyFill="1" applyBorder="1" applyAlignment="1">
      <alignment horizontal="center" vertical="top"/>
    </xf>
    <xf numFmtId="0" fontId="11" fillId="7" borderId="38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center" vertical="top" textRotation="90" wrapText="1"/>
    </xf>
    <xf numFmtId="0" fontId="7" fillId="0" borderId="53" xfId="0" applyFont="1" applyFill="1" applyBorder="1" applyAlignment="1">
      <alignment horizontal="center" vertical="top" textRotation="90" wrapText="1"/>
    </xf>
    <xf numFmtId="0" fontId="7" fillId="0" borderId="31" xfId="0" applyFont="1" applyFill="1" applyBorder="1" applyAlignment="1">
      <alignment horizontal="center" vertical="top" textRotation="90" wrapText="1"/>
    </xf>
    <xf numFmtId="0" fontId="11" fillId="11" borderId="13" xfId="0" applyFont="1" applyFill="1" applyBorder="1" applyAlignment="1">
      <alignment horizontal="right" vertical="top" wrapText="1"/>
    </xf>
    <xf numFmtId="0" fontId="11" fillId="11" borderId="23" xfId="0" applyFont="1" applyFill="1" applyBorder="1" applyAlignment="1">
      <alignment horizontal="right" vertical="top" wrapText="1"/>
    </xf>
    <xf numFmtId="0" fontId="11" fillId="11" borderId="81" xfId="0" applyFont="1" applyFill="1" applyBorder="1" applyAlignment="1">
      <alignment horizontal="righ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69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62" xfId="0" applyFont="1" applyBorder="1" applyAlignment="1">
      <alignment vertical="top" wrapText="1"/>
    </xf>
    <xf numFmtId="0" fontId="9" fillId="11" borderId="33" xfId="0" applyFont="1" applyFill="1" applyBorder="1" applyAlignment="1">
      <alignment horizontal="left" vertical="top" wrapText="1"/>
    </xf>
    <xf numFmtId="0" fontId="9" fillId="11" borderId="34" xfId="0" applyFont="1" applyFill="1" applyBorder="1" applyAlignment="1">
      <alignment vertical="top" wrapText="1"/>
    </xf>
    <xf numFmtId="0" fontId="9" fillId="11" borderId="62" xfId="0" applyFont="1" applyFill="1" applyBorder="1" applyAlignment="1">
      <alignment vertical="top" wrapText="1"/>
    </xf>
    <xf numFmtId="0" fontId="11" fillId="10" borderId="28" xfId="0" applyFont="1" applyFill="1" applyBorder="1" applyAlignment="1">
      <alignment horizontal="right" vertical="top" wrapText="1"/>
    </xf>
    <xf numFmtId="0" fontId="9" fillId="10" borderId="53" xfId="0" applyFont="1" applyFill="1" applyBorder="1" applyAlignment="1">
      <alignment vertical="top" wrapText="1"/>
    </xf>
    <xf numFmtId="0" fontId="9" fillId="10" borderId="19" xfId="0" applyFont="1" applyFill="1" applyBorder="1" applyAlignment="1">
      <alignment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69" xfId="0" applyFont="1" applyBorder="1" applyAlignment="1">
      <alignment horizontal="left" vertical="top" wrapText="1"/>
    </xf>
    <xf numFmtId="0" fontId="9" fillId="0" borderId="85" xfId="0" applyFont="1" applyBorder="1" applyAlignment="1">
      <alignment horizontal="left" vertical="top" wrapText="1"/>
    </xf>
    <xf numFmtId="164" fontId="11" fillId="4" borderId="9" xfId="0" applyNumberFormat="1" applyFont="1" applyFill="1" applyBorder="1" applyAlignment="1">
      <alignment horizontal="center" vertical="top"/>
    </xf>
    <xf numFmtId="164" fontId="11" fillId="4" borderId="78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/>
    </xf>
    <xf numFmtId="49" fontId="11" fillId="12" borderId="68" xfId="0" applyNumberFormat="1" applyFont="1" applyFill="1" applyBorder="1" applyAlignment="1">
      <alignment horizontal="right" vertical="top"/>
    </xf>
    <xf numFmtId="0" fontId="9" fillId="12" borderId="78" xfId="0" applyFont="1" applyFill="1" applyBorder="1" applyAlignment="1">
      <alignment horizontal="right" vertical="top"/>
    </xf>
    <xf numFmtId="0" fontId="9" fillId="12" borderId="79" xfId="0" applyFont="1" applyFill="1" applyBorder="1" applyAlignment="1">
      <alignment horizontal="right" vertical="top"/>
    </xf>
    <xf numFmtId="164" fontId="11" fillId="12" borderId="9" xfId="0" applyNumberFormat="1" applyFont="1" applyFill="1" applyBorder="1" applyAlignment="1">
      <alignment horizontal="center" vertical="top"/>
    </xf>
    <xf numFmtId="164" fontId="11" fillId="12" borderId="78" xfId="0" applyNumberFormat="1" applyFont="1" applyFill="1" applyBorder="1" applyAlignment="1">
      <alignment horizontal="center" vertical="top"/>
    </xf>
    <xf numFmtId="164" fontId="11" fillId="12" borderId="79" xfId="0" applyNumberFormat="1" applyFont="1" applyFill="1" applyBorder="1" applyAlignment="1">
      <alignment horizontal="center" vertical="top"/>
    </xf>
    <xf numFmtId="49" fontId="11" fillId="10" borderId="78" xfId="0" applyNumberFormat="1" applyFont="1" applyFill="1" applyBorder="1" applyAlignment="1">
      <alignment horizontal="right" vertical="top"/>
    </xf>
    <xf numFmtId="49" fontId="11" fillId="10" borderId="79" xfId="0" applyNumberFormat="1" applyFont="1" applyFill="1" applyBorder="1" applyAlignment="1">
      <alignment horizontal="right" vertical="top"/>
    </xf>
    <xf numFmtId="164" fontId="11" fillId="10" borderId="9" xfId="0" applyNumberFormat="1" applyFont="1" applyFill="1" applyBorder="1" applyAlignment="1">
      <alignment horizontal="center" vertical="top"/>
    </xf>
    <xf numFmtId="164" fontId="11" fillId="10" borderId="78" xfId="0" applyNumberFormat="1" applyFont="1" applyFill="1" applyBorder="1" applyAlignment="1">
      <alignment horizontal="center" vertical="top"/>
    </xf>
    <xf numFmtId="164" fontId="11" fillId="10" borderId="79" xfId="0" applyNumberFormat="1" applyFont="1" applyFill="1" applyBorder="1" applyAlignment="1">
      <alignment horizontal="center" vertical="top"/>
    </xf>
    <xf numFmtId="0" fontId="11" fillId="10" borderId="20" xfId="0" applyFont="1" applyFill="1" applyBorder="1" applyAlignment="1">
      <alignment horizontal="right" vertical="top" wrapText="1"/>
    </xf>
    <xf numFmtId="0" fontId="9" fillId="10" borderId="40" xfId="0" applyFont="1" applyFill="1" applyBorder="1" applyAlignment="1">
      <alignment vertical="top" wrapText="1"/>
    </xf>
    <xf numFmtId="0" fontId="9" fillId="10" borderId="17" xfId="0" applyFont="1" applyFill="1" applyBorder="1" applyAlignment="1">
      <alignment vertical="top" wrapText="1"/>
    </xf>
    <xf numFmtId="0" fontId="11" fillId="11" borderId="8" xfId="0" applyFont="1" applyFill="1" applyBorder="1" applyAlignment="1">
      <alignment horizontal="right" vertical="top" wrapText="1"/>
    </xf>
    <xf numFmtId="0" fontId="11" fillId="11" borderId="69" xfId="0" applyFont="1" applyFill="1" applyBorder="1" applyAlignment="1">
      <alignment horizontal="right" vertical="top" wrapText="1"/>
    </xf>
    <xf numFmtId="0" fontId="11" fillId="11" borderId="85" xfId="0" applyFont="1" applyFill="1" applyBorder="1" applyAlignment="1">
      <alignment horizontal="right" vertical="top" wrapText="1"/>
    </xf>
    <xf numFmtId="0" fontId="10" fillId="0" borderId="22" xfId="0" applyNumberFormat="1" applyFont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39" xfId="0" applyFont="1" applyBorder="1" applyAlignment="1">
      <alignment horizontal="left" vertical="top" wrapText="1"/>
    </xf>
    <xf numFmtId="0" fontId="9" fillId="0" borderId="38" xfId="0" applyFont="1" applyBorder="1" applyAlignment="1">
      <alignment vertical="top" wrapText="1"/>
    </xf>
    <xf numFmtId="0" fontId="9" fillId="0" borderId="61" xfId="0" applyFont="1" applyBorder="1" applyAlignment="1">
      <alignment vertical="top" wrapText="1"/>
    </xf>
    <xf numFmtId="0" fontId="9" fillId="7" borderId="8" xfId="0" applyFont="1" applyFill="1" applyBorder="1" applyAlignment="1">
      <alignment horizontal="left" vertical="top" wrapText="1"/>
    </xf>
    <xf numFmtId="0" fontId="9" fillId="7" borderId="69" xfId="0" applyFont="1" applyFill="1" applyBorder="1" applyAlignment="1">
      <alignment horizontal="left" vertical="top" wrapText="1"/>
    </xf>
    <xf numFmtId="0" fontId="9" fillId="7" borderId="85" xfId="0" applyFont="1" applyFill="1" applyBorder="1" applyAlignment="1">
      <alignment horizontal="left" vertical="top" wrapText="1"/>
    </xf>
    <xf numFmtId="0" fontId="11" fillId="7" borderId="40" xfId="0" applyFont="1" applyFill="1" applyBorder="1" applyAlignment="1">
      <alignment horizontal="left" vertical="top" wrapText="1"/>
    </xf>
    <xf numFmtId="0" fontId="11" fillId="7" borderId="53" xfId="0" applyFont="1" applyFill="1" applyBorder="1" applyAlignment="1">
      <alignment horizontal="left" vertical="top" wrapText="1"/>
    </xf>
    <xf numFmtId="0" fontId="11" fillId="7" borderId="31" xfId="0" applyFont="1" applyFill="1" applyBorder="1" applyAlignment="1">
      <alignment horizontal="left" vertical="top" wrapText="1"/>
    </xf>
    <xf numFmtId="0" fontId="6" fillId="0" borderId="76" xfId="0" applyFont="1" applyFill="1" applyBorder="1" applyAlignment="1">
      <alignment horizontal="center" vertical="top"/>
    </xf>
    <xf numFmtId="0" fontId="6" fillId="0" borderId="87" xfId="0" applyFont="1" applyFill="1" applyBorder="1" applyAlignment="1">
      <alignment horizontal="center" vertical="top"/>
    </xf>
    <xf numFmtId="49" fontId="11" fillId="0" borderId="53" xfId="0" applyNumberFormat="1" applyFont="1" applyBorder="1" applyAlignment="1">
      <alignment horizontal="center" vertical="top"/>
    </xf>
    <xf numFmtId="49" fontId="11" fillId="0" borderId="31" xfId="0" applyNumberFormat="1" applyFont="1" applyBorder="1" applyAlignment="1">
      <alignment horizontal="center" vertical="top"/>
    </xf>
    <xf numFmtId="0" fontId="9" fillId="7" borderId="55" xfId="0" applyFont="1" applyFill="1" applyBorder="1" applyAlignment="1">
      <alignment vertical="top" wrapText="1"/>
    </xf>
    <xf numFmtId="0" fontId="0" fillId="0" borderId="21" xfId="0" applyBorder="1" applyAlignment="1">
      <alignment vertical="top"/>
    </xf>
    <xf numFmtId="0" fontId="9" fillId="7" borderId="55" xfId="0" applyFont="1" applyFill="1" applyBorder="1" applyAlignment="1">
      <alignment horizontal="left" vertical="top" wrapText="1"/>
    </xf>
    <xf numFmtId="49" fontId="11" fillId="0" borderId="38" xfId="0" applyNumberFormat="1" applyFont="1" applyBorder="1" applyAlignment="1">
      <alignment horizontal="center" vertical="top"/>
    </xf>
    <xf numFmtId="3" fontId="10" fillId="7" borderId="0" xfId="0" applyNumberFormat="1" applyFont="1" applyFill="1" applyAlignment="1">
      <alignment vertical="top"/>
    </xf>
    <xf numFmtId="3" fontId="1" fillId="7" borderId="0" xfId="0" applyNumberFormat="1" applyFont="1" applyFill="1" applyAlignment="1">
      <alignment vertical="top"/>
    </xf>
    <xf numFmtId="0" fontId="9" fillId="0" borderId="80" xfId="4" applyNumberFormat="1" applyFont="1" applyBorder="1" applyAlignment="1">
      <alignment horizontal="center" vertical="top" wrapText="1"/>
    </xf>
    <xf numFmtId="0" fontId="9" fillId="0" borderId="66" xfId="4" applyNumberFormat="1" applyFont="1" applyBorder="1" applyAlignment="1">
      <alignment horizontal="center" vertical="top" wrapText="1"/>
    </xf>
    <xf numFmtId="49" fontId="7" fillId="0" borderId="53" xfId="0" applyNumberFormat="1" applyFont="1" applyFill="1" applyBorder="1" applyAlignment="1">
      <alignment horizontal="right" vertical="top"/>
    </xf>
    <xf numFmtId="49" fontId="7" fillId="0" borderId="31" xfId="0" applyNumberFormat="1" applyFont="1" applyFill="1" applyBorder="1" applyAlignment="1">
      <alignment horizontal="right" vertical="top"/>
    </xf>
    <xf numFmtId="49" fontId="11" fillId="13" borderId="19" xfId="0" applyNumberFormat="1" applyFont="1" applyFill="1" applyBorder="1" applyAlignment="1">
      <alignment horizontal="center" vertical="top"/>
    </xf>
    <xf numFmtId="0" fontId="9" fillId="0" borderId="8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6" xfId="0" applyFont="1" applyFill="1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7" fillId="0" borderId="53" xfId="0" applyFont="1" applyFill="1" applyBorder="1" applyAlignment="1">
      <alignment horizontal="center" vertical="center" textRotation="90" wrapText="1"/>
    </xf>
    <xf numFmtId="49" fontId="9" fillId="0" borderId="40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49" fontId="11" fillId="0" borderId="18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center" vertical="top" wrapText="1"/>
    </xf>
    <xf numFmtId="0" fontId="11" fillId="0" borderId="40" xfId="4" applyNumberFormat="1" applyFont="1" applyBorder="1" applyAlignment="1">
      <alignment horizontal="center" vertical="top"/>
    </xf>
    <xf numFmtId="0" fontId="11" fillId="0" borderId="31" xfId="4" applyNumberFormat="1" applyFont="1" applyBorder="1" applyAlignment="1">
      <alignment horizontal="center" vertical="top"/>
    </xf>
    <xf numFmtId="0" fontId="6" fillId="13" borderId="23" xfId="0" applyFont="1" applyFill="1" applyBorder="1" applyAlignment="1">
      <alignment horizontal="right" vertical="top"/>
    </xf>
    <xf numFmtId="0" fontId="1" fillId="13" borderId="23" xfId="0" applyFont="1" applyFill="1" applyBorder="1" applyAlignment="1">
      <alignment horizontal="right" vertical="top"/>
    </xf>
    <xf numFmtId="49" fontId="9" fillId="0" borderId="19" xfId="0" applyNumberFormat="1" applyFont="1" applyBorder="1" applyAlignment="1">
      <alignment horizontal="center" vertical="top" wrapText="1"/>
    </xf>
    <xf numFmtId="49" fontId="9" fillId="7" borderId="41" xfId="0" applyNumberFormat="1" applyFont="1" applyFill="1" applyBorder="1" applyAlignment="1">
      <alignment horizontal="center" vertical="top" wrapText="1"/>
    </xf>
    <xf numFmtId="49" fontId="9" fillId="7" borderId="32" xfId="0" applyNumberFormat="1" applyFont="1" applyFill="1" applyBorder="1" applyAlignment="1">
      <alignment horizontal="center" vertical="top" wrapText="1"/>
    </xf>
    <xf numFmtId="49" fontId="9" fillId="0" borderId="53" xfId="0" applyNumberFormat="1" applyFont="1" applyFill="1" applyBorder="1" applyAlignment="1">
      <alignment horizontal="center" vertical="top"/>
    </xf>
    <xf numFmtId="49" fontId="9" fillId="0" borderId="31" xfId="0" applyNumberFormat="1" applyFont="1" applyFill="1" applyBorder="1" applyAlignment="1">
      <alignment horizontal="center" vertical="top"/>
    </xf>
    <xf numFmtId="49" fontId="9" fillId="0" borderId="64" xfId="0" applyNumberFormat="1" applyFont="1" applyBorder="1" applyAlignment="1">
      <alignment horizontal="center" vertical="top" wrapText="1"/>
    </xf>
    <xf numFmtId="49" fontId="9" fillId="0" borderId="32" xfId="0" applyNumberFormat="1" applyFont="1" applyBorder="1" applyAlignment="1">
      <alignment horizontal="center" vertical="top" wrapText="1"/>
    </xf>
    <xf numFmtId="49" fontId="10" fillId="0" borderId="26" xfId="0" applyNumberFormat="1" applyFont="1" applyBorder="1" applyAlignment="1">
      <alignment horizontal="center" vertical="top" wrapText="1"/>
    </xf>
    <xf numFmtId="49" fontId="10" fillId="0" borderId="38" xfId="0" applyNumberFormat="1" applyFont="1" applyBorder="1" applyAlignment="1">
      <alignment horizontal="center" vertical="top" wrapText="1"/>
    </xf>
    <xf numFmtId="49" fontId="10" fillId="0" borderId="29" xfId="0" applyNumberFormat="1" applyFont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53" xfId="0" applyFont="1" applyFill="1" applyBorder="1" applyAlignment="1">
      <alignment horizontal="center" vertical="top" wrapText="1"/>
    </xf>
    <xf numFmtId="49" fontId="9" fillId="0" borderId="53" xfId="0" applyNumberFormat="1" applyFont="1" applyBorder="1" applyAlignment="1">
      <alignment horizontal="center" vertical="top"/>
    </xf>
    <xf numFmtId="49" fontId="9" fillId="0" borderId="40" xfId="0" applyNumberFormat="1" applyFont="1" applyFill="1" applyBorder="1" applyAlignment="1">
      <alignment horizontal="center" vertical="top"/>
    </xf>
    <xf numFmtId="0" fontId="9" fillId="0" borderId="70" xfId="0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textRotation="90"/>
    </xf>
    <xf numFmtId="49" fontId="9" fillId="0" borderId="53" xfId="0" applyNumberFormat="1" applyFont="1" applyBorder="1" applyAlignment="1">
      <alignment horizontal="center" vertical="center" textRotation="90"/>
    </xf>
    <xf numFmtId="0" fontId="7" fillId="0" borderId="65" xfId="0" applyFont="1" applyFill="1" applyBorder="1" applyAlignment="1">
      <alignment horizontal="center" vertical="center" textRotation="90" wrapText="1"/>
    </xf>
    <xf numFmtId="0" fontId="7" fillId="0" borderId="32" xfId="0" applyFont="1" applyFill="1" applyBorder="1" applyAlignment="1">
      <alignment horizontal="center" vertical="center" textRotation="90" wrapText="1"/>
    </xf>
    <xf numFmtId="0" fontId="7" fillId="0" borderId="16" xfId="0" applyFont="1" applyFill="1" applyBorder="1" applyAlignment="1">
      <alignment horizontal="center" vertical="top" wrapText="1"/>
    </xf>
    <xf numFmtId="49" fontId="9" fillId="0" borderId="16" xfId="0" applyNumberFormat="1" applyFont="1" applyBorder="1" applyAlignment="1">
      <alignment horizontal="center" vertical="top"/>
    </xf>
    <xf numFmtId="49" fontId="11" fillId="0" borderId="63" xfId="0" applyNumberFormat="1" applyFont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8" xfId="0" applyNumberFormat="1" applyFont="1" applyFill="1" applyBorder="1" applyAlignment="1">
      <alignment horizontal="center" vertical="top"/>
    </xf>
    <xf numFmtId="49" fontId="11" fillId="7" borderId="0" xfId="0" applyNumberFormat="1" applyFont="1" applyFill="1" applyBorder="1" applyAlignment="1">
      <alignment horizontal="center" vertical="top"/>
    </xf>
    <xf numFmtId="49" fontId="11" fillId="7" borderId="77" xfId="0" applyNumberFormat="1" applyFont="1" applyFill="1" applyBorder="1" applyAlignment="1">
      <alignment horizontal="center" vertical="top"/>
    </xf>
    <xf numFmtId="0" fontId="9" fillId="7" borderId="61" xfId="0" applyFont="1" applyFill="1" applyBorder="1" applyAlignment="1">
      <alignment horizontal="left" vertical="top" wrapText="1"/>
    </xf>
    <xf numFmtId="49" fontId="9" fillId="7" borderId="17" xfId="0" applyNumberFormat="1" applyFont="1" applyFill="1" applyBorder="1" applyAlignment="1">
      <alignment horizontal="center" vertical="top"/>
    </xf>
    <xf numFmtId="49" fontId="9" fillId="7" borderId="18" xfId="0" applyNumberFormat="1" applyFont="1" applyFill="1" applyBorder="1" applyAlignment="1">
      <alignment horizontal="center" vertical="top"/>
    </xf>
    <xf numFmtId="49" fontId="11" fillId="7" borderId="16" xfId="0" applyNumberFormat="1" applyFont="1" applyFill="1" applyBorder="1" applyAlignment="1">
      <alignment vertical="top" wrapText="1"/>
    </xf>
    <xf numFmtId="49" fontId="11" fillId="7" borderId="16" xfId="0" applyNumberFormat="1" applyFont="1" applyFill="1" applyBorder="1" applyAlignment="1">
      <alignment horizontal="center" vertical="top"/>
    </xf>
    <xf numFmtId="49" fontId="11" fillId="0" borderId="62" xfId="0" applyNumberFormat="1" applyFont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top" wrapText="1"/>
    </xf>
    <xf numFmtId="49" fontId="9" fillId="0" borderId="34" xfId="0" applyNumberFormat="1" applyFont="1" applyBorder="1" applyAlignment="1">
      <alignment horizontal="center" vertical="top"/>
    </xf>
    <xf numFmtId="0" fontId="0" fillId="0" borderId="34" xfId="0" applyBorder="1" applyAlignment="1">
      <alignment horizontal="left" vertical="top" wrapText="1"/>
    </xf>
    <xf numFmtId="0" fontId="11" fillId="7" borderId="17" xfId="0" applyFont="1" applyFill="1" applyBorder="1" applyAlignment="1">
      <alignment vertical="top" wrapText="1"/>
    </xf>
    <xf numFmtId="0" fontId="11" fillId="7" borderId="18" xfId="0" applyFont="1" applyFill="1" applyBorder="1" applyAlignment="1">
      <alignment vertical="top" wrapText="1"/>
    </xf>
    <xf numFmtId="49" fontId="9" fillId="0" borderId="80" xfId="0" applyNumberFormat="1" applyFont="1" applyBorder="1" applyAlignment="1">
      <alignment horizontal="center" vertical="top" wrapText="1"/>
    </xf>
    <xf numFmtId="49" fontId="9" fillId="0" borderId="81" xfId="0" applyNumberFormat="1" applyFont="1" applyBorder="1" applyAlignment="1">
      <alignment horizontal="center" vertical="top" wrapText="1"/>
    </xf>
    <xf numFmtId="49" fontId="11" fillId="0" borderId="19" xfId="0" applyNumberFormat="1" applyFont="1" applyFill="1" applyBorder="1" applyAlignment="1">
      <alignment horizontal="center" vertical="top"/>
    </xf>
    <xf numFmtId="0" fontId="9" fillId="0" borderId="55" xfId="0" applyFont="1" applyBorder="1" applyAlignment="1">
      <alignment horizontal="center" vertical="center" textRotation="90" shrinkToFit="1"/>
    </xf>
    <xf numFmtId="49" fontId="11" fillId="0" borderId="82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0" fontId="9" fillId="0" borderId="16" xfId="0" applyFont="1" applyFill="1" applyBorder="1" applyAlignment="1">
      <alignment horizontal="left" vertical="top" wrapText="1"/>
    </xf>
    <xf numFmtId="0" fontId="0" fillId="0" borderId="109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164" fontId="9" fillId="7" borderId="16" xfId="0" applyNumberFormat="1" applyFont="1" applyFill="1" applyBorder="1" applyAlignment="1">
      <alignment horizontal="center" vertical="center" textRotation="90" wrapText="1"/>
    </xf>
    <xf numFmtId="0" fontId="0" fillId="0" borderId="53" xfId="0" applyBorder="1" applyAlignment="1">
      <alignment horizontal="center" wrapText="1"/>
    </xf>
    <xf numFmtId="164" fontId="9" fillId="7" borderId="65" xfId="0" applyNumberFormat="1" applyFont="1" applyFill="1" applyBorder="1" applyAlignment="1">
      <alignment horizontal="center" vertical="center" textRotation="90" wrapText="1"/>
    </xf>
    <xf numFmtId="0" fontId="0" fillId="0" borderId="64" xfId="0" applyBorder="1" applyAlignment="1">
      <alignment horizontal="center" wrapText="1"/>
    </xf>
    <xf numFmtId="0" fontId="1" fillId="13" borderId="81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top" wrapText="1"/>
    </xf>
    <xf numFmtId="0" fontId="9" fillId="0" borderId="23" xfId="0" applyFont="1" applyBorder="1" applyAlignment="1">
      <alignment horizontal="right" vertical="top"/>
    </xf>
    <xf numFmtId="0" fontId="9" fillId="0" borderId="80" xfId="0" applyNumberFormat="1" applyFont="1" applyBorder="1" applyAlignment="1">
      <alignment horizontal="center" vertical="center" textRotation="90" shrinkToFit="1"/>
    </xf>
    <xf numFmtId="0" fontId="9" fillId="0" borderId="66" xfId="0" applyNumberFormat="1" applyFont="1" applyBorder="1" applyAlignment="1">
      <alignment horizontal="center" vertical="center" textRotation="90" shrinkToFit="1"/>
    </xf>
    <xf numFmtId="0" fontId="9" fillId="0" borderId="81" xfId="0" applyNumberFormat="1" applyFont="1" applyBorder="1" applyAlignment="1">
      <alignment horizontal="center" vertical="center" textRotation="90" shrinkToFit="1"/>
    </xf>
    <xf numFmtId="0" fontId="9" fillId="0" borderId="15" xfId="0" applyNumberFormat="1" applyFont="1" applyFill="1" applyBorder="1" applyAlignment="1">
      <alignment horizontal="center" vertical="center" textRotation="90" shrinkToFit="1"/>
    </xf>
    <xf numFmtId="0" fontId="9" fillId="0" borderId="4" xfId="0" applyNumberFormat="1" applyFont="1" applyFill="1" applyBorder="1" applyAlignment="1">
      <alignment horizontal="center" vertical="center" textRotation="90" shrinkToFit="1"/>
    </xf>
    <xf numFmtId="0" fontId="9" fillId="0" borderId="10" xfId="0" applyNumberFormat="1" applyFont="1" applyFill="1" applyBorder="1" applyAlignment="1">
      <alignment horizontal="center" vertical="center" textRotation="90" shrinkToFit="1"/>
    </xf>
    <xf numFmtId="0" fontId="11" fillId="0" borderId="11" xfId="0" applyFont="1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0" fontId="0" fillId="0" borderId="86" xfId="0" applyBorder="1" applyAlignment="1">
      <alignment horizontal="center" vertical="center" wrapText="1" shrinkToFit="1"/>
    </xf>
    <xf numFmtId="49" fontId="9" fillId="0" borderId="65" xfId="0" applyNumberFormat="1" applyFont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49" fontId="9" fillId="7" borderId="122" xfId="0" applyNumberFormat="1" applyFont="1" applyFill="1" applyBorder="1" applyAlignment="1">
      <alignment horizontal="left" vertical="top" wrapText="1"/>
    </xf>
    <xf numFmtId="49" fontId="9" fillId="7" borderId="53" xfId="0" applyNumberFormat="1" applyFont="1" applyFill="1" applyBorder="1" applyAlignment="1">
      <alignment horizontal="left" vertical="top" wrapText="1"/>
    </xf>
    <xf numFmtId="0" fontId="0" fillId="0" borderId="32" xfId="0" applyBorder="1" applyAlignment="1">
      <alignment horizontal="center" vertical="top" wrapText="1"/>
    </xf>
    <xf numFmtId="49" fontId="11" fillId="13" borderId="17" xfId="0" applyNumberFormat="1" applyFont="1" applyFill="1" applyBorder="1" applyAlignment="1">
      <alignment horizontal="center" vertical="top"/>
    </xf>
    <xf numFmtId="0" fontId="9" fillId="13" borderId="18" xfId="0" applyFont="1" applyFill="1" applyBorder="1" applyAlignment="1">
      <alignment horizontal="center" vertical="top"/>
    </xf>
    <xf numFmtId="49" fontId="9" fillId="0" borderId="29" xfId="0" applyNumberFormat="1" applyFont="1" applyBorder="1" applyAlignment="1">
      <alignment horizontal="center" vertical="top"/>
    </xf>
    <xf numFmtId="49" fontId="9" fillId="0" borderId="6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8" xfId="0" applyNumberFormat="1" applyFont="1" applyBorder="1" applyAlignment="1">
      <alignment horizontal="center" vertical="top" wrapText="1"/>
    </xf>
    <xf numFmtId="49" fontId="9" fillId="0" borderId="29" xfId="0" applyNumberFormat="1" applyFont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164" fontId="9" fillId="11" borderId="8" xfId="0" applyNumberFormat="1" applyFont="1" applyFill="1" applyBorder="1" applyAlignment="1">
      <alignment horizontal="center" vertical="top" wrapText="1"/>
    </xf>
    <xf numFmtId="164" fontId="9" fillId="11" borderId="69" xfId="0" applyNumberFormat="1" applyFont="1" applyFill="1" applyBorder="1" applyAlignment="1">
      <alignment horizontal="center" vertical="top" wrapText="1"/>
    </xf>
    <xf numFmtId="164" fontId="9" fillId="11" borderId="85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69" xfId="0" applyNumberFormat="1" applyFont="1" applyBorder="1" applyAlignment="1">
      <alignment horizontal="center" vertical="top" wrapText="1"/>
    </xf>
    <xf numFmtId="164" fontId="9" fillId="0" borderId="85" xfId="0" applyNumberFormat="1" applyFont="1" applyBorder="1" applyAlignment="1">
      <alignment horizontal="center" vertical="top" wrapText="1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7" xfId="0" applyNumberFormat="1" applyFont="1" applyBorder="1" applyAlignment="1">
      <alignment horizontal="center" vertical="top" wrapText="1"/>
    </xf>
    <xf numFmtId="164" fontId="9" fillId="0" borderId="71" xfId="0" applyNumberFormat="1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1" fillId="10" borderId="90" xfId="0" applyFont="1" applyFill="1" applyBorder="1" applyAlignment="1">
      <alignment horizontal="right" vertical="top" wrapText="1"/>
    </xf>
    <xf numFmtId="164" fontId="11" fillId="10" borderId="37" xfId="0" applyNumberFormat="1" applyFont="1" applyFill="1" applyBorder="1" applyAlignment="1">
      <alignment horizontal="center" vertical="top" wrapText="1"/>
    </xf>
    <xf numFmtId="164" fontId="11" fillId="10" borderId="22" xfId="0" applyNumberFormat="1" applyFont="1" applyFill="1" applyBorder="1" applyAlignment="1">
      <alignment horizontal="center" vertical="top" wrapText="1"/>
    </xf>
    <xf numFmtId="164" fontId="11" fillId="10" borderId="80" xfId="0" applyNumberFormat="1" applyFont="1" applyFill="1" applyBorder="1" applyAlignment="1">
      <alignment horizontal="center" vertical="top" wrapText="1"/>
    </xf>
    <xf numFmtId="164" fontId="11" fillId="11" borderId="8" xfId="0" applyNumberFormat="1" applyFont="1" applyFill="1" applyBorder="1" applyAlignment="1">
      <alignment horizontal="center" vertical="top" wrapText="1"/>
    </xf>
    <xf numFmtId="164" fontId="11" fillId="11" borderId="69" xfId="0" applyNumberFormat="1" applyFont="1" applyFill="1" applyBorder="1" applyAlignment="1">
      <alignment horizontal="center" vertical="top" wrapText="1"/>
    </xf>
    <xf numFmtId="164" fontId="11" fillId="11" borderId="85" xfId="0" applyNumberFormat="1" applyFont="1" applyFill="1" applyBorder="1" applyAlignment="1">
      <alignment horizontal="center" vertical="top" wrapText="1"/>
    </xf>
    <xf numFmtId="0" fontId="9" fillId="0" borderId="56" xfId="0" applyFont="1" applyBorder="1" applyAlignment="1">
      <alignment horizontal="left" vertical="top" wrapText="1"/>
    </xf>
    <xf numFmtId="0" fontId="9" fillId="11" borderId="56" xfId="0" applyFont="1" applyFill="1" applyBorder="1" applyAlignment="1">
      <alignment horizontal="left" vertical="top" wrapText="1"/>
    </xf>
    <xf numFmtId="0" fontId="11" fillId="10" borderId="76" xfId="0" applyFont="1" applyFill="1" applyBorder="1" applyAlignment="1">
      <alignment horizontal="right" vertical="top" wrapText="1"/>
    </xf>
    <xf numFmtId="164" fontId="11" fillId="10" borderId="7" xfId="0" applyNumberFormat="1" applyFont="1" applyFill="1" applyBorder="1" applyAlignment="1">
      <alignment horizontal="center" vertical="top" wrapText="1"/>
    </xf>
    <xf numFmtId="164" fontId="11" fillId="10" borderId="0" xfId="0" applyNumberFormat="1" applyFont="1" applyFill="1" applyBorder="1" applyAlignment="1">
      <alignment horizontal="center" vertical="top" wrapText="1"/>
    </xf>
    <xf numFmtId="164" fontId="11" fillId="10" borderId="66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0" borderId="69" xfId="0" applyNumberFormat="1" applyFont="1" applyFill="1" applyBorder="1" applyAlignment="1">
      <alignment horizontal="center" vertical="top" wrapText="1"/>
    </xf>
    <xf numFmtId="164" fontId="9" fillId="0" borderId="85" xfId="0" applyNumberFormat="1" applyFont="1" applyFill="1" applyBorder="1" applyAlignment="1">
      <alignment horizontal="center" vertical="top" wrapText="1"/>
    </xf>
    <xf numFmtId="0" fontId="9" fillId="0" borderId="70" xfId="0" applyFont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wrapText="1"/>
    </xf>
    <xf numFmtId="164" fontId="11" fillId="11" borderId="13" xfId="0" applyNumberFormat="1" applyFont="1" applyFill="1" applyBorder="1" applyAlignment="1">
      <alignment horizontal="center" vertical="top" wrapText="1"/>
    </xf>
    <xf numFmtId="164" fontId="11" fillId="11" borderId="23" xfId="0" applyNumberFormat="1" applyFont="1" applyFill="1" applyBorder="1" applyAlignment="1">
      <alignment horizontal="center" vertical="top" wrapText="1"/>
    </xf>
    <xf numFmtId="164" fontId="11" fillId="11" borderId="81" xfId="0" applyNumberFormat="1" applyFont="1" applyFill="1" applyBorder="1" applyAlignment="1">
      <alignment horizontal="center" vertical="top" wrapText="1"/>
    </xf>
    <xf numFmtId="49" fontId="5" fillId="0" borderId="66" xfId="0" applyNumberFormat="1" applyFont="1" applyBorder="1" applyAlignment="1">
      <alignment horizontal="center" vertical="top" wrapText="1"/>
    </xf>
    <xf numFmtId="49" fontId="5" fillId="0" borderId="81" xfId="0" applyNumberFormat="1" applyFont="1" applyBorder="1" applyAlignment="1">
      <alignment horizontal="center" vertical="top" wrapText="1"/>
    </xf>
    <xf numFmtId="0" fontId="5" fillId="6" borderId="53" xfId="0" applyFont="1" applyFill="1" applyBorder="1" applyAlignment="1">
      <alignment horizontal="center" vertical="top"/>
    </xf>
    <xf numFmtId="0" fontId="5" fillId="6" borderId="31" xfId="0" applyFont="1" applyFill="1" applyBorder="1" applyAlignment="1">
      <alignment horizontal="center" vertical="top"/>
    </xf>
    <xf numFmtId="0" fontId="5" fillId="0" borderId="53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6" fillId="0" borderId="90" xfId="0" applyFont="1" applyFill="1" applyBorder="1" applyAlignment="1">
      <alignment horizontal="center" vertical="top"/>
    </xf>
    <xf numFmtId="49" fontId="11" fillId="0" borderId="40" xfId="0" applyNumberFormat="1" applyFont="1" applyBorder="1" applyAlignment="1">
      <alignment horizontal="center" vertical="top"/>
    </xf>
    <xf numFmtId="49" fontId="9" fillId="0" borderId="41" xfId="0" applyNumberFormat="1" applyFont="1" applyBorder="1" applyAlignment="1">
      <alignment horizontal="center" vertical="top" wrapText="1"/>
    </xf>
    <xf numFmtId="0" fontId="5" fillId="6" borderId="28" xfId="0" applyFont="1" applyFill="1" applyBorder="1" applyAlignment="1">
      <alignment horizontal="left" vertical="top" wrapText="1"/>
    </xf>
    <xf numFmtId="0" fontId="5" fillId="6" borderId="21" xfId="0" applyFont="1" applyFill="1" applyBorder="1" applyAlignment="1">
      <alignment horizontal="left" vertical="top" wrapText="1"/>
    </xf>
    <xf numFmtId="49" fontId="5" fillId="0" borderId="40" xfId="0" quotePrefix="1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9" fillId="0" borderId="64" xfId="0" applyNumberFormat="1" applyFont="1" applyFill="1" applyBorder="1" applyAlignment="1">
      <alignment horizontal="center" vertical="top" wrapText="1"/>
    </xf>
    <xf numFmtId="0" fontId="0" fillId="0" borderId="64" xfId="0" applyBorder="1" applyAlignment="1">
      <alignment horizontal="center" vertical="top" wrapText="1"/>
    </xf>
    <xf numFmtId="0" fontId="0" fillId="0" borderId="69" xfId="0" applyBorder="1" applyAlignment="1">
      <alignment vertical="top" wrapText="1"/>
    </xf>
    <xf numFmtId="0" fontId="0" fillId="0" borderId="85" xfId="0" applyBorder="1" applyAlignment="1">
      <alignment vertical="top" wrapText="1"/>
    </xf>
    <xf numFmtId="0" fontId="5" fillId="0" borderId="64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49" fontId="11" fillId="4" borderId="0" xfId="0" applyNumberFormat="1" applyFont="1" applyFill="1" applyBorder="1" applyAlignment="1">
      <alignment horizontal="left" vertical="top"/>
    </xf>
    <xf numFmtId="49" fontId="9" fillId="0" borderId="26" xfId="0" applyNumberFormat="1" applyFont="1" applyBorder="1" applyAlignment="1">
      <alignment horizontal="center" vertical="top"/>
    </xf>
    <xf numFmtId="49" fontId="9" fillId="0" borderId="38" xfId="0" applyNumberFormat="1" applyFont="1" applyBorder="1" applyAlignment="1">
      <alignment horizontal="center" vertical="top"/>
    </xf>
    <xf numFmtId="49" fontId="5" fillId="0" borderId="53" xfId="0" quotePrefix="1" applyNumberFormat="1" applyFont="1" applyBorder="1" applyAlignment="1">
      <alignment horizontal="center" vertical="top"/>
    </xf>
    <xf numFmtId="49" fontId="5" fillId="0" borderId="80" xfId="0" applyNumberFormat="1" applyFont="1" applyBorder="1" applyAlignment="1">
      <alignment horizontal="center" vertical="top" wrapText="1"/>
    </xf>
  </cellXfs>
  <cellStyles count="7">
    <cellStyle name="Įprastas" xfId="0" builtinId="0"/>
    <cellStyle name="Įprastas 2" xfId="1"/>
    <cellStyle name="Įprastas 3" xfId="2"/>
    <cellStyle name="Įprastas 4" xfId="3"/>
    <cellStyle name="Kablelis" xfId="4" builtinId="3"/>
    <cellStyle name="Normal 2" xfId="5"/>
    <cellStyle name="Normal_biudz uz 2001 atskaitomybe3" xfId="6"/>
  </cellStyles>
  <dxfs count="0"/>
  <tableStyles count="0" defaultTableStyle="TableStyleMedium9" defaultPivotStyle="PivotStyleLight16"/>
  <colors>
    <mruColors>
      <color rgb="FFFFCCFF"/>
      <color rgb="FFCCCCFF"/>
      <color rgb="FFCCFFCC"/>
      <color rgb="FF000000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Pasirinktinis 1">
      <a:dk1>
        <a:srgbClr val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2"/>
  <sheetViews>
    <sheetView topLeftCell="A73" workbookViewId="0">
      <selection activeCell="D92" sqref="D92:D93"/>
    </sheetView>
  </sheetViews>
  <sheetFormatPr defaultRowHeight="12.75"/>
  <cols>
    <col min="1" max="1" width="3.140625" customWidth="1"/>
    <col min="2" max="3" width="3.7109375" customWidth="1"/>
    <col min="4" max="4" width="70.85546875" customWidth="1"/>
    <col min="5" max="5" width="4.42578125" customWidth="1"/>
    <col min="6" max="6" width="3.5703125" customWidth="1"/>
    <col min="7" max="7" width="4.140625" customWidth="1"/>
    <col min="8" max="8" width="5.85546875" customWidth="1"/>
    <col min="10" max="10" width="7.85546875" customWidth="1"/>
    <col min="11" max="11" width="7.28515625" customWidth="1"/>
    <col min="12" max="12" width="5.5703125" customWidth="1"/>
    <col min="14" max="14" width="7.28515625" customWidth="1"/>
    <col min="15" max="15" width="7" customWidth="1"/>
    <col min="16" max="16" width="5.42578125" customWidth="1"/>
  </cols>
  <sheetData>
    <row r="1" spans="1:16" ht="13.5" thickBot="1">
      <c r="A1" s="11"/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2.75" customHeight="1">
      <c r="A2" s="1617" t="s">
        <v>1</v>
      </c>
      <c r="B2" s="1619" t="s">
        <v>2</v>
      </c>
      <c r="C2" s="1619" t="s">
        <v>3</v>
      </c>
      <c r="D2" s="1652" t="s">
        <v>22</v>
      </c>
      <c r="E2" s="1615" t="s">
        <v>4</v>
      </c>
      <c r="F2" s="1638" t="s">
        <v>32</v>
      </c>
      <c r="G2" s="1625" t="s">
        <v>5</v>
      </c>
      <c r="H2" s="1627" t="s">
        <v>6</v>
      </c>
      <c r="I2" s="1583" t="s">
        <v>37</v>
      </c>
      <c r="J2" s="1584"/>
      <c r="K2" s="1584"/>
      <c r="L2" s="1585"/>
      <c r="M2" s="1583" t="s">
        <v>38</v>
      </c>
      <c r="N2" s="1584"/>
      <c r="O2" s="1584"/>
      <c r="P2" s="1585"/>
    </row>
    <row r="3" spans="1:16" ht="12.75" customHeight="1">
      <c r="A3" s="1618"/>
      <c r="B3" s="1620"/>
      <c r="C3" s="1620"/>
      <c r="D3" s="1653"/>
      <c r="E3" s="1616"/>
      <c r="F3" s="1639"/>
      <c r="G3" s="1626"/>
      <c r="H3" s="1628"/>
      <c r="I3" s="1586" t="s">
        <v>7</v>
      </c>
      <c r="J3" s="1594" t="s">
        <v>8</v>
      </c>
      <c r="K3" s="1594"/>
      <c r="L3" s="1595" t="s">
        <v>28</v>
      </c>
      <c r="M3" s="1586" t="s">
        <v>7</v>
      </c>
      <c r="N3" s="1594" t="s">
        <v>8</v>
      </c>
      <c r="O3" s="1594"/>
      <c r="P3" s="1595" t="s">
        <v>28</v>
      </c>
    </row>
    <row r="4" spans="1:16" ht="114.75" customHeight="1" thickBot="1">
      <c r="A4" s="1586"/>
      <c r="B4" s="1621"/>
      <c r="C4" s="1621"/>
      <c r="D4" s="1653"/>
      <c r="E4" s="1616"/>
      <c r="F4" s="1640"/>
      <c r="G4" s="1626"/>
      <c r="H4" s="1628"/>
      <c r="I4" s="1587"/>
      <c r="J4" s="13" t="s">
        <v>7</v>
      </c>
      <c r="K4" s="27" t="s">
        <v>23</v>
      </c>
      <c r="L4" s="1596"/>
      <c r="M4" s="1587"/>
      <c r="N4" s="13" t="s">
        <v>7</v>
      </c>
      <c r="O4" s="27" t="s">
        <v>23</v>
      </c>
      <c r="P4" s="1596"/>
    </row>
    <row r="5" spans="1:16" ht="14.25" customHeight="1" thickBot="1">
      <c r="A5" s="1612" t="s">
        <v>147</v>
      </c>
      <c r="B5" s="1613"/>
      <c r="C5" s="1613"/>
      <c r="D5" s="1613"/>
      <c r="E5" s="1613"/>
      <c r="F5" s="1613"/>
      <c r="G5" s="1613"/>
      <c r="H5" s="1613"/>
      <c r="I5" s="1613"/>
      <c r="J5" s="1613"/>
      <c r="K5" s="1613"/>
      <c r="L5" s="1613"/>
      <c r="M5" s="1613"/>
      <c r="N5" s="1613"/>
      <c r="O5" s="1613"/>
      <c r="P5" s="1614"/>
    </row>
    <row r="6" spans="1:16" ht="18" customHeight="1">
      <c r="A6" s="17" t="s">
        <v>9</v>
      </c>
      <c r="B6" s="1622" t="s">
        <v>9</v>
      </c>
      <c r="C6" s="1641" t="s">
        <v>9</v>
      </c>
      <c r="D6" s="1642" t="s">
        <v>137</v>
      </c>
      <c r="E6" s="21" t="s">
        <v>9</v>
      </c>
      <c r="F6" s="19"/>
      <c r="G6" s="46"/>
      <c r="H6" s="1646" t="s">
        <v>13</v>
      </c>
      <c r="I6" s="28">
        <v>2078</v>
      </c>
      <c r="J6" s="29">
        <v>2078</v>
      </c>
      <c r="K6" s="29">
        <v>1565.1</v>
      </c>
      <c r="L6" s="129"/>
      <c r="M6" s="28">
        <v>2335.6999999999998</v>
      </c>
      <c r="N6" s="60">
        <v>2335.6999999999998</v>
      </c>
      <c r="O6" s="60">
        <v>1761.9</v>
      </c>
      <c r="P6" s="30"/>
    </row>
    <row r="7" spans="1:16">
      <c r="A7" s="31"/>
      <c r="B7" s="1623"/>
      <c r="C7" s="1631"/>
      <c r="D7" s="1643"/>
      <c r="E7" s="66" t="s">
        <v>10</v>
      </c>
      <c r="F7" s="65"/>
      <c r="G7" s="50"/>
      <c r="H7" s="1647"/>
      <c r="I7" s="56">
        <v>1994.7</v>
      </c>
      <c r="J7" s="48">
        <v>1994.7</v>
      </c>
      <c r="K7" s="48">
        <v>1522.9</v>
      </c>
      <c r="L7" s="130"/>
      <c r="M7" s="56">
        <v>2221.5</v>
      </c>
      <c r="N7" s="61">
        <v>2221.5</v>
      </c>
      <c r="O7" s="61">
        <v>1696</v>
      </c>
      <c r="P7" s="43"/>
    </row>
    <row r="8" spans="1:16">
      <c r="A8" s="31"/>
      <c r="B8" s="1623"/>
      <c r="C8" s="1631"/>
      <c r="D8" s="1643"/>
      <c r="E8" s="66" t="s">
        <v>39</v>
      </c>
      <c r="F8" s="65"/>
      <c r="G8" s="50"/>
      <c r="H8" s="1647"/>
      <c r="I8" s="56">
        <v>985</v>
      </c>
      <c r="J8" s="48">
        <v>985</v>
      </c>
      <c r="K8" s="48">
        <v>752</v>
      </c>
      <c r="L8" s="130"/>
      <c r="M8" s="56">
        <v>1058.0999999999999</v>
      </c>
      <c r="N8" s="61">
        <v>1058.0999999999999</v>
      </c>
      <c r="O8" s="61">
        <v>807.9</v>
      </c>
      <c r="P8" s="43"/>
    </row>
    <row r="9" spans="1:16">
      <c r="A9" s="31"/>
      <c r="B9" s="1623"/>
      <c r="C9" s="1631"/>
      <c r="D9" s="1643"/>
      <c r="E9" s="66" t="s">
        <v>40</v>
      </c>
      <c r="F9" s="65"/>
      <c r="G9" s="50"/>
      <c r="H9" s="1647"/>
      <c r="I9" s="56">
        <v>66.099999999999994</v>
      </c>
      <c r="J9" s="48">
        <v>66.099999999999994</v>
      </c>
      <c r="K9" s="48">
        <v>50.5</v>
      </c>
      <c r="L9" s="130"/>
      <c r="M9" s="56">
        <v>65.8</v>
      </c>
      <c r="N9" s="61">
        <v>65.8</v>
      </c>
      <c r="O9" s="61">
        <v>50.3</v>
      </c>
      <c r="P9" s="43"/>
    </row>
    <row r="10" spans="1:16">
      <c r="A10" s="31"/>
      <c r="B10" s="1623"/>
      <c r="C10" s="1631"/>
      <c r="D10" s="1643"/>
      <c r="E10" s="66" t="s">
        <v>41</v>
      </c>
      <c r="F10" s="65"/>
      <c r="G10" s="50"/>
      <c r="H10" s="1647"/>
      <c r="I10" s="56">
        <v>17.299999999999997</v>
      </c>
      <c r="J10" s="48">
        <v>17.299999999999997</v>
      </c>
      <c r="K10" s="48">
        <v>13.2</v>
      </c>
      <c r="L10" s="130"/>
      <c r="M10" s="56">
        <v>45</v>
      </c>
      <c r="N10" s="61">
        <v>45</v>
      </c>
      <c r="O10" s="61">
        <v>34.4</v>
      </c>
      <c r="P10" s="43"/>
    </row>
    <row r="11" spans="1:16">
      <c r="A11" s="31"/>
      <c r="B11" s="1623"/>
      <c r="C11" s="1631"/>
      <c r="D11" s="1643"/>
      <c r="E11" s="66" t="s">
        <v>35</v>
      </c>
      <c r="F11" s="65"/>
      <c r="G11" s="50"/>
      <c r="H11" s="1647"/>
      <c r="I11" s="56">
        <v>185.5</v>
      </c>
      <c r="J11" s="48">
        <v>185.5</v>
      </c>
      <c r="K11" s="48">
        <v>141.6</v>
      </c>
      <c r="L11" s="130"/>
      <c r="M11" s="56">
        <v>227.7</v>
      </c>
      <c r="N11" s="61">
        <v>227.7</v>
      </c>
      <c r="O11" s="61">
        <v>173.8</v>
      </c>
      <c r="P11" s="43"/>
    </row>
    <row r="12" spans="1:16">
      <c r="A12" s="31"/>
      <c r="B12" s="1623"/>
      <c r="C12" s="1631"/>
      <c r="D12" s="1643"/>
      <c r="E12" s="66" t="s">
        <v>42</v>
      </c>
      <c r="F12" s="65"/>
      <c r="G12" s="50"/>
      <c r="H12" s="1647"/>
      <c r="I12" s="56">
        <v>221.2</v>
      </c>
      <c r="J12" s="48">
        <v>221.2</v>
      </c>
      <c r="K12" s="48">
        <v>168.9</v>
      </c>
      <c r="L12" s="130"/>
      <c r="M12" s="56">
        <v>241.8</v>
      </c>
      <c r="N12" s="61">
        <v>241.8</v>
      </c>
      <c r="O12" s="61">
        <v>184.6</v>
      </c>
      <c r="P12" s="43"/>
    </row>
    <row r="13" spans="1:16">
      <c r="A13" s="31"/>
      <c r="B13" s="1623"/>
      <c r="C13" s="1631"/>
      <c r="D13" s="1643"/>
      <c r="E13" s="66" t="s">
        <v>43</v>
      </c>
      <c r="F13" s="65"/>
      <c r="G13" s="50"/>
      <c r="H13" s="1647"/>
      <c r="I13" s="56">
        <v>1214.0999999999999</v>
      </c>
      <c r="J13" s="48">
        <v>1214.0999999999999</v>
      </c>
      <c r="K13" s="48">
        <v>926.9</v>
      </c>
      <c r="L13" s="130"/>
      <c r="M13" s="56">
        <v>1325.7</v>
      </c>
      <c r="N13" s="61">
        <v>1325.7</v>
      </c>
      <c r="O13" s="61">
        <v>1012.2</v>
      </c>
      <c r="P13" s="43"/>
    </row>
    <row r="14" spans="1:16">
      <c r="A14" s="31"/>
      <c r="B14" s="1623"/>
      <c r="C14" s="1631"/>
      <c r="D14" s="1643"/>
      <c r="E14" s="66" t="s">
        <v>44</v>
      </c>
      <c r="F14" s="65"/>
      <c r="G14" s="50"/>
      <c r="H14" s="1647"/>
      <c r="I14" s="56">
        <v>190.2</v>
      </c>
      <c r="J14" s="48">
        <v>190.2</v>
      </c>
      <c r="K14" s="48">
        <v>145.19999999999999</v>
      </c>
      <c r="L14" s="130"/>
      <c r="M14" s="56">
        <v>203.7</v>
      </c>
      <c r="N14" s="61">
        <v>203.7</v>
      </c>
      <c r="O14" s="61">
        <v>155.5</v>
      </c>
      <c r="P14" s="43"/>
    </row>
    <row r="15" spans="1:16">
      <c r="A15" s="31"/>
      <c r="B15" s="1623"/>
      <c r="C15" s="1631"/>
      <c r="D15" s="1643"/>
      <c r="E15" s="66" t="s">
        <v>45</v>
      </c>
      <c r="F15" s="65"/>
      <c r="G15" s="50"/>
      <c r="H15" s="1647"/>
      <c r="I15" s="56">
        <v>159.30000000000001</v>
      </c>
      <c r="J15" s="48">
        <v>159.30000000000001</v>
      </c>
      <c r="K15" s="48">
        <v>121.6</v>
      </c>
      <c r="L15" s="130"/>
      <c r="M15" s="56">
        <v>151.30000000000001</v>
      </c>
      <c r="N15" s="61">
        <v>151.30000000000001</v>
      </c>
      <c r="O15" s="61">
        <v>115.5</v>
      </c>
      <c r="P15" s="43"/>
    </row>
    <row r="16" spans="1:16">
      <c r="A16" s="31"/>
      <c r="B16" s="1623"/>
      <c r="C16" s="1631"/>
      <c r="D16" s="1643"/>
      <c r="E16" s="66" t="s">
        <v>46</v>
      </c>
      <c r="F16" s="65"/>
      <c r="G16" s="50"/>
      <c r="H16" s="1647"/>
      <c r="I16" s="56">
        <v>1218.4000000000001</v>
      </c>
      <c r="J16" s="48">
        <v>1218.4000000000001</v>
      </c>
      <c r="K16" s="48">
        <v>930.2</v>
      </c>
      <c r="L16" s="130"/>
      <c r="M16" s="56">
        <v>1274.8</v>
      </c>
      <c r="N16" s="61">
        <v>1274.8</v>
      </c>
      <c r="O16" s="61">
        <v>973.3</v>
      </c>
      <c r="P16" s="43"/>
    </row>
    <row r="17" spans="1:16">
      <c r="A17" s="31"/>
      <c r="B17" s="1623"/>
      <c r="C17" s="1631"/>
      <c r="D17" s="1643"/>
      <c r="E17" s="66" t="s">
        <v>47</v>
      </c>
      <c r="F17" s="65"/>
      <c r="G17" s="50"/>
      <c r="H17" s="1647"/>
      <c r="I17" s="56">
        <v>200.7</v>
      </c>
      <c r="J17" s="48">
        <v>200.7</v>
      </c>
      <c r="K17" s="48">
        <v>153.19999999999999</v>
      </c>
      <c r="L17" s="130"/>
      <c r="M17" s="56">
        <v>224.7</v>
      </c>
      <c r="N17" s="61">
        <v>224.7</v>
      </c>
      <c r="O17" s="61">
        <v>171.5</v>
      </c>
      <c r="P17" s="43"/>
    </row>
    <row r="18" spans="1:16">
      <c r="A18" s="31"/>
      <c r="B18" s="1623"/>
      <c r="C18" s="1631"/>
      <c r="D18" s="1643"/>
      <c r="E18" s="66" t="s">
        <v>48</v>
      </c>
      <c r="F18" s="65"/>
      <c r="G18" s="50"/>
      <c r="H18" s="1647"/>
      <c r="I18" s="56">
        <v>165.4</v>
      </c>
      <c r="J18" s="48">
        <v>165.4</v>
      </c>
      <c r="K18" s="48">
        <v>126.3</v>
      </c>
      <c r="L18" s="130"/>
      <c r="M18" s="56">
        <v>161.19999999999999</v>
      </c>
      <c r="N18" s="61">
        <v>161.19999999999999</v>
      </c>
      <c r="O18" s="61">
        <v>123.1</v>
      </c>
      <c r="P18" s="43"/>
    </row>
    <row r="19" spans="1:16">
      <c r="A19" s="31"/>
      <c r="B19" s="1623"/>
      <c r="C19" s="1631"/>
      <c r="D19" s="1643"/>
      <c r="E19" s="66" t="s">
        <v>49</v>
      </c>
      <c r="F19" s="65"/>
      <c r="G19" s="50"/>
      <c r="H19" s="1647"/>
      <c r="I19" s="56">
        <v>185.3</v>
      </c>
      <c r="J19" s="48">
        <v>185.3</v>
      </c>
      <c r="K19" s="48">
        <v>141.5</v>
      </c>
      <c r="L19" s="130"/>
      <c r="M19" s="56">
        <v>198.9</v>
      </c>
      <c r="N19" s="61">
        <v>198.9</v>
      </c>
      <c r="O19" s="61">
        <v>151.80000000000001</v>
      </c>
      <c r="P19" s="43"/>
    </row>
    <row r="20" spans="1:16">
      <c r="A20" s="31"/>
      <c r="B20" s="1623"/>
      <c r="C20" s="1631"/>
      <c r="D20" s="1643"/>
      <c r="E20" s="66" t="s">
        <v>50</v>
      </c>
      <c r="F20" s="65"/>
      <c r="G20" s="50"/>
      <c r="H20" s="1647"/>
      <c r="I20" s="56">
        <v>876.8</v>
      </c>
      <c r="J20" s="48">
        <v>876.8</v>
      </c>
      <c r="K20" s="48">
        <v>669.4</v>
      </c>
      <c r="L20" s="130"/>
      <c r="M20" s="56">
        <v>944.4</v>
      </c>
      <c r="N20" s="61">
        <v>944.4</v>
      </c>
      <c r="O20" s="61">
        <v>721</v>
      </c>
      <c r="P20" s="43"/>
    </row>
    <row r="21" spans="1:16">
      <c r="A21" s="31"/>
      <c r="B21" s="1623"/>
      <c r="C21" s="1631"/>
      <c r="D21" s="1643"/>
      <c r="E21" s="66" t="s">
        <v>51</v>
      </c>
      <c r="F21" s="65"/>
      <c r="G21" s="50"/>
      <c r="H21" s="1647"/>
      <c r="I21" s="56">
        <v>504.5</v>
      </c>
      <c r="J21" s="48">
        <v>504.5</v>
      </c>
      <c r="K21" s="48">
        <v>385.2</v>
      </c>
      <c r="L21" s="130"/>
      <c r="M21" s="56">
        <v>542.9</v>
      </c>
      <c r="N21" s="61">
        <v>542.9</v>
      </c>
      <c r="O21" s="61">
        <v>414.5</v>
      </c>
      <c r="P21" s="43"/>
    </row>
    <row r="22" spans="1:16">
      <c r="A22" s="31"/>
      <c r="B22" s="1623"/>
      <c r="C22" s="1631"/>
      <c r="D22" s="1643"/>
      <c r="E22" s="66" t="s">
        <v>52</v>
      </c>
      <c r="F22" s="65"/>
      <c r="G22" s="50"/>
      <c r="H22" s="1647"/>
      <c r="I22" s="56">
        <v>218.60000000000002</v>
      </c>
      <c r="J22" s="48">
        <v>218.60000000000002</v>
      </c>
      <c r="K22" s="48">
        <v>161.30000000000001</v>
      </c>
      <c r="L22" s="130"/>
      <c r="M22" s="56">
        <v>290.3</v>
      </c>
      <c r="N22" s="61">
        <v>290.3</v>
      </c>
      <c r="O22" s="61">
        <v>221.7</v>
      </c>
      <c r="P22" s="43"/>
    </row>
    <row r="23" spans="1:16">
      <c r="A23" s="31"/>
      <c r="B23" s="1623"/>
      <c r="C23" s="1631"/>
      <c r="D23" s="1643"/>
      <c r="E23" s="66" t="s">
        <v>53</v>
      </c>
      <c r="F23" s="65"/>
      <c r="G23" s="50"/>
      <c r="H23" s="1647"/>
      <c r="I23" s="56">
        <v>49.900000000000006</v>
      </c>
      <c r="J23" s="48">
        <v>49.900000000000006</v>
      </c>
      <c r="K23" s="48">
        <v>38.1</v>
      </c>
      <c r="L23" s="130"/>
      <c r="M23" s="56">
        <v>49.9</v>
      </c>
      <c r="N23" s="61">
        <v>49.9</v>
      </c>
      <c r="O23" s="61">
        <v>38.1</v>
      </c>
      <c r="P23" s="43"/>
    </row>
    <row r="24" spans="1:16" ht="13.5" thickBot="1">
      <c r="A24" s="31"/>
      <c r="B24" s="1623"/>
      <c r="C24" s="1631"/>
      <c r="D24" s="1644"/>
      <c r="E24" s="66" t="s">
        <v>54</v>
      </c>
      <c r="F24" s="65"/>
      <c r="G24" s="51"/>
      <c r="H24" s="1648"/>
      <c r="I24" s="57">
        <v>21.2</v>
      </c>
      <c r="J24" s="52">
        <v>21.2</v>
      </c>
      <c r="K24" s="52">
        <v>16.2</v>
      </c>
      <c r="L24" s="131"/>
      <c r="M24" s="57">
        <v>21.1</v>
      </c>
      <c r="N24" s="62">
        <v>21.1</v>
      </c>
      <c r="O24" s="62">
        <v>16.100000000000001</v>
      </c>
      <c r="P24" s="53"/>
    </row>
    <row r="25" spans="1:16" ht="13.5" thickBot="1">
      <c r="A25" s="31"/>
      <c r="B25" s="1623"/>
      <c r="C25" s="1631"/>
      <c r="D25" s="16"/>
      <c r="E25" s="21" t="s">
        <v>55</v>
      </c>
      <c r="F25" s="19"/>
      <c r="G25" s="55"/>
      <c r="H25" s="74" t="s">
        <v>56</v>
      </c>
      <c r="I25" s="24">
        <v>40.4</v>
      </c>
      <c r="J25" s="58">
        <v>40.4</v>
      </c>
      <c r="K25" s="58">
        <v>0</v>
      </c>
      <c r="L25" s="132">
        <v>0</v>
      </c>
      <c r="M25" s="24">
        <v>40.4</v>
      </c>
      <c r="N25" s="58">
        <v>40.4</v>
      </c>
      <c r="O25" s="58">
        <v>0</v>
      </c>
      <c r="P25" s="59">
        <v>0</v>
      </c>
    </row>
    <row r="26" spans="1:16" ht="15" customHeight="1" thickBot="1">
      <c r="A26" s="32"/>
      <c r="B26" s="1624"/>
      <c r="C26" s="1632"/>
      <c r="D26" s="54"/>
      <c r="E26" s="22"/>
      <c r="F26" s="20"/>
      <c r="G26" s="33"/>
      <c r="H26" s="26" t="s">
        <v>16</v>
      </c>
      <c r="I26" s="25">
        <v>10592.599999999999</v>
      </c>
      <c r="J26" s="25">
        <v>10592.599999999999</v>
      </c>
      <c r="K26" s="25">
        <v>8029.2999999999993</v>
      </c>
      <c r="L26" s="133">
        <v>0</v>
      </c>
      <c r="M26" s="25">
        <v>11624.899999999998</v>
      </c>
      <c r="N26" s="25">
        <v>11624.899999999998</v>
      </c>
      <c r="O26" s="25">
        <v>8823.2000000000025</v>
      </c>
      <c r="P26" s="67">
        <v>0</v>
      </c>
    </row>
    <row r="27" spans="1:16" ht="15" customHeight="1" thickBot="1">
      <c r="A27" s="1603" t="s">
        <v>143</v>
      </c>
      <c r="B27" s="1604"/>
      <c r="C27" s="1604"/>
      <c r="D27" s="1604"/>
      <c r="E27" s="1604"/>
      <c r="F27" s="1604"/>
      <c r="G27" s="1604"/>
      <c r="H27" s="1604"/>
      <c r="I27" s="1604"/>
      <c r="J27" s="1604"/>
      <c r="K27" s="1604"/>
      <c r="L27" s="1604"/>
      <c r="M27" s="1604"/>
      <c r="N27" s="1604"/>
      <c r="O27" s="1604"/>
      <c r="P27" s="1605"/>
    </row>
    <row r="28" spans="1:16" ht="12" customHeight="1">
      <c r="A28" s="1629" t="s">
        <v>9</v>
      </c>
      <c r="B28" s="1623" t="s">
        <v>9</v>
      </c>
      <c r="C28" s="1631" t="s">
        <v>10</v>
      </c>
      <c r="D28" s="1633" t="s">
        <v>57</v>
      </c>
      <c r="E28" s="1599"/>
      <c r="F28" s="1601" t="s">
        <v>9</v>
      </c>
      <c r="G28" s="1650"/>
      <c r="H28" s="47" t="s">
        <v>13</v>
      </c>
      <c r="I28" s="41">
        <f t="shared" ref="I28:I35" si="0">J28+L28</f>
        <v>60</v>
      </c>
      <c r="J28" s="42">
        <v>60</v>
      </c>
      <c r="K28" s="42"/>
      <c r="L28" s="134"/>
      <c r="M28" s="68">
        <f>N28+P28</f>
        <v>147</v>
      </c>
      <c r="N28" s="63">
        <v>147</v>
      </c>
      <c r="O28" s="63"/>
      <c r="P28" s="49"/>
    </row>
    <row r="29" spans="1:16" ht="15.75" customHeight="1" thickBot="1">
      <c r="A29" s="1630"/>
      <c r="B29" s="1624"/>
      <c r="C29" s="1632"/>
      <c r="D29" s="1634"/>
      <c r="E29" s="1600"/>
      <c r="F29" s="1602"/>
      <c r="G29" s="1651"/>
      <c r="H29" s="37" t="s">
        <v>16</v>
      </c>
      <c r="I29" s="36">
        <f t="shared" si="0"/>
        <v>60</v>
      </c>
      <c r="J29" s="38">
        <f>J28</f>
        <v>60</v>
      </c>
      <c r="K29" s="38"/>
      <c r="L29" s="23"/>
      <c r="M29" s="36">
        <f>N29+P29</f>
        <v>147</v>
      </c>
      <c r="N29" s="38">
        <f>N28</f>
        <v>147</v>
      </c>
      <c r="O29" s="38"/>
      <c r="P29" s="39"/>
    </row>
    <row r="30" spans="1:16" ht="14.25" customHeight="1">
      <c r="A30" s="17" t="s">
        <v>9</v>
      </c>
      <c r="B30" s="14" t="s">
        <v>9</v>
      </c>
      <c r="C30" s="1641" t="s">
        <v>11</v>
      </c>
      <c r="D30" s="1649" t="s">
        <v>58</v>
      </c>
      <c r="E30" s="1597"/>
      <c r="F30" s="1645" t="s">
        <v>9</v>
      </c>
      <c r="G30" s="1656"/>
      <c r="H30" s="40" t="s">
        <v>13</v>
      </c>
      <c r="I30" s="41">
        <f t="shared" si="0"/>
        <v>10.5</v>
      </c>
      <c r="J30" s="42">
        <v>10.5</v>
      </c>
      <c r="K30" s="42"/>
      <c r="L30" s="134"/>
      <c r="M30" s="69">
        <f>N30+P30</f>
        <v>10.5</v>
      </c>
      <c r="N30" s="64">
        <v>10.5</v>
      </c>
      <c r="O30" s="64"/>
      <c r="P30" s="43"/>
    </row>
    <row r="31" spans="1:16" ht="15" customHeight="1" thickBot="1">
      <c r="A31" s="18"/>
      <c r="B31" s="15"/>
      <c r="C31" s="1632"/>
      <c r="D31" s="1634"/>
      <c r="E31" s="1598"/>
      <c r="F31" s="1602"/>
      <c r="G31" s="1651"/>
      <c r="H31" s="44" t="s">
        <v>16</v>
      </c>
      <c r="I31" s="35">
        <f t="shared" si="0"/>
        <v>10.5</v>
      </c>
      <c r="J31" s="34">
        <f>J30</f>
        <v>10.5</v>
      </c>
      <c r="K31" s="34"/>
      <c r="L31" s="135"/>
      <c r="M31" s="35">
        <f>N31+P31</f>
        <v>10.5</v>
      </c>
      <c r="N31" s="34">
        <f>N30</f>
        <v>10.5</v>
      </c>
      <c r="O31" s="34"/>
      <c r="P31" s="45"/>
    </row>
    <row r="32" spans="1:16" s="4" customFormat="1" ht="13.5" customHeight="1" thickBot="1">
      <c r="A32" s="76" t="s">
        <v>9</v>
      </c>
      <c r="B32" s="77" t="s">
        <v>9</v>
      </c>
      <c r="C32" s="1635" t="s">
        <v>17</v>
      </c>
      <c r="D32" s="1636"/>
      <c r="E32" s="1636"/>
      <c r="F32" s="1636"/>
      <c r="G32" s="1636"/>
      <c r="H32" s="1637"/>
      <c r="I32" s="83">
        <f>L32+J32</f>
        <v>70.5</v>
      </c>
      <c r="J32" s="81">
        <f>J31+J29</f>
        <v>70.5</v>
      </c>
      <c r="K32" s="81">
        <f>K27+K29+K31</f>
        <v>0</v>
      </c>
      <c r="L32" s="82">
        <f>L27+L29+L31</f>
        <v>0</v>
      </c>
      <c r="M32" s="83">
        <f>P32+N32</f>
        <v>157.5</v>
      </c>
      <c r="N32" s="81">
        <f>N27+N29+N31</f>
        <v>157.5</v>
      </c>
      <c r="O32" s="81">
        <f>O27+O29+O31</f>
        <v>0</v>
      </c>
      <c r="P32" s="82">
        <f>P27+P29+P31</f>
        <v>0</v>
      </c>
    </row>
    <row r="33" spans="1:16" ht="11.25" customHeight="1" thickBot="1">
      <c r="A33" s="1657" t="s">
        <v>144</v>
      </c>
      <c r="B33" s="1658"/>
      <c r="C33" s="1658"/>
      <c r="D33" s="1658"/>
      <c r="E33" s="1658"/>
      <c r="F33" s="1658"/>
      <c r="G33" s="1658"/>
      <c r="H33" s="1658"/>
      <c r="I33" s="1658"/>
      <c r="J33" s="1658"/>
      <c r="K33" s="1658"/>
      <c r="L33" s="1658"/>
      <c r="M33" s="1658"/>
      <c r="N33" s="1658"/>
      <c r="O33" s="1658"/>
      <c r="P33" s="1659"/>
    </row>
    <row r="34" spans="1:16" s="2" customFormat="1" ht="20.25" customHeight="1">
      <c r="A34" s="1654" t="s">
        <v>10</v>
      </c>
      <c r="B34" s="1606" t="s">
        <v>9</v>
      </c>
      <c r="C34" s="1608" t="s">
        <v>12</v>
      </c>
      <c r="D34" s="1610" t="s">
        <v>139</v>
      </c>
      <c r="E34" s="1590"/>
      <c r="F34" s="1592"/>
      <c r="G34" s="1660"/>
      <c r="H34" s="75" t="s">
        <v>13</v>
      </c>
      <c r="I34" s="71">
        <f t="shared" si="0"/>
        <v>1173.5</v>
      </c>
      <c r="J34" s="95">
        <f>147.3+863.4</f>
        <v>1010.7</v>
      </c>
      <c r="K34" s="95"/>
      <c r="L34" s="73">
        <v>162.80000000000001</v>
      </c>
      <c r="M34" s="71">
        <v>160</v>
      </c>
      <c r="N34" s="95">
        <v>160</v>
      </c>
      <c r="O34" s="95"/>
      <c r="P34" s="72">
        <v>162.80000000000001</v>
      </c>
    </row>
    <row r="35" spans="1:16" s="2" customFormat="1" ht="20.25" customHeight="1" thickBot="1">
      <c r="A35" s="1655"/>
      <c r="B35" s="1607"/>
      <c r="C35" s="1609"/>
      <c r="D35" s="1611"/>
      <c r="E35" s="1591"/>
      <c r="F35" s="1593"/>
      <c r="G35" s="1593"/>
      <c r="H35" s="70" t="s">
        <v>16</v>
      </c>
      <c r="I35" s="122">
        <f t="shared" si="0"/>
        <v>1173.5</v>
      </c>
      <c r="J35" s="94">
        <f>J34</f>
        <v>1010.7</v>
      </c>
      <c r="K35" s="94"/>
      <c r="L35" s="123">
        <f>L34</f>
        <v>162.80000000000001</v>
      </c>
      <c r="M35" s="122">
        <f>M34</f>
        <v>160</v>
      </c>
      <c r="N35" s="94">
        <f>N34</f>
        <v>160</v>
      </c>
      <c r="O35" s="94"/>
      <c r="P35" s="124">
        <f>P34</f>
        <v>162.80000000000001</v>
      </c>
    </row>
    <row r="36" spans="1:16" s="4" customFormat="1" ht="13.5" customHeight="1" thickBot="1">
      <c r="A36" s="76" t="s">
        <v>9</v>
      </c>
      <c r="B36" s="77" t="s">
        <v>9</v>
      </c>
      <c r="C36" s="1635" t="s">
        <v>17</v>
      </c>
      <c r="D36" s="1636"/>
      <c r="E36" s="1636"/>
      <c r="F36" s="1636"/>
      <c r="G36" s="1636"/>
      <c r="H36" s="1637"/>
      <c r="I36" s="83">
        <f>L36+J36</f>
        <v>1173.5</v>
      </c>
      <c r="J36" s="81">
        <f>J35+J33</f>
        <v>1010.7</v>
      </c>
      <c r="K36" s="81">
        <f>K31+K33+K35</f>
        <v>0</v>
      </c>
      <c r="L36" s="82">
        <f>L31+L33+L35</f>
        <v>162.80000000000001</v>
      </c>
      <c r="M36" s="83">
        <f>P36+N36</f>
        <v>333.3</v>
      </c>
      <c r="N36" s="81">
        <f>N31+N33+N35</f>
        <v>170.5</v>
      </c>
      <c r="O36" s="81">
        <f>O31+O33+O35</f>
        <v>0</v>
      </c>
      <c r="P36" s="82">
        <f>P31+P33+P35</f>
        <v>162.80000000000001</v>
      </c>
    </row>
    <row r="37" spans="1:16" s="4" customFormat="1" ht="13.5" customHeight="1" thickBot="1">
      <c r="A37" s="1661" t="s">
        <v>145</v>
      </c>
      <c r="B37" s="1662"/>
      <c r="C37" s="1662"/>
      <c r="D37" s="1662"/>
      <c r="E37" s="1662"/>
      <c r="F37" s="1662"/>
      <c r="G37" s="1662"/>
      <c r="H37" s="1662"/>
      <c r="I37" s="1662"/>
      <c r="J37" s="1662"/>
      <c r="K37" s="1662"/>
      <c r="L37" s="1662"/>
      <c r="M37" s="1662"/>
      <c r="N37" s="1662"/>
      <c r="O37" s="1662"/>
      <c r="P37" s="1663"/>
    </row>
    <row r="38" spans="1:16" s="2" customFormat="1" ht="13.5" customHeight="1">
      <c r="A38" s="1654" t="s">
        <v>10</v>
      </c>
      <c r="B38" s="1606" t="s">
        <v>9</v>
      </c>
      <c r="C38" s="1608" t="s">
        <v>34</v>
      </c>
      <c r="D38" s="1610" t="s">
        <v>140</v>
      </c>
      <c r="E38" s="1590"/>
      <c r="F38" s="1592"/>
      <c r="G38" s="1660"/>
      <c r="H38" s="75" t="s">
        <v>13</v>
      </c>
      <c r="I38" s="71">
        <f>J38+L38</f>
        <v>8.4</v>
      </c>
      <c r="J38" s="95">
        <v>8.4</v>
      </c>
      <c r="K38" s="95"/>
      <c r="L38" s="73"/>
      <c r="M38" s="71">
        <f>N38+P38</f>
        <v>79.900000000000006</v>
      </c>
      <c r="N38" s="95">
        <v>79.900000000000006</v>
      </c>
      <c r="O38" s="95"/>
      <c r="P38" s="72"/>
    </row>
    <row r="39" spans="1:16" s="2" customFormat="1" ht="12" customHeight="1" thickBot="1">
      <c r="A39" s="1655"/>
      <c r="B39" s="1607"/>
      <c r="C39" s="1609"/>
      <c r="D39" s="1611"/>
      <c r="E39" s="1591"/>
      <c r="F39" s="1593"/>
      <c r="G39" s="1593"/>
      <c r="H39" s="70" t="s">
        <v>16</v>
      </c>
      <c r="I39" s="122">
        <f>J39+L39</f>
        <v>8.4</v>
      </c>
      <c r="J39" s="94">
        <f>J38</f>
        <v>8.4</v>
      </c>
      <c r="K39" s="94"/>
      <c r="L39" s="123">
        <f>L38</f>
        <v>0</v>
      </c>
      <c r="M39" s="122">
        <f>M38</f>
        <v>79.900000000000006</v>
      </c>
      <c r="N39" s="94">
        <f>N38</f>
        <v>79.900000000000006</v>
      </c>
      <c r="O39" s="94"/>
      <c r="P39" s="124">
        <f>P38</f>
        <v>0</v>
      </c>
    </row>
    <row r="40" spans="1:16" s="2" customFormat="1" ht="13.5" customHeight="1">
      <c r="A40" s="1654" t="s">
        <v>10</v>
      </c>
      <c r="B40" s="1606" t="s">
        <v>9</v>
      </c>
      <c r="C40" s="1608" t="s">
        <v>36</v>
      </c>
      <c r="D40" s="1610" t="s">
        <v>142</v>
      </c>
      <c r="E40" s="1590"/>
      <c r="F40" s="1592"/>
      <c r="G40" s="1660"/>
      <c r="H40" s="75" t="s">
        <v>13</v>
      </c>
      <c r="I40" s="71">
        <f>J40+L40</f>
        <v>71.599999999999994</v>
      </c>
      <c r="J40" s="95">
        <v>71.599999999999994</v>
      </c>
      <c r="K40" s="95"/>
      <c r="L40" s="73"/>
      <c r="M40" s="71">
        <f>N40+P40</f>
        <v>71.599999999999994</v>
      </c>
      <c r="N40" s="95">
        <v>71.599999999999994</v>
      </c>
      <c r="O40" s="95"/>
      <c r="P40" s="72"/>
    </row>
    <row r="41" spans="1:16" s="2" customFormat="1" ht="16.5" customHeight="1" thickBot="1">
      <c r="A41" s="1655"/>
      <c r="B41" s="1607"/>
      <c r="C41" s="1609"/>
      <c r="D41" s="1611"/>
      <c r="E41" s="1591"/>
      <c r="F41" s="1593"/>
      <c r="G41" s="1593"/>
      <c r="H41" s="70" t="s">
        <v>16</v>
      </c>
      <c r="I41" s="122">
        <f>J41+L41</f>
        <v>71.599999999999994</v>
      </c>
      <c r="J41" s="94">
        <f>J40</f>
        <v>71.599999999999994</v>
      </c>
      <c r="K41" s="94"/>
      <c r="L41" s="123">
        <f>L40</f>
        <v>0</v>
      </c>
      <c r="M41" s="122">
        <f>M40</f>
        <v>71.599999999999994</v>
      </c>
      <c r="N41" s="94">
        <f>N40</f>
        <v>71.599999999999994</v>
      </c>
      <c r="O41" s="94"/>
      <c r="P41" s="124">
        <f>P40</f>
        <v>0</v>
      </c>
    </row>
    <row r="42" spans="1:16" s="4" customFormat="1" ht="13.5" customHeight="1" thickBot="1">
      <c r="A42" s="76" t="s">
        <v>9</v>
      </c>
      <c r="B42" s="77" t="s">
        <v>9</v>
      </c>
      <c r="C42" s="1635" t="s">
        <v>17</v>
      </c>
      <c r="D42" s="1636"/>
      <c r="E42" s="1636"/>
      <c r="F42" s="1636"/>
      <c r="G42" s="1636"/>
      <c r="H42" s="1637"/>
      <c r="I42" s="83">
        <f>L42+J42</f>
        <v>80</v>
      </c>
      <c r="J42" s="81">
        <f>J41+J39</f>
        <v>80</v>
      </c>
      <c r="K42" s="81">
        <f>K37+K39+K41</f>
        <v>0</v>
      </c>
      <c r="L42" s="82">
        <f>L37+L39+L41</f>
        <v>0</v>
      </c>
      <c r="M42" s="83">
        <f>P42+N42</f>
        <v>151.5</v>
      </c>
      <c r="N42" s="81">
        <f>N37+N39+N41</f>
        <v>151.5</v>
      </c>
      <c r="O42" s="81">
        <f>O37+O39+O41</f>
        <v>0</v>
      </c>
      <c r="P42" s="82">
        <f>P37+P39+P41</f>
        <v>0</v>
      </c>
    </row>
    <row r="43" spans="1:16" s="4" customFormat="1" ht="13.5" customHeight="1" thickBot="1">
      <c r="A43" s="1661" t="s">
        <v>146</v>
      </c>
      <c r="B43" s="1662"/>
      <c r="C43" s="1662"/>
      <c r="D43" s="1662"/>
      <c r="E43" s="1662"/>
      <c r="F43" s="1662"/>
      <c r="G43" s="1662"/>
      <c r="H43" s="1662"/>
      <c r="I43" s="1662"/>
      <c r="J43" s="1662"/>
      <c r="K43" s="1662"/>
      <c r="L43" s="1662"/>
      <c r="M43" s="1662"/>
      <c r="N43" s="1662"/>
      <c r="O43" s="1662"/>
      <c r="P43" s="1663"/>
    </row>
    <row r="44" spans="1:16" ht="13.5" customHeight="1">
      <c r="A44" s="1673" t="s">
        <v>9</v>
      </c>
      <c r="B44" s="1675" t="s">
        <v>9</v>
      </c>
      <c r="C44" s="1677" t="s">
        <v>34</v>
      </c>
      <c r="D44" s="1666" t="s">
        <v>61</v>
      </c>
      <c r="E44" s="1668"/>
      <c r="F44" s="1588" t="s">
        <v>9</v>
      </c>
      <c r="G44" s="1670" t="s">
        <v>62</v>
      </c>
      <c r="H44" s="91" t="s">
        <v>13</v>
      </c>
      <c r="I44" s="98">
        <v>70</v>
      </c>
      <c r="J44" s="99">
        <v>70</v>
      </c>
      <c r="K44" s="99"/>
      <c r="L44" s="136"/>
      <c r="M44" s="142">
        <f>N44</f>
        <v>75</v>
      </c>
      <c r="N44" s="99">
        <v>75</v>
      </c>
      <c r="O44" s="99"/>
      <c r="P44" s="143">
        <v>0</v>
      </c>
    </row>
    <row r="45" spans="1:16" ht="12" customHeight="1" thickBot="1">
      <c r="A45" s="1674"/>
      <c r="B45" s="1676"/>
      <c r="C45" s="1678"/>
      <c r="D45" s="1667"/>
      <c r="E45" s="1669"/>
      <c r="F45" s="1589"/>
      <c r="G45" s="1671"/>
      <c r="H45" s="92" t="s">
        <v>16</v>
      </c>
      <c r="I45" s="100">
        <v>70</v>
      </c>
      <c r="J45" s="101">
        <v>70</v>
      </c>
      <c r="K45" s="101"/>
      <c r="L45" s="137">
        <v>0</v>
      </c>
      <c r="M45" s="144">
        <v>75</v>
      </c>
      <c r="N45" s="101">
        <v>75</v>
      </c>
      <c r="O45" s="101"/>
      <c r="P45" s="145">
        <v>0</v>
      </c>
    </row>
    <row r="46" spans="1:16" s="2" customFormat="1" ht="14.25" customHeight="1">
      <c r="A46" s="1654" t="s">
        <v>10</v>
      </c>
      <c r="B46" s="1672" t="s">
        <v>9</v>
      </c>
      <c r="C46" s="1608" t="s">
        <v>36</v>
      </c>
      <c r="D46" s="1679" t="s">
        <v>63</v>
      </c>
      <c r="E46" s="1590"/>
      <c r="F46" s="1592" t="s">
        <v>9</v>
      </c>
      <c r="G46" s="1664"/>
      <c r="H46" s="97" t="s">
        <v>13</v>
      </c>
      <c r="I46" s="96">
        <v>266.8</v>
      </c>
      <c r="J46" s="95">
        <v>266.8</v>
      </c>
      <c r="K46" s="95"/>
      <c r="L46" s="73"/>
      <c r="M46" s="71">
        <v>266.82499999999999</v>
      </c>
      <c r="N46" s="95">
        <v>266.8</v>
      </c>
      <c r="O46" s="95"/>
      <c r="P46" s="72"/>
    </row>
    <row r="47" spans="1:16" s="2" customFormat="1" ht="14.25" customHeight="1" thickBot="1">
      <c r="A47" s="1655"/>
      <c r="B47" s="1609"/>
      <c r="C47" s="1609"/>
      <c r="D47" s="1680"/>
      <c r="E47" s="1591"/>
      <c r="F47" s="1593"/>
      <c r="G47" s="1665"/>
      <c r="H47" s="92" t="s">
        <v>16</v>
      </c>
      <c r="I47" s="93">
        <v>266.8</v>
      </c>
      <c r="J47" s="94">
        <v>266.8</v>
      </c>
      <c r="K47" s="94"/>
      <c r="L47" s="123">
        <v>0</v>
      </c>
      <c r="M47" s="122">
        <v>266.82499999999999</v>
      </c>
      <c r="N47" s="94">
        <v>266.8</v>
      </c>
      <c r="O47" s="94"/>
      <c r="P47" s="124">
        <v>0</v>
      </c>
    </row>
    <row r="48" spans="1:16" s="3" customFormat="1" ht="14.25" customHeight="1">
      <c r="A48" s="1654" t="s">
        <v>10</v>
      </c>
      <c r="B48" s="1672" t="s">
        <v>9</v>
      </c>
      <c r="C48" s="1608" t="s">
        <v>39</v>
      </c>
      <c r="D48" s="1681" t="s">
        <v>64</v>
      </c>
      <c r="E48" s="1590"/>
      <c r="F48" s="1592" t="s">
        <v>9</v>
      </c>
      <c r="G48" s="1664"/>
      <c r="H48" s="97" t="s">
        <v>13</v>
      </c>
      <c r="I48" s="96">
        <v>98.53</v>
      </c>
      <c r="J48" s="95">
        <v>98.5</v>
      </c>
      <c r="K48" s="95"/>
      <c r="L48" s="73"/>
      <c r="M48" s="71">
        <v>116</v>
      </c>
      <c r="N48" s="95">
        <v>116</v>
      </c>
      <c r="O48" s="95"/>
      <c r="P48" s="72"/>
    </row>
    <row r="49" spans="1:16" ht="13.5" thickBot="1">
      <c r="A49" s="1655"/>
      <c r="B49" s="1609"/>
      <c r="C49" s="1609"/>
      <c r="D49" s="1682"/>
      <c r="E49" s="1591"/>
      <c r="F49" s="1593"/>
      <c r="G49" s="1665"/>
      <c r="H49" s="92" t="s">
        <v>16</v>
      </c>
      <c r="I49" s="93">
        <v>98.53</v>
      </c>
      <c r="J49" s="94">
        <v>98.5</v>
      </c>
      <c r="K49" s="94"/>
      <c r="L49" s="123">
        <v>0</v>
      </c>
      <c r="M49" s="122">
        <v>116</v>
      </c>
      <c r="N49" s="94">
        <v>116</v>
      </c>
      <c r="O49" s="94"/>
      <c r="P49" s="124">
        <v>0</v>
      </c>
    </row>
    <row r="50" spans="1:16">
      <c r="A50" s="1654" t="s">
        <v>10</v>
      </c>
      <c r="B50" s="1672" t="s">
        <v>9</v>
      </c>
      <c r="C50" s="1608" t="s">
        <v>41</v>
      </c>
      <c r="D50" s="1679" t="s">
        <v>66</v>
      </c>
      <c r="E50" s="1590"/>
      <c r="F50" s="1592" t="s">
        <v>9</v>
      </c>
      <c r="G50" s="1664"/>
      <c r="H50" s="97" t="s">
        <v>13</v>
      </c>
      <c r="I50" s="96">
        <v>1.86</v>
      </c>
      <c r="J50" s="95">
        <v>1.9</v>
      </c>
      <c r="K50" s="95"/>
      <c r="L50" s="73"/>
      <c r="M50" s="71">
        <v>2.8</v>
      </c>
      <c r="N50" s="95">
        <v>2.8</v>
      </c>
      <c r="O50" s="95"/>
      <c r="P50" s="72"/>
    </row>
    <row r="51" spans="1:16" ht="13.5" thickBot="1">
      <c r="A51" s="1655"/>
      <c r="B51" s="1609"/>
      <c r="C51" s="1609"/>
      <c r="D51" s="1680"/>
      <c r="E51" s="1591"/>
      <c r="F51" s="1593"/>
      <c r="G51" s="1665"/>
      <c r="H51" s="92" t="s">
        <v>16</v>
      </c>
      <c r="I51" s="93">
        <v>1.86</v>
      </c>
      <c r="J51" s="94">
        <v>1.9</v>
      </c>
      <c r="K51" s="94"/>
      <c r="L51" s="123">
        <v>0</v>
      </c>
      <c r="M51" s="122">
        <v>2.8</v>
      </c>
      <c r="N51" s="94">
        <v>2.8</v>
      </c>
      <c r="O51" s="94"/>
      <c r="P51" s="124">
        <v>0</v>
      </c>
    </row>
    <row r="52" spans="1:16">
      <c r="A52" s="1654" t="s">
        <v>10</v>
      </c>
      <c r="B52" s="1672" t="s">
        <v>9</v>
      </c>
      <c r="C52" s="1608" t="s">
        <v>35</v>
      </c>
      <c r="D52" s="1681" t="s">
        <v>67</v>
      </c>
      <c r="E52" s="1590"/>
      <c r="F52" s="1592" t="s">
        <v>9</v>
      </c>
      <c r="G52" s="1664"/>
      <c r="H52" s="97" t="s">
        <v>13</v>
      </c>
      <c r="I52" s="96">
        <v>24</v>
      </c>
      <c r="J52" s="95">
        <v>24</v>
      </c>
      <c r="K52" s="95"/>
      <c r="L52" s="73"/>
      <c r="M52" s="71">
        <v>43.9</v>
      </c>
      <c r="N52" s="95">
        <v>43.9</v>
      </c>
      <c r="O52" s="95"/>
      <c r="P52" s="72"/>
    </row>
    <row r="53" spans="1:16" ht="13.5" thickBot="1">
      <c r="A53" s="1655"/>
      <c r="B53" s="1609"/>
      <c r="C53" s="1609"/>
      <c r="D53" s="1682"/>
      <c r="E53" s="1591"/>
      <c r="F53" s="1593"/>
      <c r="G53" s="1665"/>
      <c r="H53" s="92" t="s">
        <v>16</v>
      </c>
      <c r="I53" s="93">
        <v>24</v>
      </c>
      <c r="J53" s="94">
        <v>24</v>
      </c>
      <c r="K53" s="94"/>
      <c r="L53" s="123">
        <v>0</v>
      </c>
      <c r="M53" s="122">
        <v>43.9</v>
      </c>
      <c r="N53" s="94">
        <v>43.9</v>
      </c>
      <c r="O53" s="94"/>
      <c r="P53" s="124">
        <v>0</v>
      </c>
    </row>
    <row r="54" spans="1:16">
      <c r="A54" s="1654" t="s">
        <v>10</v>
      </c>
      <c r="B54" s="1672" t="s">
        <v>9</v>
      </c>
      <c r="C54" s="1608" t="s">
        <v>42</v>
      </c>
      <c r="D54" s="1681" t="s">
        <v>68</v>
      </c>
      <c r="E54" s="1590"/>
      <c r="F54" s="1592" t="s">
        <v>9</v>
      </c>
      <c r="G54" s="1664"/>
      <c r="H54" s="106" t="s">
        <v>13</v>
      </c>
      <c r="I54" s="96">
        <v>49.8</v>
      </c>
      <c r="J54" s="95">
        <v>49.8</v>
      </c>
      <c r="K54" s="95"/>
      <c r="L54" s="73"/>
      <c r="M54" s="147">
        <v>57</v>
      </c>
      <c r="N54" s="118">
        <v>57</v>
      </c>
      <c r="O54" s="95"/>
      <c r="P54" s="72"/>
    </row>
    <row r="55" spans="1:16" ht="13.5" thickBot="1">
      <c r="A55" s="1655"/>
      <c r="B55" s="1609"/>
      <c r="C55" s="1609"/>
      <c r="D55" s="1682"/>
      <c r="E55" s="1591"/>
      <c r="F55" s="1593"/>
      <c r="G55" s="1665"/>
      <c r="H55" s="92" t="s">
        <v>16</v>
      </c>
      <c r="I55" s="93">
        <v>49.8</v>
      </c>
      <c r="J55" s="94">
        <v>49.8</v>
      </c>
      <c r="K55" s="94"/>
      <c r="L55" s="123">
        <v>0</v>
      </c>
      <c r="M55" s="122">
        <v>57</v>
      </c>
      <c r="N55" s="94">
        <v>57</v>
      </c>
      <c r="O55" s="94"/>
      <c r="P55" s="124">
        <v>0</v>
      </c>
    </row>
    <row r="56" spans="1:16">
      <c r="A56" s="1654" t="s">
        <v>10</v>
      </c>
      <c r="B56" s="1672" t="s">
        <v>9</v>
      </c>
      <c r="C56" s="1608" t="s">
        <v>43</v>
      </c>
      <c r="D56" s="1679" t="s">
        <v>69</v>
      </c>
      <c r="E56" s="1590"/>
      <c r="F56" s="1592" t="s">
        <v>9</v>
      </c>
      <c r="G56" s="1664"/>
      <c r="H56" s="97" t="s">
        <v>13</v>
      </c>
      <c r="I56" s="96">
        <v>4</v>
      </c>
      <c r="J56" s="95">
        <v>4</v>
      </c>
      <c r="K56" s="95"/>
      <c r="L56" s="73"/>
      <c r="M56" s="71">
        <v>4</v>
      </c>
      <c r="N56" s="95">
        <v>4</v>
      </c>
      <c r="O56" s="95"/>
      <c r="P56" s="72"/>
    </row>
    <row r="57" spans="1:16" ht="13.5" thickBot="1">
      <c r="A57" s="1655"/>
      <c r="B57" s="1609"/>
      <c r="C57" s="1609"/>
      <c r="D57" s="1680"/>
      <c r="E57" s="1591"/>
      <c r="F57" s="1593"/>
      <c r="G57" s="1665"/>
      <c r="H57" s="92" t="s">
        <v>16</v>
      </c>
      <c r="I57" s="93">
        <v>4</v>
      </c>
      <c r="J57" s="94">
        <v>4</v>
      </c>
      <c r="K57" s="94"/>
      <c r="L57" s="123">
        <v>0</v>
      </c>
      <c r="M57" s="122">
        <v>4</v>
      </c>
      <c r="N57" s="94">
        <v>4</v>
      </c>
      <c r="O57" s="94"/>
      <c r="P57" s="124">
        <v>0</v>
      </c>
    </row>
    <row r="58" spans="1:16" ht="13.5" customHeight="1" thickBot="1">
      <c r="A58" s="1705" t="s">
        <v>10</v>
      </c>
      <c r="B58" s="1672" t="s">
        <v>9</v>
      </c>
      <c r="C58" s="1608" t="s">
        <v>44</v>
      </c>
      <c r="D58" s="160" t="s">
        <v>70</v>
      </c>
      <c r="E58" s="1703"/>
      <c r="F58" s="1592" t="s">
        <v>9</v>
      </c>
      <c r="G58" s="1704"/>
      <c r="H58" s="107"/>
      <c r="I58" s="109">
        <v>25.5</v>
      </c>
      <c r="J58" s="117">
        <v>25.5</v>
      </c>
      <c r="K58" s="108"/>
      <c r="L58" s="138"/>
      <c r="M58" s="159">
        <v>30</v>
      </c>
      <c r="N58" s="117">
        <v>30</v>
      </c>
      <c r="O58" s="108"/>
      <c r="P58" s="148"/>
    </row>
    <row r="59" spans="1:16" ht="13.5" thickBot="1">
      <c r="A59" s="1591"/>
      <c r="B59" s="1702"/>
      <c r="C59" s="1702"/>
      <c r="D59" s="161"/>
      <c r="E59" s="1593"/>
      <c r="F59" s="1593"/>
      <c r="G59" s="1665"/>
      <c r="H59" s="114" t="s">
        <v>16</v>
      </c>
      <c r="I59" s="115">
        <v>25.5</v>
      </c>
      <c r="J59" s="116">
        <v>25.5</v>
      </c>
      <c r="K59" s="116"/>
      <c r="L59" s="139">
        <v>0</v>
      </c>
      <c r="M59" s="115">
        <v>30</v>
      </c>
      <c r="N59" s="116">
        <v>30</v>
      </c>
      <c r="O59" s="116"/>
      <c r="P59" s="149"/>
    </row>
    <row r="60" spans="1:16">
      <c r="A60" s="1654" t="s">
        <v>10</v>
      </c>
      <c r="B60" s="1672" t="s">
        <v>9</v>
      </c>
      <c r="C60" s="1608" t="s">
        <v>76</v>
      </c>
      <c r="D60" s="1681" t="s">
        <v>71</v>
      </c>
      <c r="E60" s="1590"/>
      <c r="F60" s="1592" t="s">
        <v>9</v>
      </c>
      <c r="G60" s="1664"/>
      <c r="H60" s="97" t="s">
        <v>13</v>
      </c>
      <c r="I60" s="96">
        <v>3.47</v>
      </c>
      <c r="J60" s="95">
        <v>3.5</v>
      </c>
      <c r="K60" s="95"/>
      <c r="L60" s="73"/>
      <c r="M60" s="71">
        <v>4.3</v>
      </c>
      <c r="N60" s="95">
        <v>4.32</v>
      </c>
      <c r="O60" s="95"/>
      <c r="P60" s="72"/>
    </row>
    <row r="61" spans="1:16" ht="13.5" thickBot="1">
      <c r="A61" s="1655"/>
      <c r="B61" s="1609"/>
      <c r="C61" s="1609"/>
      <c r="D61" s="1682"/>
      <c r="E61" s="1591"/>
      <c r="F61" s="1593"/>
      <c r="G61" s="1665"/>
      <c r="H61" s="92" t="s">
        <v>16</v>
      </c>
      <c r="I61" s="93">
        <v>3.47</v>
      </c>
      <c r="J61" s="94">
        <v>3.5</v>
      </c>
      <c r="K61" s="94"/>
      <c r="L61" s="123">
        <v>0</v>
      </c>
      <c r="M61" s="122">
        <v>4.3</v>
      </c>
      <c r="N61" s="94">
        <v>4.32</v>
      </c>
      <c r="O61" s="94"/>
      <c r="P61" s="124">
        <v>0</v>
      </c>
    </row>
    <row r="62" spans="1:16">
      <c r="A62" s="1654" t="s">
        <v>10</v>
      </c>
      <c r="B62" s="1672" t="s">
        <v>9</v>
      </c>
      <c r="C62" s="1608" t="s">
        <v>45</v>
      </c>
      <c r="D62" s="1679" t="s">
        <v>72</v>
      </c>
      <c r="E62" s="1590"/>
      <c r="F62" s="1592" t="s">
        <v>9</v>
      </c>
      <c r="G62" s="1664"/>
      <c r="H62" s="97" t="s">
        <v>13</v>
      </c>
      <c r="I62" s="96">
        <v>1.2</v>
      </c>
      <c r="J62" s="95">
        <v>1.2</v>
      </c>
      <c r="K62" s="95"/>
      <c r="L62" s="73"/>
      <c r="M62" s="71">
        <v>1.2</v>
      </c>
      <c r="N62" s="95">
        <v>1.2</v>
      </c>
      <c r="O62" s="95"/>
      <c r="P62" s="72"/>
    </row>
    <row r="63" spans="1:16" ht="13.5" thickBot="1">
      <c r="A63" s="1655"/>
      <c r="B63" s="1609"/>
      <c r="C63" s="1609"/>
      <c r="D63" s="1680"/>
      <c r="E63" s="1591"/>
      <c r="F63" s="1593"/>
      <c r="G63" s="1665"/>
      <c r="H63" s="92" t="s">
        <v>16</v>
      </c>
      <c r="I63" s="93">
        <v>1.2</v>
      </c>
      <c r="J63" s="94">
        <v>1.2</v>
      </c>
      <c r="K63" s="94"/>
      <c r="L63" s="123">
        <v>0</v>
      </c>
      <c r="M63" s="122">
        <v>1.2</v>
      </c>
      <c r="N63" s="94">
        <v>1.2</v>
      </c>
      <c r="O63" s="94"/>
      <c r="P63" s="124">
        <v>0</v>
      </c>
    </row>
    <row r="64" spans="1:16">
      <c r="A64" s="1673" t="s">
        <v>10</v>
      </c>
      <c r="B64" s="1675" t="s">
        <v>9</v>
      </c>
      <c r="C64" s="1677" t="s">
        <v>46</v>
      </c>
      <c r="D64" s="1666" t="s">
        <v>73</v>
      </c>
      <c r="E64" s="1668"/>
      <c r="F64" s="1588" t="s">
        <v>9</v>
      </c>
      <c r="G64" s="1670"/>
      <c r="H64" s="91" t="s">
        <v>13</v>
      </c>
      <c r="I64" s="98">
        <v>5.49</v>
      </c>
      <c r="J64" s="99">
        <v>5.5</v>
      </c>
      <c r="K64" s="99"/>
      <c r="L64" s="136"/>
      <c r="M64" s="146">
        <v>10.08</v>
      </c>
      <c r="N64" s="99">
        <v>10.1</v>
      </c>
      <c r="O64" s="99"/>
      <c r="P64" s="143"/>
    </row>
    <row r="65" spans="1:16" ht="13.5" thickBot="1">
      <c r="A65" s="1674"/>
      <c r="B65" s="1676"/>
      <c r="C65" s="1678"/>
      <c r="D65" s="1667"/>
      <c r="E65" s="1669"/>
      <c r="F65" s="1589"/>
      <c r="G65" s="1671"/>
      <c r="H65" s="92" t="s">
        <v>16</v>
      </c>
      <c r="I65" s="100">
        <v>5.49</v>
      </c>
      <c r="J65" s="101">
        <v>5.5</v>
      </c>
      <c r="K65" s="101"/>
      <c r="L65" s="137">
        <v>0</v>
      </c>
      <c r="M65" s="144">
        <v>10.08</v>
      </c>
      <c r="N65" s="101">
        <v>10.1</v>
      </c>
      <c r="O65" s="101"/>
      <c r="P65" s="145">
        <v>0</v>
      </c>
    </row>
    <row r="66" spans="1:16">
      <c r="A66" s="1654" t="s">
        <v>10</v>
      </c>
      <c r="B66" s="1672" t="s">
        <v>9</v>
      </c>
      <c r="C66" s="1608" t="s">
        <v>49</v>
      </c>
      <c r="D66" s="1681" t="s">
        <v>77</v>
      </c>
      <c r="E66" s="1590"/>
      <c r="F66" s="1592" t="s">
        <v>9</v>
      </c>
      <c r="G66" s="1664"/>
      <c r="H66" s="162" t="s">
        <v>13</v>
      </c>
      <c r="I66" s="96">
        <v>18</v>
      </c>
      <c r="J66" s="95">
        <v>18</v>
      </c>
      <c r="K66" s="95"/>
      <c r="L66" s="73"/>
      <c r="M66" s="147">
        <v>29.25</v>
      </c>
      <c r="N66" s="118">
        <v>29.3</v>
      </c>
      <c r="O66" s="95"/>
      <c r="P66" s="72"/>
    </row>
    <row r="67" spans="1:16" ht="13.5" thickBot="1">
      <c r="A67" s="1655"/>
      <c r="B67" s="1609"/>
      <c r="C67" s="1609"/>
      <c r="D67" s="1682"/>
      <c r="E67" s="1591"/>
      <c r="F67" s="1593"/>
      <c r="G67" s="1665"/>
      <c r="H67" s="92" t="s">
        <v>16</v>
      </c>
      <c r="I67" s="93">
        <v>18</v>
      </c>
      <c r="J67" s="94">
        <v>18</v>
      </c>
      <c r="K67" s="94"/>
      <c r="L67" s="123">
        <v>0</v>
      </c>
      <c r="M67" s="122">
        <v>29.25</v>
      </c>
      <c r="N67" s="94">
        <v>29.3</v>
      </c>
      <c r="O67" s="94"/>
      <c r="P67" s="124">
        <v>0</v>
      </c>
    </row>
    <row r="68" spans="1:16">
      <c r="A68" s="1654" t="s">
        <v>10</v>
      </c>
      <c r="B68" s="1672" t="s">
        <v>9</v>
      </c>
      <c r="C68" s="1608" t="s">
        <v>51</v>
      </c>
      <c r="D68" s="1679" t="s">
        <v>79</v>
      </c>
      <c r="E68" s="1590"/>
      <c r="F68" s="1592" t="s">
        <v>9</v>
      </c>
      <c r="G68" s="1664"/>
      <c r="H68" s="97" t="s">
        <v>13</v>
      </c>
      <c r="I68" s="96">
        <v>21</v>
      </c>
      <c r="J68" s="95">
        <v>21</v>
      </c>
      <c r="K68" s="95"/>
      <c r="L68" s="73"/>
      <c r="M68" s="71">
        <v>20.12</v>
      </c>
      <c r="N68" s="95">
        <v>20.100000000000001</v>
      </c>
      <c r="O68" s="95"/>
      <c r="P68" s="72"/>
    </row>
    <row r="69" spans="1:16" ht="13.5" thickBot="1">
      <c r="A69" s="1655"/>
      <c r="B69" s="1609"/>
      <c r="C69" s="1609"/>
      <c r="D69" s="1680"/>
      <c r="E69" s="1591"/>
      <c r="F69" s="1593"/>
      <c r="G69" s="1665"/>
      <c r="H69" s="92" t="s">
        <v>16</v>
      </c>
      <c r="I69" s="93">
        <v>21</v>
      </c>
      <c r="J69" s="94">
        <v>21</v>
      </c>
      <c r="K69" s="94"/>
      <c r="L69" s="123">
        <v>0</v>
      </c>
      <c r="M69" s="122">
        <v>20.12</v>
      </c>
      <c r="N69" s="94">
        <v>20.100000000000001</v>
      </c>
      <c r="O69" s="94"/>
      <c r="P69" s="124">
        <v>0</v>
      </c>
    </row>
    <row r="70" spans="1:16">
      <c r="A70" s="1654" t="s">
        <v>10</v>
      </c>
      <c r="B70" s="1672" t="s">
        <v>9</v>
      </c>
      <c r="C70" s="1608" t="s">
        <v>85</v>
      </c>
      <c r="D70" s="1679" t="s">
        <v>80</v>
      </c>
      <c r="E70" s="1590"/>
      <c r="F70" s="1592" t="s">
        <v>9</v>
      </c>
      <c r="G70" s="1664"/>
      <c r="H70" s="97" t="s">
        <v>13</v>
      </c>
      <c r="I70" s="96">
        <v>10.1</v>
      </c>
      <c r="J70" s="95">
        <v>10.1</v>
      </c>
      <c r="K70" s="95"/>
      <c r="L70" s="73"/>
      <c r="M70" s="71">
        <v>5.8</v>
      </c>
      <c r="N70" s="95">
        <v>5.8</v>
      </c>
      <c r="O70" s="95"/>
      <c r="P70" s="72"/>
    </row>
    <row r="71" spans="1:16" ht="13.5" thickBot="1">
      <c r="A71" s="1655"/>
      <c r="B71" s="1609"/>
      <c r="C71" s="1609"/>
      <c r="D71" s="1680"/>
      <c r="E71" s="1591"/>
      <c r="F71" s="1593"/>
      <c r="G71" s="1665"/>
      <c r="H71" s="92" t="s">
        <v>16</v>
      </c>
      <c r="I71" s="93">
        <v>10.1</v>
      </c>
      <c r="J71" s="94">
        <v>10.1</v>
      </c>
      <c r="K71" s="94"/>
      <c r="L71" s="123">
        <v>0</v>
      </c>
      <c r="M71" s="122">
        <v>5.8</v>
      </c>
      <c r="N71" s="94">
        <v>5.8</v>
      </c>
      <c r="O71" s="94"/>
      <c r="P71" s="124">
        <v>0</v>
      </c>
    </row>
    <row r="72" spans="1:16">
      <c r="A72" s="1654" t="s">
        <v>10</v>
      </c>
      <c r="B72" s="1672" t="s">
        <v>9</v>
      </c>
      <c r="C72" s="1608" t="s">
        <v>52</v>
      </c>
      <c r="D72" s="1679" t="s">
        <v>83</v>
      </c>
      <c r="E72" s="1590"/>
      <c r="F72" s="1592" t="s">
        <v>9</v>
      </c>
      <c r="G72" s="1664"/>
      <c r="H72" s="97" t="s">
        <v>13</v>
      </c>
      <c r="I72" s="96">
        <v>4.3559999999999999</v>
      </c>
      <c r="J72" s="95">
        <v>4.4000000000000004</v>
      </c>
      <c r="K72" s="95"/>
      <c r="L72" s="73"/>
      <c r="M72" s="71">
        <v>4.74</v>
      </c>
      <c r="N72" s="95">
        <v>4.7</v>
      </c>
      <c r="O72" s="95"/>
      <c r="P72" s="72"/>
    </row>
    <row r="73" spans="1:16" ht="13.5" thickBot="1">
      <c r="A73" s="1655"/>
      <c r="B73" s="1609"/>
      <c r="C73" s="1609"/>
      <c r="D73" s="1680"/>
      <c r="E73" s="1591"/>
      <c r="F73" s="1593"/>
      <c r="G73" s="1665"/>
      <c r="H73" s="92" t="s">
        <v>16</v>
      </c>
      <c r="I73" s="93">
        <v>4.3559999999999999</v>
      </c>
      <c r="J73" s="94">
        <v>4.4000000000000004</v>
      </c>
      <c r="K73" s="94"/>
      <c r="L73" s="123">
        <v>0</v>
      </c>
      <c r="M73" s="122">
        <v>4.74</v>
      </c>
      <c r="N73" s="94">
        <v>4.7</v>
      </c>
      <c r="O73" s="94"/>
      <c r="P73" s="124">
        <v>0</v>
      </c>
    </row>
    <row r="74" spans="1:16">
      <c r="A74" s="1654" t="s">
        <v>10</v>
      </c>
      <c r="B74" s="1672" t="s">
        <v>9</v>
      </c>
      <c r="C74" s="1608" t="s">
        <v>53</v>
      </c>
      <c r="D74" s="1679" t="s">
        <v>84</v>
      </c>
      <c r="E74" s="1590"/>
      <c r="F74" s="1592" t="s">
        <v>9</v>
      </c>
      <c r="G74" s="1664"/>
      <c r="H74" s="106" t="s">
        <v>13</v>
      </c>
      <c r="I74" s="96">
        <v>142.6</v>
      </c>
      <c r="J74" s="95">
        <v>142.6</v>
      </c>
      <c r="K74" s="95"/>
      <c r="L74" s="73"/>
      <c r="M74" s="147">
        <v>74.355000000000004</v>
      </c>
      <c r="N74" s="118">
        <v>74.400000000000006</v>
      </c>
      <c r="O74" s="95"/>
      <c r="P74" s="72"/>
    </row>
    <row r="75" spans="1:16" ht="13.5" thickBot="1">
      <c r="A75" s="1655"/>
      <c r="B75" s="1609"/>
      <c r="C75" s="1609"/>
      <c r="D75" s="1680"/>
      <c r="E75" s="1591"/>
      <c r="F75" s="1593"/>
      <c r="G75" s="1665"/>
      <c r="H75" s="92" t="s">
        <v>16</v>
      </c>
      <c r="I75" s="93">
        <v>142.6</v>
      </c>
      <c r="J75" s="94">
        <v>142.6</v>
      </c>
      <c r="K75" s="94"/>
      <c r="L75" s="123">
        <v>0</v>
      </c>
      <c r="M75" s="122">
        <v>74.355000000000004</v>
      </c>
      <c r="N75" s="94">
        <v>74.400000000000006</v>
      </c>
      <c r="O75" s="94"/>
      <c r="P75" s="124">
        <v>0</v>
      </c>
    </row>
    <row r="76" spans="1:16">
      <c r="A76" s="1654" t="s">
        <v>10</v>
      </c>
      <c r="B76" s="1672" t="s">
        <v>9</v>
      </c>
      <c r="C76" s="1608" t="s">
        <v>54</v>
      </c>
      <c r="D76" s="1679" t="s">
        <v>86</v>
      </c>
      <c r="E76" s="1590"/>
      <c r="F76" s="1592" t="s">
        <v>9</v>
      </c>
      <c r="G76" s="1664"/>
      <c r="H76" s="97" t="s">
        <v>13</v>
      </c>
      <c r="I76" s="96">
        <v>40.700000000000003</v>
      </c>
      <c r="J76" s="95">
        <v>40.700000000000003</v>
      </c>
      <c r="K76" s="95"/>
      <c r="L76" s="73"/>
      <c r="M76" s="71">
        <v>40.700000000000003</v>
      </c>
      <c r="N76" s="95">
        <v>40.700000000000003</v>
      </c>
      <c r="O76" s="95"/>
      <c r="P76" s="72"/>
    </row>
    <row r="77" spans="1:16" ht="13.5" thickBot="1">
      <c r="A77" s="1655"/>
      <c r="B77" s="1609"/>
      <c r="C77" s="1609"/>
      <c r="D77" s="1680"/>
      <c r="E77" s="1591"/>
      <c r="F77" s="1593"/>
      <c r="G77" s="1665"/>
      <c r="H77" s="92" t="s">
        <v>16</v>
      </c>
      <c r="I77" s="93">
        <v>40.700000000000003</v>
      </c>
      <c r="J77" s="94">
        <v>40.700000000000003</v>
      </c>
      <c r="K77" s="94"/>
      <c r="L77" s="123">
        <v>0</v>
      </c>
      <c r="M77" s="122">
        <v>40.700000000000003</v>
      </c>
      <c r="N77" s="94">
        <v>40.700000000000003</v>
      </c>
      <c r="O77" s="94"/>
      <c r="P77" s="124">
        <v>0</v>
      </c>
    </row>
    <row r="78" spans="1:16">
      <c r="A78" s="1654" t="s">
        <v>10</v>
      </c>
      <c r="B78" s="1672" t="s">
        <v>9</v>
      </c>
      <c r="C78" s="1608" t="s">
        <v>55</v>
      </c>
      <c r="D78" s="1679" t="s">
        <v>88</v>
      </c>
      <c r="E78" s="1590"/>
      <c r="F78" s="1592" t="s">
        <v>9</v>
      </c>
      <c r="G78" s="1664"/>
      <c r="H78" s="97" t="s">
        <v>13</v>
      </c>
      <c r="I78" s="96">
        <v>6.95</v>
      </c>
      <c r="J78" s="95">
        <v>7</v>
      </c>
      <c r="K78" s="95"/>
      <c r="L78" s="73"/>
      <c r="M78" s="71">
        <v>7</v>
      </c>
      <c r="N78" s="95">
        <v>7</v>
      </c>
      <c r="O78" s="95"/>
      <c r="P78" s="72"/>
    </row>
    <row r="79" spans="1:16" ht="13.5" thickBot="1">
      <c r="A79" s="1655"/>
      <c r="B79" s="1609"/>
      <c r="C79" s="1609"/>
      <c r="D79" s="1680"/>
      <c r="E79" s="1591"/>
      <c r="F79" s="1593"/>
      <c r="G79" s="1665"/>
      <c r="H79" s="92" t="s">
        <v>16</v>
      </c>
      <c r="I79" s="93">
        <v>6.95</v>
      </c>
      <c r="J79" s="94">
        <v>7</v>
      </c>
      <c r="K79" s="94"/>
      <c r="L79" s="123">
        <v>0</v>
      </c>
      <c r="M79" s="122">
        <v>7</v>
      </c>
      <c r="N79" s="94">
        <v>7</v>
      </c>
      <c r="O79" s="94"/>
      <c r="P79" s="124">
        <v>0</v>
      </c>
    </row>
    <row r="80" spans="1:16">
      <c r="A80" s="1654" t="s">
        <v>10</v>
      </c>
      <c r="B80" s="1672" t="s">
        <v>9</v>
      </c>
      <c r="C80" s="1608" t="s">
        <v>96</v>
      </c>
      <c r="D80" s="1681" t="s">
        <v>91</v>
      </c>
      <c r="E80" s="1590"/>
      <c r="F80" s="1592" t="s">
        <v>9</v>
      </c>
      <c r="G80" s="1664"/>
      <c r="H80" s="97" t="s">
        <v>13</v>
      </c>
      <c r="I80" s="96">
        <v>176</v>
      </c>
      <c r="J80" s="95">
        <v>176</v>
      </c>
      <c r="K80" s="95"/>
      <c r="L80" s="73"/>
      <c r="M80" s="71">
        <v>200</v>
      </c>
      <c r="N80" s="95">
        <v>200</v>
      </c>
      <c r="O80" s="95"/>
      <c r="P80" s="72"/>
    </row>
    <row r="81" spans="1:31" ht="13.5" thickBot="1">
      <c r="A81" s="1655"/>
      <c r="B81" s="1609"/>
      <c r="C81" s="1609"/>
      <c r="D81" s="1682"/>
      <c r="E81" s="1591"/>
      <c r="F81" s="1593"/>
      <c r="G81" s="1665"/>
      <c r="H81" s="92" t="s">
        <v>16</v>
      </c>
      <c r="I81" s="93">
        <v>176</v>
      </c>
      <c r="J81" s="94">
        <v>176</v>
      </c>
      <c r="K81" s="94"/>
      <c r="L81" s="123">
        <v>0</v>
      </c>
      <c r="M81" s="122">
        <v>200</v>
      </c>
      <c r="N81" s="94">
        <v>200</v>
      </c>
      <c r="O81" s="94"/>
      <c r="P81" s="124">
        <v>0</v>
      </c>
    </row>
    <row r="82" spans="1:31">
      <c r="A82" s="1654" t="s">
        <v>10</v>
      </c>
      <c r="B82" s="1672" t="s">
        <v>9</v>
      </c>
      <c r="C82" s="1608" t="s">
        <v>98</v>
      </c>
      <c r="D82" s="1681" t="s">
        <v>92</v>
      </c>
      <c r="E82" s="1590"/>
      <c r="F82" s="1592" t="s">
        <v>9</v>
      </c>
      <c r="G82" s="1664"/>
      <c r="H82" s="97" t="s">
        <v>13</v>
      </c>
      <c r="I82" s="96">
        <v>173</v>
      </c>
      <c r="J82" s="95">
        <v>173</v>
      </c>
      <c r="K82" s="95"/>
      <c r="L82" s="73"/>
      <c r="M82" s="71">
        <v>200</v>
      </c>
      <c r="N82" s="95">
        <v>200</v>
      </c>
      <c r="O82" s="95"/>
      <c r="P82" s="72"/>
    </row>
    <row r="83" spans="1:31" ht="13.5" thickBot="1">
      <c r="A83" s="1655"/>
      <c r="B83" s="1609"/>
      <c r="C83" s="1609"/>
      <c r="D83" s="1682"/>
      <c r="E83" s="1591"/>
      <c r="F83" s="1593"/>
      <c r="G83" s="1665"/>
      <c r="H83" s="92" t="s">
        <v>16</v>
      </c>
      <c r="I83" s="93">
        <v>173</v>
      </c>
      <c r="J83" s="94">
        <v>173</v>
      </c>
      <c r="K83" s="94"/>
      <c r="L83" s="123">
        <v>0</v>
      </c>
      <c r="M83" s="122">
        <v>200</v>
      </c>
      <c r="N83" s="94">
        <v>200</v>
      </c>
      <c r="O83" s="94"/>
      <c r="P83" s="124">
        <v>0</v>
      </c>
    </row>
    <row r="84" spans="1:31">
      <c r="A84" s="1654" t="s">
        <v>10</v>
      </c>
      <c r="B84" s="1672" t="s">
        <v>9</v>
      </c>
      <c r="C84" s="1608" t="s">
        <v>100</v>
      </c>
      <c r="D84" s="1681" t="s">
        <v>93</v>
      </c>
      <c r="E84" s="1590"/>
      <c r="F84" s="1592" t="s">
        <v>9</v>
      </c>
      <c r="G84" s="1664"/>
      <c r="H84" s="97" t="s">
        <v>13</v>
      </c>
      <c r="I84" s="96">
        <v>25.65</v>
      </c>
      <c r="J84" s="95">
        <v>25.65</v>
      </c>
      <c r="K84" s="95"/>
      <c r="L84" s="73"/>
      <c r="M84" s="71">
        <v>30</v>
      </c>
      <c r="N84" s="95">
        <v>30</v>
      </c>
      <c r="O84" s="95"/>
      <c r="P84" s="72"/>
    </row>
    <row r="85" spans="1:31" ht="13.5" thickBot="1">
      <c r="A85" s="1655"/>
      <c r="B85" s="1609"/>
      <c r="C85" s="1609"/>
      <c r="D85" s="1682"/>
      <c r="E85" s="1591"/>
      <c r="F85" s="1593"/>
      <c r="G85" s="1665"/>
      <c r="H85" s="92" t="s">
        <v>16</v>
      </c>
      <c r="I85" s="93">
        <v>25.65</v>
      </c>
      <c r="J85" s="94">
        <v>25.65</v>
      </c>
      <c r="K85" s="94"/>
      <c r="L85" s="123">
        <v>0</v>
      </c>
      <c r="M85" s="122">
        <v>30</v>
      </c>
      <c r="N85" s="94">
        <v>30</v>
      </c>
      <c r="O85" s="94"/>
      <c r="P85" s="124">
        <v>0</v>
      </c>
    </row>
    <row r="86" spans="1:31">
      <c r="A86" s="1673" t="s">
        <v>10</v>
      </c>
      <c r="B86" s="1675" t="s">
        <v>9</v>
      </c>
      <c r="C86" s="1677" t="s">
        <v>102</v>
      </c>
      <c r="D86" s="1666" t="s">
        <v>95</v>
      </c>
      <c r="E86" s="1668"/>
      <c r="F86" s="1588" t="s">
        <v>9</v>
      </c>
      <c r="G86" s="1670"/>
      <c r="H86" s="91" t="s">
        <v>13</v>
      </c>
      <c r="I86" s="98">
        <v>5.09</v>
      </c>
      <c r="J86" s="99">
        <v>5.0999999999999996</v>
      </c>
      <c r="K86" s="99"/>
      <c r="L86" s="136"/>
      <c r="M86" s="146">
        <v>6</v>
      </c>
      <c r="N86" s="99">
        <v>6</v>
      </c>
      <c r="O86" s="99"/>
      <c r="P86" s="143"/>
    </row>
    <row r="87" spans="1:31" ht="13.5" thickBot="1">
      <c r="A87" s="1674"/>
      <c r="B87" s="1676"/>
      <c r="C87" s="1678"/>
      <c r="D87" s="1667"/>
      <c r="E87" s="1669"/>
      <c r="F87" s="1589"/>
      <c r="G87" s="1671"/>
      <c r="H87" s="92" t="s">
        <v>16</v>
      </c>
      <c r="I87" s="100">
        <v>5.09</v>
      </c>
      <c r="J87" s="101">
        <v>5.0999999999999996</v>
      </c>
      <c r="K87" s="101"/>
      <c r="L87" s="137">
        <v>0</v>
      </c>
      <c r="M87" s="144">
        <v>6</v>
      </c>
      <c r="N87" s="101">
        <v>6</v>
      </c>
      <c r="O87" s="101"/>
      <c r="P87" s="145">
        <v>0</v>
      </c>
    </row>
    <row r="88" spans="1:31">
      <c r="A88" s="1654" t="s">
        <v>10</v>
      </c>
      <c r="B88" s="1672" t="s">
        <v>9</v>
      </c>
      <c r="C88" s="1608" t="s">
        <v>104</v>
      </c>
      <c r="D88" s="1694" t="s">
        <v>97</v>
      </c>
      <c r="E88" s="1590"/>
      <c r="F88" s="1592" t="s">
        <v>9</v>
      </c>
      <c r="G88" s="1664"/>
      <c r="H88" s="97" t="s">
        <v>13</v>
      </c>
      <c r="I88" s="96">
        <v>36</v>
      </c>
      <c r="J88" s="95">
        <v>36</v>
      </c>
      <c r="K88" s="95"/>
      <c r="L88" s="73"/>
      <c r="M88" s="71">
        <v>36.6</v>
      </c>
      <c r="N88" s="95">
        <v>36.6</v>
      </c>
      <c r="O88" s="95"/>
      <c r="P88" s="72"/>
    </row>
    <row r="89" spans="1:31" ht="13.5" thickBot="1">
      <c r="A89" s="1655"/>
      <c r="B89" s="1609"/>
      <c r="C89" s="1609"/>
      <c r="D89" s="1695"/>
      <c r="E89" s="1591"/>
      <c r="F89" s="1593"/>
      <c r="G89" s="1665"/>
      <c r="H89" s="92" t="s">
        <v>16</v>
      </c>
      <c r="I89" s="93">
        <v>36</v>
      </c>
      <c r="J89" s="94">
        <v>36</v>
      </c>
      <c r="K89" s="94"/>
      <c r="L89" s="123">
        <v>0</v>
      </c>
      <c r="M89" s="122">
        <v>36.6</v>
      </c>
      <c r="N89" s="94">
        <v>36.6</v>
      </c>
      <c r="O89" s="94"/>
      <c r="P89" s="124">
        <v>0</v>
      </c>
    </row>
    <row r="90" spans="1:31">
      <c r="A90" s="1654" t="s">
        <v>10</v>
      </c>
      <c r="B90" s="1672" t="s">
        <v>9</v>
      </c>
      <c r="C90" s="1608" t="s">
        <v>106</v>
      </c>
      <c r="D90" s="1679" t="s">
        <v>99</v>
      </c>
      <c r="E90" s="1590"/>
      <c r="F90" s="1592" t="s">
        <v>9</v>
      </c>
      <c r="G90" s="1664"/>
      <c r="H90" s="97" t="s">
        <v>13</v>
      </c>
      <c r="I90" s="96">
        <v>0.5</v>
      </c>
      <c r="J90" s="95">
        <v>0.5</v>
      </c>
      <c r="K90" s="95"/>
      <c r="L90" s="73"/>
      <c r="M90" s="71">
        <v>1</v>
      </c>
      <c r="N90" s="95">
        <v>1</v>
      </c>
      <c r="O90" s="95"/>
      <c r="P90" s="72"/>
    </row>
    <row r="91" spans="1:31" ht="13.5" thickBot="1">
      <c r="A91" s="1655"/>
      <c r="B91" s="1609"/>
      <c r="C91" s="1609"/>
      <c r="D91" s="1680"/>
      <c r="E91" s="1591"/>
      <c r="F91" s="1593"/>
      <c r="G91" s="1665"/>
      <c r="H91" s="92" t="s">
        <v>16</v>
      </c>
      <c r="I91" s="93">
        <v>0.5</v>
      </c>
      <c r="J91" s="94">
        <v>0.5</v>
      </c>
      <c r="K91" s="94"/>
      <c r="L91" s="123">
        <v>0</v>
      </c>
      <c r="M91" s="122">
        <v>1</v>
      </c>
      <c r="N91" s="94">
        <v>1</v>
      </c>
      <c r="O91" s="94"/>
      <c r="P91" s="124">
        <v>0</v>
      </c>
    </row>
    <row r="92" spans="1:31">
      <c r="A92" s="1654" t="s">
        <v>10</v>
      </c>
      <c r="B92" s="1672" t="s">
        <v>9</v>
      </c>
      <c r="C92" s="1608" t="s">
        <v>108</v>
      </c>
      <c r="D92" s="1679" t="s">
        <v>101</v>
      </c>
      <c r="E92" s="1590"/>
      <c r="F92" s="1592" t="s">
        <v>9</v>
      </c>
      <c r="G92" s="1664"/>
      <c r="H92" s="106" t="s">
        <v>13</v>
      </c>
      <c r="I92" s="96">
        <v>9.6</v>
      </c>
      <c r="J92" s="95">
        <v>9.6</v>
      </c>
      <c r="K92" s="95"/>
      <c r="L92" s="73"/>
      <c r="M92" s="147">
        <v>9.6</v>
      </c>
      <c r="N92" s="118">
        <v>9.6</v>
      </c>
      <c r="O92" s="95"/>
      <c r="P92" s="72"/>
    </row>
    <row r="93" spans="1:31" ht="13.5" thickBot="1">
      <c r="A93" s="1655"/>
      <c r="B93" s="1609"/>
      <c r="C93" s="1609"/>
      <c r="D93" s="1680"/>
      <c r="E93" s="1591"/>
      <c r="F93" s="1593"/>
      <c r="G93" s="1665"/>
      <c r="H93" s="92" t="s">
        <v>16</v>
      </c>
      <c r="I93" s="93">
        <v>9.6</v>
      </c>
      <c r="J93" s="94">
        <v>9.6</v>
      </c>
      <c r="K93" s="94"/>
      <c r="L93" s="123">
        <v>0</v>
      </c>
      <c r="M93" s="122">
        <v>9.6</v>
      </c>
      <c r="N93" s="94">
        <v>9.6</v>
      </c>
      <c r="O93" s="94"/>
      <c r="P93" s="124">
        <v>0</v>
      </c>
    </row>
    <row r="94" spans="1:31">
      <c r="A94" s="1654" t="s">
        <v>10</v>
      </c>
      <c r="B94" s="1672" t="s">
        <v>9</v>
      </c>
      <c r="C94" s="1608" t="s">
        <v>110</v>
      </c>
      <c r="D94" s="1679" t="s">
        <v>103</v>
      </c>
      <c r="E94" s="1590"/>
      <c r="F94" s="1592" t="s">
        <v>9</v>
      </c>
      <c r="G94" s="1664"/>
      <c r="H94" s="97" t="s">
        <v>13</v>
      </c>
      <c r="I94" s="96">
        <v>1.8</v>
      </c>
      <c r="J94" s="95">
        <v>1.8</v>
      </c>
      <c r="K94" s="95"/>
      <c r="L94" s="73"/>
      <c r="M94" s="71">
        <v>2.4</v>
      </c>
      <c r="N94" s="95">
        <v>2.4</v>
      </c>
      <c r="O94" s="95"/>
      <c r="P94" s="72"/>
    </row>
    <row r="95" spans="1:31" ht="13.5" thickBot="1">
      <c r="A95" s="1655"/>
      <c r="B95" s="1609"/>
      <c r="C95" s="1609"/>
      <c r="D95" s="1680"/>
      <c r="E95" s="1591"/>
      <c r="F95" s="1593"/>
      <c r="G95" s="1665"/>
      <c r="H95" s="92" t="s">
        <v>16</v>
      </c>
      <c r="I95" s="93">
        <v>1.8</v>
      </c>
      <c r="J95" s="94">
        <v>1.8</v>
      </c>
      <c r="K95" s="94"/>
      <c r="L95" s="123">
        <v>0</v>
      </c>
      <c r="M95" s="122">
        <v>2.4</v>
      </c>
      <c r="N95" s="94">
        <v>2.4</v>
      </c>
      <c r="O95" s="94"/>
      <c r="P95" s="124">
        <v>0</v>
      </c>
    </row>
    <row r="96" spans="1:31">
      <c r="A96" s="1654" t="s">
        <v>10</v>
      </c>
      <c r="B96" s="1672" t="s">
        <v>9</v>
      </c>
      <c r="C96" s="1608" t="s">
        <v>112</v>
      </c>
      <c r="D96" s="1679" t="s">
        <v>105</v>
      </c>
      <c r="E96" s="1590"/>
      <c r="F96" s="1592" t="s">
        <v>9</v>
      </c>
      <c r="G96" s="1664"/>
      <c r="H96" s="110" t="s">
        <v>13</v>
      </c>
      <c r="I96" s="111">
        <v>0.34799999999999998</v>
      </c>
      <c r="J96" s="112">
        <v>0.3</v>
      </c>
      <c r="K96" s="112"/>
      <c r="L96" s="140">
        <v>0</v>
      </c>
      <c r="M96" s="163">
        <v>0.3</v>
      </c>
      <c r="N96" s="164">
        <v>0.3</v>
      </c>
      <c r="O96" s="112"/>
      <c r="P96" s="151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</row>
    <row r="97" spans="1:31" ht="13.5" thickBot="1">
      <c r="A97" s="1655"/>
      <c r="B97" s="1609"/>
      <c r="C97" s="1609"/>
      <c r="D97" s="1680"/>
      <c r="E97" s="1591"/>
      <c r="F97" s="1593"/>
      <c r="G97" s="1665"/>
      <c r="H97" s="92" t="s">
        <v>16</v>
      </c>
      <c r="I97" s="93">
        <v>0.34799999999999998</v>
      </c>
      <c r="J97" s="94">
        <v>0.3</v>
      </c>
      <c r="K97" s="94"/>
      <c r="L97" s="123">
        <v>0</v>
      </c>
      <c r="M97" s="122">
        <v>0.3</v>
      </c>
      <c r="N97" s="94">
        <v>0.3</v>
      </c>
      <c r="O97" s="94"/>
      <c r="P97" s="124">
        <v>0</v>
      </c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</row>
    <row r="98" spans="1:31">
      <c r="A98" s="1654" t="s">
        <v>10</v>
      </c>
      <c r="B98" s="1672" t="s">
        <v>9</v>
      </c>
      <c r="C98" s="1608" t="s">
        <v>114</v>
      </c>
      <c r="D98" s="1679" t="s">
        <v>107</v>
      </c>
      <c r="E98" s="1590"/>
      <c r="F98" s="1592" t="s">
        <v>9</v>
      </c>
      <c r="G98" s="1664"/>
      <c r="H98" s="97" t="s">
        <v>13</v>
      </c>
      <c r="I98" s="96">
        <v>2</v>
      </c>
      <c r="J98" s="95">
        <v>2</v>
      </c>
      <c r="K98" s="95"/>
      <c r="L98" s="73"/>
      <c r="M98" s="71">
        <v>2</v>
      </c>
      <c r="N98" s="95">
        <v>2</v>
      </c>
      <c r="O98" s="95"/>
      <c r="P98" s="72"/>
    </row>
    <row r="99" spans="1:31" ht="13.5" thickBot="1">
      <c r="A99" s="1655"/>
      <c r="B99" s="1609"/>
      <c r="C99" s="1609"/>
      <c r="D99" s="1680"/>
      <c r="E99" s="1591"/>
      <c r="F99" s="1593"/>
      <c r="G99" s="1665"/>
      <c r="H99" s="92" t="s">
        <v>16</v>
      </c>
      <c r="I99" s="93">
        <v>2</v>
      </c>
      <c r="J99" s="94">
        <v>2</v>
      </c>
      <c r="K99" s="94"/>
      <c r="L99" s="123">
        <v>0</v>
      </c>
      <c r="M99" s="122">
        <v>2</v>
      </c>
      <c r="N99" s="94">
        <v>2</v>
      </c>
      <c r="O99" s="94"/>
      <c r="P99" s="124">
        <v>0</v>
      </c>
    </row>
    <row r="100" spans="1:31">
      <c r="A100" s="1654" t="s">
        <v>10</v>
      </c>
      <c r="B100" s="1672" t="s">
        <v>9</v>
      </c>
      <c r="C100" s="1608" t="s">
        <v>116</v>
      </c>
      <c r="D100" s="1679" t="s">
        <v>109</v>
      </c>
      <c r="E100" s="1590"/>
      <c r="F100" s="1592" t="s">
        <v>9</v>
      </c>
      <c r="G100" s="1664"/>
      <c r="H100" s="97" t="s">
        <v>13</v>
      </c>
      <c r="I100" s="96">
        <v>109.771</v>
      </c>
      <c r="J100" s="95">
        <v>109.8</v>
      </c>
      <c r="K100" s="95"/>
      <c r="L100" s="73"/>
      <c r="M100" s="71">
        <v>135.738</v>
      </c>
      <c r="N100" s="95">
        <v>135.69999999999999</v>
      </c>
      <c r="O100" s="95"/>
      <c r="P100" s="72"/>
    </row>
    <row r="101" spans="1:31" ht="13.5" thickBot="1">
      <c r="A101" s="1655"/>
      <c r="B101" s="1609"/>
      <c r="C101" s="1609"/>
      <c r="D101" s="1680"/>
      <c r="E101" s="1591"/>
      <c r="F101" s="1593"/>
      <c r="G101" s="1665"/>
      <c r="H101" s="92" t="s">
        <v>16</v>
      </c>
      <c r="I101" s="93">
        <v>109.771</v>
      </c>
      <c r="J101" s="94">
        <v>109.8</v>
      </c>
      <c r="K101" s="94"/>
      <c r="L101" s="123">
        <v>0</v>
      </c>
      <c r="M101" s="122">
        <v>135.738</v>
      </c>
      <c r="N101" s="94">
        <v>135.69999999999999</v>
      </c>
      <c r="O101" s="94"/>
      <c r="P101" s="124">
        <v>0</v>
      </c>
    </row>
    <row r="102" spans="1:31">
      <c r="A102" s="1654" t="s">
        <v>10</v>
      </c>
      <c r="B102" s="1672" t="s">
        <v>9</v>
      </c>
      <c r="C102" s="1608" t="s">
        <v>118</v>
      </c>
      <c r="D102" s="1679" t="s">
        <v>111</v>
      </c>
      <c r="E102" s="1590"/>
      <c r="F102" s="1592" t="s">
        <v>9</v>
      </c>
      <c r="G102" s="1664"/>
      <c r="H102" s="97" t="s">
        <v>13</v>
      </c>
      <c r="I102" s="96">
        <v>3.3</v>
      </c>
      <c r="J102" s="95">
        <v>3.3</v>
      </c>
      <c r="K102" s="95"/>
      <c r="L102" s="73"/>
      <c r="M102" s="71">
        <v>3.3</v>
      </c>
      <c r="N102" s="95">
        <v>3.3</v>
      </c>
      <c r="O102" s="95"/>
      <c r="P102" s="72"/>
    </row>
    <row r="103" spans="1:31" ht="13.5" thickBot="1">
      <c r="A103" s="1655"/>
      <c r="B103" s="1609"/>
      <c r="C103" s="1609"/>
      <c r="D103" s="1680"/>
      <c r="E103" s="1591"/>
      <c r="F103" s="1593"/>
      <c r="G103" s="1665"/>
      <c r="H103" s="92" t="s">
        <v>16</v>
      </c>
      <c r="I103" s="93">
        <v>3.3</v>
      </c>
      <c r="J103" s="94">
        <v>3.3</v>
      </c>
      <c r="K103" s="94"/>
      <c r="L103" s="123">
        <v>0</v>
      </c>
      <c r="M103" s="122">
        <v>3.3</v>
      </c>
      <c r="N103" s="94">
        <v>3.3</v>
      </c>
      <c r="O103" s="94"/>
      <c r="P103" s="124">
        <v>0</v>
      </c>
    </row>
    <row r="104" spans="1:31">
      <c r="A104" s="1673" t="s">
        <v>10</v>
      </c>
      <c r="B104" s="1675" t="s">
        <v>9</v>
      </c>
      <c r="C104" s="1677" t="s">
        <v>120</v>
      </c>
      <c r="D104" s="1697" t="s">
        <v>113</v>
      </c>
      <c r="E104" s="1668"/>
      <c r="F104" s="1588" t="s">
        <v>9</v>
      </c>
      <c r="G104" s="1670"/>
      <c r="H104" s="91" t="s">
        <v>13</v>
      </c>
      <c r="I104" s="98">
        <v>29.058</v>
      </c>
      <c r="J104" s="99">
        <v>29.1</v>
      </c>
      <c r="K104" s="99"/>
      <c r="L104" s="136"/>
      <c r="M104" s="146">
        <v>27.8</v>
      </c>
      <c r="N104" s="99">
        <v>27.8</v>
      </c>
      <c r="O104" s="99"/>
      <c r="P104" s="143"/>
    </row>
    <row r="105" spans="1:31">
      <c r="A105" s="1685"/>
      <c r="B105" s="1686"/>
      <c r="C105" s="1687"/>
      <c r="D105" s="1698"/>
      <c r="E105" s="1706"/>
      <c r="F105" s="1696"/>
      <c r="G105" s="1707"/>
      <c r="H105" s="102"/>
      <c r="I105" s="103"/>
      <c r="J105" s="104"/>
      <c r="K105" s="104"/>
      <c r="L105" s="141"/>
      <c r="M105" s="152"/>
      <c r="N105" s="104"/>
      <c r="O105" s="104"/>
      <c r="P105" s="153"/>
    </row>
    <row r="106" spans="1:31" ht="13.5" thickBot="1">
      <c r="A106" s="1674"/>
      <c r="B106" s="1676"/>
      <c r="C106" s="1678"/>
      <c r="D106" s="1699"/>
      <c r="E106" s="1669"/>
      <c r="F106" s="1589"/>
      <c r="G106" s="1671"/>
      <c r="H106" s="92" t="s">
        <v>16</v>
      </c>
      <c r="I106" s="100">
        <v>29.058</v>
      </c>
      <c r="J106" s="101">
        <v>29.1</v>
      </c>
      <c r="K106" s="101"/>
      <c r="L106" s="137">
        <v>0</v>
      </c>
      <c r="M106" s="144">
        <v>27.8</v>
      </c>
      <c r="N106" s="101">
        <v>27.8</v>
      </c>
      <c r="O106" s="101"/>
      <c r="P106" s="145">
        <v>0</v>
      </c>
    </row>
    <row r="107" spans="1:31">
      <c r="A107" s="1654" t="s">
        <v>10</v>
      </c>
      <c r="B107" s="1672" t="s">
        <v>9</v>
      </c>
      <c r="C107" s="1608" t="s">
        <v>122</v>
      </c>
      <c r="D107" s="1679" t="s">
        <v>115</v>
      </c>
      <c r="E107" s="1590"/>
      <c r="F107" s="1592" t="s">
        <v>9</v>
      </c>
      <c r="G107" s="1664"/>
      <c r="H107" s="97" t="s">
        <v>13</v>
      </c>
      <c r="I107" s="96">
        <v>7.99</v>
      </c>
      <c r="J107" s="95">
        <v>8</v>
      </c>
      <c r="K107" s="95"/>
      <c r="L107" s="73"/>
      <c r="M107" s="71">
        <v>8</v>
      </c>
      <c r="N107" s="95">
        <v>8</v>
      </c>
      <c r="O107" s="95"/>
      <c r="P107" s="72"/>
    </row>
    <row r="108" spans="1:31" ht="13.5" thickBot="1">
      <c r="A108" s="1655"/>
      <c r="B108" s="1609"/>
      <c r="C108" s="1609"/>
      <c r="D108" s="1680"/>
      <c r="E108" s="1591"/>
      <c r="F108" s="1593"/>
      <c r="G108" s="1665"/>
      <c r="H108" s="92" t="s">
        <v>16</v>
      </c>
      <c r="I108" s="93">
        <v>7.99</v>
      </c>
      <c r="J108" s="94">
        <v>8</v>
      </c>
      <c r="K108" s="94"/>
      <c r="L108" s="123">
        <v>0</v>
      </c>
      <c r="M108" s="122">
        <v>8</v>
      </c>
      <c r="N108" s="94">
        <v>8</v>
      </c>
      <c r="O108" s="94"/>
      <c r="P108" s="124">
        <v>0</v>
      </c>
    </row>
    <row r="109" spans="1:31">
      <c r="A109" s="1654" t="s">
        <v>10</v>
      </c>
      <c r="B109" s="1672" t="s">
        <v>9</v>
      </c>
      <c r="C109" s="1608" t="s">
        <v>128</v>
      </c>
      <c r="D109" s="1679" t="s">
        <v>121</v>
      </c>
      <c r="E109" s="1590"/>
      <c r="F109" s="1592" t="s">
        <v>9</v>
      </c>
      <c r="G109" s="1664"/>
      <c r="H109" s="97" t="s">
        <v>13</v>
      </c>
      <c r="I109" s="96">
        <v>49.5</v>
      </c>
      <c r="J109" s="95">
        <v>49.5</v>
      </c>
      <c r="K109" s="95"/>
      <c r="L109" s="73"/>
      <c r="M109" s="71">
        <v>50</v>
      </c>
      <c r="N109" s="95">
        <v>50</v>
      </c>
      <c r="O109" s="95"/>
      <c r="P109" s="72"/>
    </row>
    <row r="110" spans="1:31" ht="13.5" thickBot="1">
      <c r="A110" s="1655"/>
      <c r="B110" s="1609"/>
      <c r="C110" s="1609"/>
      <c r="D110" s="1680"/>
      <c r="E110" s="1591"/>
      <c r="F110" s="1593"/>
      <c r="G110" s="1665"/>
      <c r="H110" s="92" t="s">
        <v>16</v>
      </c>
      <c r="I110" s="93">
        <v>49.5</v>
      </c>
      <c r="J110" s="94">
        <v>49.5</v>
      </c>
      <c r="K110" s="94"/>
      <c r="L110" s="123">
        <v>0</v>
      </c>
      <c r="M110" s="122">
        <v>50</v>
      </c>
      <c r="N110" s="94">
        <v>50</v>
      </c>
      <c r="O110" s="94"/>
      <c r="P110" s="124">
        <v>0</v>
      </c>
    </row>
    <row r="111" spans="1:31">
      <c r="A111" s="1654" t="s">
        <v>10</v>
      </c>
      <c r="B111" s="1672" t="s">
        <v>9</v>
      </c>
      <c r="C111" s="1608" t="s">
        <v>130</v>
      </c>
      <c r="D111" s="1694" t="s">
        <v>123</v>
      </c>
      <c r="E111" s="1590"/>
      <c r="F111" s="1592" t="s">
        <v>9</v>
      </c>
      <c r="G111" s="1664"/>
      <c r="H111" s="110" t="s">
        <v>13</v>
      </c>
      <c r="I111" s="111">
        <v>8.86</v>
      </c>
      <c r="J111" s="112">
        <v>8.9</v>
      </c>
      <c r="K111" s="112"/>
      <c r="L111" s="140">
        <v>0</v>
      </c>
      <c r="M111" s="150">
        <v>8.9</v>
      </c>
      <c r="N111" s="113">
        <v>8.9</v>
      </c>
      <c r="O111" s="112"/>
      <c r="P111" s="151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</row>
    <row r="112" spans="1:31" ht="13.5" thickBot="1">
      <c r="A112" s="1655"/>
      <c r="B112" s="1609"/>
      <c r="C112" s="1609"/>
      <c r="D112" s="1695"/>
      <c r="E112" s="1591"/>
      <c r="F112" s="1593"/>
      <c r="G112" s="1665"/>
      <c r="H112" s="92" t="s">
        <v>16</v>
      </c>
      <c r="I112" s="93">
        <v>8.86</v>
      </c>
      <c r="J112" s="94">
        <v>8.9</v>
      </c>
      <c r="K112" s="94"/>
      <c r="L112" s="123">
        <v>0</v>
      </c>
      <c r="M112" s="122">
        <v>8.9</v>
      </c>
      <c r="N112" s="94">
        <v>8.9</v>
      </c>
      <c r="O112" s="94"/>
      <c r="P112" s="124">
        <v>0</v>
      </c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</row>
    <row r="113" spans="1:31">
      <c r="A113" s="1654" t="s">
        <v>10</v>
      </c>
      <c r="B113" s="1672" t="s">
        <v>9</v>
      </c>
      <c r="C113" s="1608" t="s">
        <v>133</v>
      </c>
      <c r="D113" s="1679" t="s">
        <v>127</v>
      </c>
      <c r="E113" s="1590"/>
      <c r="F113" s="1592" t="s">
        <v>9</v>
      </c>
      <c r="G113" s="1664"/>
      <c r="H113" s="97" t="s">
        <v>13</v>
      </c>
      <c r="I113" s="96">
        <v>5.89</v>
      </c>
      <c r="J113" s="95">
        <v>5.9</v>
      </c>
      <c r="K113" s="95"/>
      <c r="L113" s="73"/>
      <c r="M113" s="71">
        <v>5.13</v>
      </c>
      <c r="N113" s="95">
        <v>5.0999999999999996</v>
      </c>
      <c r="O113" s="95"/>
      <c r="P113" s="72"/>
    </row>
    <row r="114" spans="1:31" ht="13.5" thickBot="1">
      <c r="A114" s="1655"/>
      <c r="B114" s="1609"/>
      <c r="C114" s="1609"/>
      <c r="D114" s="1680"/>
      <c r="E114" s="1591"/>
      <c r="F114" s="1593"/>
      <c r="G114" s="1665"/>
      <c r="H114" s="92" t="s">
        <v>16</v>
      </c>
      <c r="I114" s="93">
        <v>5.89</v>
      </c>
      <c r="J114" s="94">
        <v>5.9</v>
      </c>
      <c r="K114" s="94"/>
      <c r="L114" s="123">
        <v>0</v>
      </c>
      <c r="M114" s="122">
        <v>5.13</v>
      </c>
      <c r="N114" s="94">
        <v>5.0999999999999996</v>
      </c>
      <c r="O114" s="94"/>
      <c r="P114" s="124">
        <v>0</v>
      </c>
    </row>
    <row r="115" spans="1:31">
      <c r="A115" s="1654" t="s">
        <v>10</v>
      </c>
      <c r="B115" s="1672" t="s">
        <v>9</v>
      </c>
      <c r="C115" s="1608" t="s">
        <v>134</v>
      </c>
      <c r="D115" s="1679" t="s">
        <v>129</v>
      </c>
      <c r="E115" s="1590"/>
      <c r="F115" s="1592" t="s">
        <v>9</v>
      </c>
      <c r="G115" s="1664"/>
      <c r="H115" s="110" t="s">
        <v>13</v>
      </c>
      <c r="I115" s="111">
        <v>16.29</v>
      </c>
      <c r="J115" s="112">
        <v>16.3</v>
      </c>
      <c r="K115" s="112"/>
      <c r="L115" s="140">
        <v>0</v>
      </c>
      <c r="M115" s="163">
        <v>17</v>
      </c>
      <c r="N115" s="164">
        <v>17</v>
      </c>
      <c r="O115" s="112"/>
      <c r="P115" s="151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</row>
    <row r="116" spans="1:31" ht="13.5" thickBot="1">
      <c r="A116" s="1655"/>
      <c r="B116" s="1609"/>
      <c r="C116" s="1609"/>
      <c r="D116" s="1680"/>
      <c r="E116" s="1591"/>
      <c r="F116" s="1593"/>
      <c r="G116" s="1665"/>
      <c r="H116" s="92" t="s">
        <v>16</v>
      </c>
      <c r="I116" s="93">
        <v>16.29</v>
      </c>
      <c r="J116" s="94">
        <v>16.3</v>
      </c>
      <c r="K116" s="94"/>
      <c r="L116" s="123">
        <v>0</v>
      </c>
      <c r="M116" s="115">
        <v>17</v>
      </c>
      <c r="N116" s="116">
        <v>17</v>
      </c>
      <c r="O116" s="116"/>
      <c r="P116" s="149">
        <v>0</v>
      </c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</row>
    <row r="117" spans="1:31">
      <c r="A117" s="1673" t="s">
        <v>10</v>
      </c>
      <c r="B117" s="1675" t="s">
        <v>9</v>
      </c>
      <c r="C117" s="1677" t="s">
        <v>40</v>
      </c>
      <c r="D117" s="1689" t="s">
        <v>65</v>
      </c>
      <c r="E117" s="1668"/>
      <c r="F117" s="1588" t="s">
        <v>9</v>
      </c>
      <c r="G117" s="1670"/>
      <c r="H117" s="91" t="s">
        <v>13</v>
      </c>
      <c r="I117" s="98"/>
      <c r="J117" s="99"/>
      <c r="K117" s="99"/>
      <c r="L117" s="136"/>
      <c r="M117" s="146">
        <v>42.9</v>
      </c>
      <c r="N117" s="99">
        <v>42.9</v>
      </c>
      <c r="O117" s="99"/>
      <c r="P117" s="143"/>
    </row>
    <row r="118" spans="1:31" ht="13.5" thickBot="1">
      <c r="A118" s="1674"/>
      <c r="B118" s="1676"/>
      <c r="C118" s="1678"/>
      <c r="D118" s="1690"/>
      <c r="E118" s="1669"/>
      <c r="F118" s="1589"/>
      <c r="G118" s="1671"/>
      <c r="H118" s="92" t="s">
        <v>16</v>
      </c>
      <c r="I118" s="100">
        <v>0</v>
      </c>
      <c r="J118" s="101">
        <v>0</v>
      </c>
      <c r="K118" s="101"/>
      <c r="L118" s="137">
        <v>0</v>
      </c>
      <c r="M118" s="144">
        <v>42.9</v>
      </c>
      <c r="N118" s="101">
        <v>42.9</v>
      </c>
      <c r="O118" s="101"/>
      <c r="P118" s="145">
        <v>0</v>
      </c>
    </row>
    <row r="119" spans="1:31">
      <c r="A119" s="1654" t="s">
        <v>10</v>
      </c>
      <c r="B119" s="1672" t="s">
        <v>9</v>
      </c>
      <c r="C119" s="1608" t="s">
        <v>47</v>
      </c>
      <c r="D119" s="1683" t="s">
        <v>74</v>
      </c>
      <c r="E119" s="1590"/>
      <c r="F119" s="1592" t="s">
        <v>9</v>
      </c>
      <c r="G119" s="1664"/>
      <c r="H119" s="97" t="s">
        <v>13</v>
      </c>
      <c r="I119" s="96"/>
      <c r="J119" s="95"/>
      <c r="K119" s="95"/>
      <c r="L119" s="73"/>
      <c r="M119" s="71">
        <v>2.5</v>
      </c>
      <c r="N119" s="95">
        <v>2.5</v>
      </c>
      <c r="O119" s="95"/>
      <c r="P119" s="72"/>
    </row>
    <row r="120" spans="1:31" ht="13.5" thickBot="1">
      <c r="A120" s="1655"/>
      <c r="B120" s="1609"/>
      <c r="C120" s="1609"/>
      <c r="D120" s="1684"/>
      <c r="E120" s="1591"/>
      <c r="F120" s="1593"/>
      <c r="G120" s="1665"/>
      <c r="H120" s="92" t="s">
        <v>16</v>
      </c>
      <c r="I120" s="93">
        <v>0</v>
      </c>
      <c r="J120" s="94">
        <v>0</v>
      </c>
      <c r="K120" s="94"/>
      <c r="L120" s="123">
        <v>0</v>
      </c>
      <c r="M120" s="122">
        <v>2.5</v>
      </c>
      <c r="N120" s="94">
        <v>2.5</v>
      </c>
      <c r="O120" s="94"/>
      <c r="P120" s="124">
        <v>0</v>
      </c>
    </row>
    <row r="121" spans="1:31">
      <c r="A121" s="1654" t="s">
        <v>10</v>
      </c>
      <c r="B121" s="1672" t="s">
        <v>9</v>
      </c>
      <c r="C121" s="1608" t="s">
        <v>48</v>
      </c>
      <c r="D121" s="1683" t="s">
        <v>75</v>
      </c>
      <c r="E121" s="1590"/>
      <c r="F121" s="1592" t="s">
        <v>9</v>
      </c>
      <c r="G121" s="1664"/>
      <c r="H121" s="97" t="s">
        <v>13</v>
      </c>
      <c r="I121" s="96"/>
      <c r="J121" s="95"/>
      <c r="K121" s="95"/>
      <c r="L121" s="73"/>
      <c r="M121" s="71">
        <v>79.2</v>
      </c>
      <c r="N121" s="95">
        <v>79.2</v>
      </c>
      <c r="O121" s="95"/>
      <c r="P121" s="72"/>
    </row>
    <row r="122" spans="1:31" ht="13.5" thickBot="1">
      <c r="A122" s="1655"/>
      <c r="B122" s="1609"/>
      <c r="C122" s="1609"/>
      <c r="D122" s="1684"/>
      <c r="E122" s="1591"/>
      <c r="F122" s="1593"/>
      <c r="G122" s="1665"/>
      <c r="H122" s="92" t="s">
        <v>16</v>
      </c>
      <c r="I122" s="93">
        <v>0</v>
      </c>
      <c r="J122" s="94">
        <v>0</v>
      </c>
      <c r="K122" s="94"/>
      <c r="L122" s="123">
        <v>0</v>
      </c>
      <c r="M122" s="122">
        <v>79.2</v>
      </c>
      <c r="N122" s="94">
        <v>79.2</v>
      </c>
      <c r="O122" s="94"/>
      <c r="P122" s="124">
        <v>0</v>
      </c>
    </row>
    <row r="123" spans="1:31">
      <c r="A123" s="1654" t="s">
        <v>10</v>
      </c>
      <c r="B123" s="1672" t="s">
        <v>9</v>
      </c>
      <c r="C123" s="1608" t="s">
        <v>50</v>
      </c>
      <c r="D123" s="1683" t="s">
        <v>78</v>
      </c>
      <c r="E123" s="1590"/>
      <c r="F123" s="1592" t="s">
        <v>9</v>
      </c>
      <c r="G123" s="1664"/>
      <c r="H123" s="97" t="s">
        <v>13</v>
      </c>
      <c r="I123" s="96"/>
      <c r="J123" s="95"/>
      <c r="K123" s="95"/>
      <c r="L123" s="73"/>
      <c r="M123" s="71">
        <v>1.1200000000000001</v>
      </c>
      <c r="N123" s="95">
        <v>1.1000000000000001</v>
      </c>
      <c r="O123" s="95"/>
      <c r="P123" s="72"/>
    </row>
    <row r="124" spans="1:31" ht="13.5" thickBot="1">
      <c r="A124" s="1655"/>
      <c r="B124" s="1609"/>
      <c r="C124" s="1609"/>
      <c r="D124" s="1684"/>
      <c r="E124" s="1591"/>
      <c r="F124" s="1593"/>
      <c r="G124" s="1665"/>
      <c r="H124" s="92" t="s">
        <v>16</v>
      </c>
      <c r="I124" s="93">
        <v>0</v>
      </c>
      <c r="J124" s="94">
        <v>0</v>
      </c>
      <c r="K124" s="94"/>
      <c r="L124" s="123">
        <v>0</v>
      </c>
      <c r="M124" s="122">
        <v>1.1200000000000001</v>
      </c>
      <c r="N124" s="94">
        <v>1.1000000000000001</v>
      </c>
      <c r="O124" s="94"/>
      <c r="P124" s="124">
        <v>0</v>
      </c>
    </row>
    <row r="125" spans="1:31">
      <c r="A125" s="1673" t="s">
        <v>10</v>
      </c>
      <c r="B125" s="1675" t="s">
        <v>9</v>
      </c>
      <c r="C125" s="1677" t="s">
        <v>87</v>
      </c>
      <c r="D125" s="1689" t="s">
        <v>81</v>
      </c>
      <c r="E125" s="1668"/>
      <c r="F125" s="1588" t="s">
        <v>9</v>
      </c>
      <c r="G125" s="1670"/>
      <c r="H125" s="91" t="s">
        <v>13</v>
      </c>
      <c r="I125" s="98"/>
      <c r="J125" s="99"/>
      <c r="K125" s="99"/>
      <c r="L125" s="136"/>
      <c r="M125" s="146">
        <v>26</v>
      </c>
      <c r="N125" s="99">
        <v>26</v>
      </c>
      <c r="O125" s="99"/>
      <c r="P125" s="143"/>
    </row>
    <row r="126" spans="1:31" ht="13.5" thickBot="1">
      <c r="A126" s="1674"/>
      <c r="B126" s="1676"/>
      <c r="C126" s="1678"/>
      <c r="D126" s="1690"/>
      <c r="E126" s="1669"/>
      <c r="F126" s="1589"/>
      <c r="G126" s="1671"/>
      <c r="H126" s="92" t="s">
        <v>16</v>
      </c>
      <c r="I126" s="100">
        <v>0</v>
      </c>
      <c r="J126" s="101">
        <v>0</v>
      </c>
      <c r="K126" s="101"/>
      <c r="L126" s="137">
        <v>0</v>
      </c>
      <c r="M126" s="144">
        <v>26</v>
      </c>
      <c r="N126" s="101">
        <v>26</v>
      </c>
      <c r="O126" s="101"/>
      <c r="P126" s="145">
        <v>0</v>
      </c>
    </row>
    <row r="127" spans="1:31">
      <c r="A127" s="1654" t="s">
        <v>10</v>
      </c>
      <c r="B127" s="1672" t="s">
        <v>9</v>
      </c>
      <c r="C127" s="1608" t="s">
        <v>94</v>
      </c>
      <c r="D127" s="1683" t="s">
        <v>90</v>
      </c>
      <c r="E127" s="1590"/>
      <c r="F127" s="1592" t="s">
        <v>9</v>
      </c>
      <c r="G127" s="1664"/>
      <c r="H127" s="162" t="s">
        <v>13</v>
      </c>
      <c r="I127" s="96"/>
      <c r="J127" s="95"/>
      <c r="K127" s="95"/>
      <c r="L127" s="73"/>
      <c r="M127" s="147">
        <v>168</v>
      </c>
      <c r="N127" s="118">
        <v>168</v>
      </c>
      <c r="O127" s="95"/>
      <c r="P127" s="72"/>
    </row>
    <row r="128" spans="1:31" ht="13.5" thickBot="1">
      <c r="A128" s="1655"/>
      <c r="B128" s="1609"/>
      <c r="C128" s="1609"/>
      <c r="D128" s="1684"/>
      <c r="E128" s="1591"/>
      <c r="F128" s="1593"/>
      <c r="G128" s="1665"/>
      <c r="H128" s="92" t="s">
        <v>16</v>
      </c>
      <c r="I128" s="93">
        <v>0</v>
      </c>
      <c r="J128" s="94">
        <v>0</v>
      </c>
      <c r="K128" s="94"/>
      <c r="L128" s="123">
        <v>0</v>
      </c>
      <c r="M128" s="122">
        <v>168</v>
      </c>
      <c r="N128" s="94">
        <v>168</v>
      </c>
      <c r="O128" s="94"/>
      <c r="P128" s="124">
        <v>0</v>
      </c>
    </row>
    <row r="129" spans="1:31">
      <c r="A129" s="1654" t="s">
        <v>10</v>
      </c>
      <c r="B129" s="1672" t="s">
        <v>9</v>
      </c>
      <c r="C129" s="1608" t="s">
        <v>124</v>
      </c>
      <c r="D129" s="1683" t="s">
        <v>117</v>
      </c>
      <c r="E129" s="1590"/>
      <c r="F129" s="1592" t="s">
        <v>9</v>
      </c>
      <c r="G129" s="1664"/>
      <c r="H129" s="97" t="s">
        <v>13</v>
      </c>
      <c r="I129" s="96"/>
      <c r="J129" s="95"/>
      <c r="K129" s="95"/>
      <c r="L129" s="73"/>
      <c r="M129" s="71">
        <v>9.1999999999999993</v>
      </c>
      <c r="N129" s="95">
        <v>9.1999999999999993</v>
      </c>
      <c r="O129" s="95"/>
      <c r="P129" s="72"/>
    </row>
    <row r="130" spans="1:31" ht="13.5" thickBot="1">
      <c r="A130" s="1655"/>
      <c r="B130" s="1609"/>
      <c r="C130" s="1609"/>
      <c r="D130" s="1684"/>
      <c r="E130" s="1591"/>
      <c r="F130" s="1593"/>
      <c r="G130" s="1665"/>
      <c r="H130" s="92" t="s">
        <v>16</v>
      </c>
      <c r="I130" s="93">
        <v>0</v>
      </c>
      <c r="J130" s="94">
        <v>0</v>
      </c>
      <c r="K130" s="94"/>
      <c r="L130" s="123">
        <v>0</v>
      </c>
      <c r="M130" s="122">
        <v>9.1999999999999993</v>
      </c>
      <c r="N130" s="94">
        <v>9.1999999999999993</v>
      </c>
      <c r="O130" s="94"/>
      <c r="P130" s="124">
        <v>0</v>
      </c>
    </row>
    <row r="131" spans="1:31">
      <c r="A131" s="1654" t="s">
        <v>10</v>
      </c>
      <c r="B131" s="1672" t="s">
        <v>9</v>
      </c>
      <c r="C131" s="1608" t="s">
        <v>126</v>
      </c>
      <c r="D131" s="1683" t="s">
        <v>119</v>
      </c>
      <c r="E131" s="1590"/>
      <c r="F131" s="1592" t="s">
        <v>9</v>
      </c>
      <c r="G131" s="1664"/>
      <c r="H131" s="162" t="s">
        <v>13</v>
      </c>
      <c r="I131" s="96"/>
      <c r="J131" s="95"/>
      <c r="K131" s="95"/>
      <c r="L131" s="73"/>
      <c r="M131" s="147">
        <v>2</v>
      </c>
      <c r="N131" s="118">
        <v>2</v>
      </c>
      <c r="O131" s="95"/>
      <c r="P131" s="72"/>
    </row>
    <row r="132" spans="1:31" ht="13.5" thickBot="1">
      <c r="A132" s="1655"/>
      <c r="B132" s="1609"/>
      <c r="C132" s="1609"/>
      <c r="D132" s="1684"/>
      <c r="E132" s="1591"/>
      <c r="F132" s="1593"/>
      <c r="G132" s="1665"/>
      <c r="H132" s="92" t="s">
        <v>16</v>
      </c>
      <c r="I132" s="93">
        <v>0</v>
      </c>
      <c r="J132" s="94">
        <v>0</v>
      </c>
      <c r="K132" s="94"/>
      <c r="L132" s="123">
        <v>0</v>
      </c>
      <c r="M132" s="122">
        <v>2</v>
      </c>
      <c r="N132" s="94">
        <v>2</v>
      </c>
      <c r="O132" s="94"/>
      <c r="P132" s="124">
        <v>0</v>
      </c>
    </row>
    <row r="133" spans="1:31">
      <c r="A133" s="1654" t="s">
        <v>10</v>
      </c>
      <c r="B133" s="1672" t="s">
        <v>9</v>
      </c>
      <c r="C133" s="1608" t="s">
        <v>131</v>
      </c>
      <c r="D133" s="1683" t="s">
        <v>125</v>
      </c>
      <c r="E133" s="1590"/>
      <c r="F133" s="1592" t="s">
        <v>9</v>
      </c>
      <c r="G133" s="1664"/>
      <c r="H133" s="162" t="s">
        <v>13</v>
      </c>
      <c r="I133" s="96"/>
      <c r="J133" s="95"/>
      <c r="K133" s="95"/>
      <c r="L133" s="73"/>
      <c r="M133" s="147">
        <v>1.5</v>
      </c>
      <c r="N133" s="118">
        <v>1.5</v>
      </c>
      <c r="O133" s="95"/>
      <c r="P133" s="72"/>
    </row>
    <row r="134" spans="1:31" ht="13.5" thickBot="1">
      <c r="A134" s="1655"/>
      <c r="B134" s="1609"/>
      <c r="C134" s="1609"/>
      <c r="D134" s="1684"/>
      <c r="E134" s="1591"/>
      <c r="F134" s="1593"/>
      <c r="G134" s="1665"/>
      <c r="H134" s="92" t="s">
        <v>16</v>
      </c>
      <c r="I134" s="93">
        <v>0</v>
      </c>
      <c r="J134" s="94">
        <v>0</v>
      </c>
      <c r="K134" s="94"/>
      <c r="L134" s="123">
        <v>0</v>
      </c>
      <c r="M134" s="122">
        <v>1.5</v>
      </c>
      <c r="N134" s="94">
        <v>1.5</v>
      </c>
      <c r="O134" s="94"/>
      <c r="P134" s="124">
        <v>0</v>
      </c>
    </row>
    <row r="135" spans="1:31">
      <c r="A135" s="1654" t="s">
        <v>10</v>
      </c>
      <c r="B135" s="1672" t="s">
        <v>9</v>
      </c>
      <c r="C135" s="1608" t="s">
        <v>135</v>
      </c>
      <c r="D135" s="154" t="s">
        <v>141</v>
      </c>
      <c r="E135" s="1703"/>
      <c r="F135" s="1703"/>
      <c r="G135" s="1704"/>
      <c r="H135" s="167" t="s">
        <v>13</v>
      </c>
      <c r="I135" s="120"/>
      <c r="J135" s="121"/>
      <c r="K135" s="121"/>
      <c r="L135" s="125"/>
      <c r="M135" s="165">
        <v>2</v>
      </c>
      <c r="N135" s="166">
        <v>2</v>
      </c>
      <c r="O135" s="127"/>
      <c r="P135" s="128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</row>
    <row r="136" spans="1:31" ht="13.5" thickBot="1">
      <c r="A136" s="1708"/>
      <c r="B136" s="1688"/>
      <c r="C136" s="1701"/>
      <c r="D136" s="155"/>
      <c r="E136" s="1593"/>
      <c r="F136" s="1593"/>
      <c r="G136" s="1665"/>
      <c r="H136" s="119" t="s">
        <v>16</v>
      </c>
      <c r="I136" s="122"/>
      <c r="J136" s="94"/>
      <c r="K136" s="94"/>
      <c r="L136" s="126"/>
      <c r="M136" s="122"/>
      <c r="N136" s="94"/>
      <c r="O136" s="94"/>
      <c r="P136" s="124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</row>
    <row r="137" spans="1:31" ht="12.75" customHeight="1">
      <c r="A137" s="1654" t="s">
        <v>10</v>
      </c>
      <c r="B137" s="1672" t="s">
        <v>9</v>
      </c>
      <c r="C137" s="1608" t="s">
        <v>136</v>
      </c>
      <c r="D137" s="1683" t="s">
        <v>132</v>
      </c>
      <c r="E137" s="1710"/>
      <c r="F137" s="1592" t="s">
        <v>9</v>
      </c>
      <c r="G137" s="1664"/>
      <c r="H137" s="110" t="s">
        <v>13</v>
      </c>
      <c r="I137" s="111"/>
      <c r="J137" s="112"/>
      <c r="K137" s="112"/>
      <c r="L137" s="140">
        <v>0</v>
      </c>
      <c r="M137" s="163">
        <v>36.15</v>
      </c>
      <c r="N137" s="164">
        <v>36.200000000000003</v>
      </c>
      <c r="O137" s="112"/>
      <c r="P137" s="151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</row>
    <row r="138" spans="1:31" ht="13.5" thickBot="1">
      <c r="A138" s="1708"/>
      <c r="B138" s="1688"/>
      <c r="C138" s="1701"/>
      <c r="D138" s="1709"/>
      <c r="E138" s="1711"/>
      <c r="F138" s="1713"/>
      <c r="G138" s="1712"/>
      <c r="H138" s="92" t="s">
        <v>16</v>
      </c>
      <c r="I138" s="93">
        <v>0</v>
      </c>
      <c r="J138" s="94">
        <v>0</v>
      </c>
      <c r="K138" s="94"/>
      <c r="L138" s="123">
        <v>0</v>
      </c>
      <c r="M138" s="122">
        <v>36.15</v>
      </c>
      <c r="N138" s="94">
        <v>36.200000000000003</v>
      </c>
      <c r="O138" s="94"/>
      <c r="P138" s="124">
        <v>0</v>
      </c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</row>
    <row r="139" spans="1:31">
      <c r="A139" s="1654" t="s">
        <v>10</v>
      </c>
      <c r="B139" s="1672" t="s">
        <v>9</v>
      </c>
      <c r="C139" s="1608" t="s">
        <v>89</v>
      </c>
      <c r="D139" s="1683" t="s">
        <v>82</v>
      </c>
      <c r="E139" s="1590"/>
      <c r="F139" s="1592" t="s">
        <v>9</v>
      </c>
      <c r="G139" s="1664"/>
      <c r="H139" s="97" t="s">
        <v>13</v>
      </c>
      <c r="I139" s="96"/>
      <c r="J139" s="95"/>
      <c r="K139" s="95"/>
      <c r="L139" s="73"/>
      <c r="M139" s="71">
        <v>10</v>
      </c>
      <c r="N139" s="95">
        <v>10</v>
      </c>
      <c r="O139" s="95"/>
      <c r="P139" s="72"/>
    </row>
    <row r="140" spans="1:31" ht="13.5" thickBot="1">
      <c r="A140" s="1655"/>
      <c r="B140" s="1609"/>
      <c r="C140" s="1609"/>
      <c r="D140" s="1684"/>
      <c r="E140" s="1591"/>
      <c r="F140" s="1593"/>
      <c r="G140" s="1665"/>
      <c r="H140" s="92" t="s">
        <v>16</v>
      </c>
      <c r="I140" s="93">
        <v>0</v>
      </c>
      <c r="J140" s="94">
        <v>0</v>
      </c>
      <c r="K140" s="94"/>
      <c r="L140" s="123">
        <v>0</v>
      </c>
      <c r="M140" s="122">
        <v>10</v>
      </c>
      <c r="N140" s="94">
        <v>10</v>
      </c>
      <c r="O140" s="94"/>
      <c r="P140" s="124">
        <v>0</v>
      </c>
    </row>
    <row r="141" spans="1:31" s="4" customFormat="1" ht="15.75" customHeight="1" thickBot="1">
      <c r="A141" s="76" t="s">
        <v>9</v>
      </c>
      <c r="B141" s="77" t="s">
        <v>10</v>
      </c>
      <c r="C141" s="1635" t="s">
        <v>17</v>
      </c>
      <c r="D141" s="1636"/>
      <c r="E141" s="1636"/>
      <c r="F141" s="1636"/>
      <c r="G141" s="1636"/>
      <c r="H141" s="1700"/>
      <c r="I141" s="84">
        <f>J141+L141</f>
        <v>1455.25</v>
      </c>
      <c r="J141" s="85">
        <f>J138+J136+J134+J132+J130+J128+J126+J124+J122+J120+J118+J116+J114+J112+J110+J108+J106+J103+J101+J99+J97+J95+J93+J91+J89+J87+J85+J83+J81+J79+J77+J75+J73+J140+J71+J69+J67+J65+J63+J61+J59+J57+J55+J53+J51+J49+J47+J45</f>
        <v>1455.25</v>
      </c>
      <c r="K141" s="85">
        <f>K138+K136+K134+K132+K130+K128+K126+K124+K122+K120+K118+K116+K114+K112+K110+K108+K106+K103+K101+K99+K97+K95+K93+K91+K89+K87+K85+K83+K81+K79+K77+K75+K73+K140+K71+K69+K67+K65+K63+K61+K59+K57+K55+K53+K51+K49+K47+K45</f>
        <v>0</v>
      </c>
      <c r="L141" s="85">
        <f>L138+L136+L134+L132+L130+L128+L126+L124+L122+L120+L118+L116+L114+L112+L110+L108+L106+L103+L101+L99+L97+L95+L93+L91+L89+L87+L85+L83+L81+L79+L77+L75+L73+L140+L71+L69+L67+L65+L63+L61+L59+L57+L55+L53+L51+L49+L47+L45</f>
        <v>0</v>
      </c>
      <c r="M141" s="84">
        <f>N141+P141</f>
        <v>1915.4199999999998</v>
      </c>
      <c r="N141" s="85">
        <f>N138+N136+N134+N132+N130+N128+N126+N124+N122+N120+N118+N116+N114+N112+N110+N108+N106+N103+N101+N99+N97+N95+N93+N91+N89+N87+N85+N83+N81+N79+N77+N75+N73+N140+N71+N69+N67+N65+N63+N61+N59+N57+N55+N53+N51+N49+N47+N45</f>
        <v>1915.4199999999998</v>
      </c>
      <c r="O141" s="85">
        <f>O138+O136+O134+O132+O130+O128+O126+O124+O122+O120+O118+O116+O114+O112+O110+O108+O106+O103+O101+O99+O97+O95+O93+O91+O89+O87+O85+O83+O81+O79+O77+O75+O73+O140+O71+O69+O67+O65+O63+O61+O59+O57+O55+O53+O51+O49+O47+O45</f>
        <v>0</v>
      </c>
      <c r="P141" s="85">
        <f>P138+P136+P134+P132+P130+P128+P126+P124+P122+P120+P118+P116+P114+P112+P110+P108+P106+P103+P101+P99+P97+P95+P93+P91+P89+P87+P85+P83+P81+P79+P77+P75+P73+P140+P71+P69+P67+P65+P63+P61+P59+P57+P55+P53+P51+P49+P47+P45</f>
        <v>0</v>
      </c>
    </row>
    <row r="142" spans="1:31" s="4" customFormat="1" ht="15.75" customHeight="1" thickBot="1">
      <c r="A142" s="88" t="s">
        <v>9</v>
      </c>
      <c r="B142" s="156" t="s">
        <v>10</v>
      </c>
      <c r="C142" s="1691" t="s">
        <v>148</v>
      </c>
      <c r="D142" s="1692"/>
      <c r="E142" s="1692"/>
      <c r="F142" s="1692"/>
      <c r="G142" s="1692"/>
      <c r="H142" s="1693"/>
      <c r="I142" s="157">
        <f>J142+L142</f>
        <v>13209.05</v>
      </c>
      <c r="J142" s="158">
        <f>J141+J42+J36+J32+J26</f>
        <v>13209.05</v>
      </c>
      <c r="K142" s="158">
        <f>K141+K137+K135+K133+K131+K129+K127+K125+K123+K121+K119+K117+K115+K113+K111+K109+K107+K104+K102+K100+K98+K96+K94+K92+K90+K88+K86+K84+K82+K80+K78+K76+K74+K72+K139+K70+K68+K66+K64+K62+K60+K58+K56+K54+K52+K50+K48+K46</f>
        <v>0</v>
      </c>
      <c r="L142" s="158">
        <f>L141+L137+L135+L133+L131+L129+L127+L125+L123+L121+L119+L117+L115+L113+L111+L109+L107+L104+L102+L100+L98+L96+L94+L92+L90+L88+L86+L84+L82+L80+L78+L76+L74+L72+L139+L70+L68+L66+L64+L62+L60+L58+L56+L54+L52+L50+L48+L46</f>
        <v>0</v>
      </c>
      <c r="M142" s="157">
        <f>N142+P142</f>
        <v>14182.619999999997</v>
      </c>
      <c r="N142" s="158">
        <f>N141+N42+N36+N32+N26</f>
        <v>14019.819999999998</v>
      </c>
      <c r="O142" s="158">
        <f>O141+O42+O36+O32+O26</f>
        <v>8823.2000000000025</v>
      </c>
      <c r="P142" s="158">
        <f>P141+P42+P36+P32+P26</f>
        <v>162.80000000000001</v>
      </c>
    </row>
  </sheetData>
  <mergeCells count="397">
    <mergeCell ref="G129:G130"/>
    <mergeCell ref="D137:D138"/>
    <mergeCell ref="E137:E138"/>
    <mergeCell ref="G133:G134"/>
    <mergeCell ref="F129:F130"/>
    <mergeCell ref="G123:G124"/>
    <mergeCell ref="F123:F124"/>
    <mergeCell ref="F131:F132"/>
    <mergeCell ref="G137:G138"/>
    <mergeCell ref="F135:F136"/>
    <mergeCell ref="G135:G136"/>
    <mergeCell ref="F137:F138"/>
    <mergeCell ref="G125:G126"/>
    <mergeCell ref="E125:E126"/>
    <mergeCell ref="G111:G112"/>
    <mergeCell ref="G115:G116"/>
    <mergeCell ref="G127:G128"/>
    <mergeCell ref="F127:F128"/>
    <mergeCell ref="F125:F126"/>
    <mergeCell ref="G121:G122"/>
    <mergeCell ref="G131:G132"/>
    <mergeCell ref="D119:D120"/>
    <mergeCell ref="G113:G114"/>
    <mergeCell ref="G119:G120"/>
    <mergeCell ref="E121:E122"/>
    <mergeCell ref="E131:E132"/>
    <mergeCell ref="E115:E116"/>
    <mergeCell ref="E123:E124"/>
    <mergeCell ref="D123:D124"/>
    <mergeCell ref="E129:E130"/>
    <mergeCell ref="F113:F114"/>
    <mergeCell ref="D113:D114"/>
    <mergeCell ref="E113:E114"/>
    <mergeCell ref="D127:D128"/>
    <mergeCell ref="E119:E120"/>
    <mergeCell ref="D125:D126"/>
    <mergeCell ref="G117:G118"/>
    <mergeCell ref="E127:E128"/>
    <mergeCell ref="F107:F108"/>
    <mergeCell ref="E111:E112"/>
    <mergeCell ref="F111:F112"/>
    <mergeCell ref="A137:A138"/>
    <mergeCell ref="A127:A128"/>
    <mergeCell ref="B137:B138"/>
    <mergeCell ref="B131:B132"/>
    <mergeCell ref="D131:D132"/>
    <mergeCell ref="E117:E118"/>
    <mergeCell ref="F121:F122"/>
    <mergeCell ref="A133:A134"/>
    <mergeCell ref="B133:B134"/>
    <mergeCell ref="C133:C134"/>
    <mergeCell ref="A129:A130"/>
    <mergeCell ref="B127:B128"/>
    <mergeCell ref="F133:F134"/>
    <mergeCell ref="C135:C136"/>
    <mergeCell ref="E135:E136"/>
    <mergeCell ref="A121:A122"/>
    <mergeCell ref="A119:A120"/>
    <mergeCell ref="A135:A136"/>
    <mergeCell ref="A131:A132"/>
    <mergeCell ref="B129:B130"/>
    <mergeCell ref="D133:D134"/>
    <mergeCell ref="E107:E108"/>
    <mergeCell ref="A92:A93"/>
    <mergeCell ref="A90:A91"/>
    <mergeCell ref="B94:B95"/>
    <mergeCell ref="D111:D112"/>
    <mergeCell ref="B111:B112"/>
    <mergeCell ref="B107:B108"/>
    <mergeCell ref="D96:D97"/>
    <mergeCell ref="C94:C95"/>
    <mergeCell ref="A107:A108"/>
    <mergeCell ref="A109:A110"/>
    <mergeCell ref="A100:A101"/>
    <mergeCell ref="C109:C110"/>
    <mergeCell ref="A111:A112"/>
    <mergeCell ref="C111:C112"/>
    <mergeCell ref="C107:C108"/>
    <mergeCell ref="E94:E95"/>
    <mergeCell ref="D109:D110"/>
    <mergeCell ref="A94:A95"/>
    <mergeCell ref="C98:C99"/>
    <mergeCell ref="D98:D99"/>
    <mergeCell ref="E100:E101"/>
    <mergeCell ref="D102:D103"/>
    <mergeCell ref="B96:B97"/>
    <mergeCell ref="A76:A77"/>
    <mergeCell ref="B76:B77"/>
    <mergeCell ref="C82:C83"/>
    <mergeCell ref="B82:B83"/>
    <mergeCell ref="E72:E73"/>
    <mergeCell ref="D74:D75"/>
    <mergeCell ref="D80:D81"/>
    <mergeCell ref="B78:B79"/>
    <mergeCell ref="B74:B75"/>
    <mergeCell ref="C74:C75"/>
    <mergeCell ref="A82:A83"/>
    <mergeCell ref="A78:A79"/>
    <mergeCell ref="A80:A81"/>
    <mergeCell ref="C78:C79"/>
    <mergeCell ref="A72:A73"/>
    <mergeCell ref="A74:A75"/>
    <mergeCell ref="D82:D83"/>
    <mergeCell ref="C80:C81"/>
    <mergeCell ref="B80:B81"/>
    <mergeCell ref="D78:D79"/>
    <mergeCell ref="C76:C77"/>
    <mergeCell ref="B72:B73"/>
    <mergeCell ref="G84:G85"/>
    <mergeCell ref="F100:F101"/>
    <mergeCell ref="G96:G97"/>
    <mergeCell ref="F82:F83"/>
    <mergeCell ref="G82:G83"/>
    <mergeCell ref="F84:F85"/>
    <mergeCell ref="E104:E106"/>
    <mergeCell ref="E96:E97"/>
    <mergeCell ref="F96:F97"/>
    <mergeCell ref="E102:E103"/>
    <mergeCell ref="F102:F103"/>
    <mergeCell ref="E86:E87"/>
    <mergeCell ref="E84:E85"/>
    <mergeCell ref="G104:G106"/>
    <mergeCell ref="F90:F91"/>
    <mergeCell ref="G102:G103"/>
    <mergeCell ref="G90:G91"/>
    <mergeCell ref="E88:E89"/>
    <mergeCell ref="E82:E83"/>
    <mergeCell ref="F92:F93"/>
    <mergeCell ref="G100:G101"/>
    <mergeCell ref="F98:F99"/>
    <mergeCell ref="G94:G95"/>
    <mergeCell ref="F94:F95"/>
    <mergeCell ref="G98:G99"/>
    <mergeCell ref="C92:C93"/>
    <mergeCell ref="D90:D91"/>
    <mergeCell ref="G86:G87"/>
    <mergeCell ref="E90:E91"/>
    <mergeCell ref="D92:D93"/>
    <mergeCell ref="C90:C91"/>
    <mergeCell ref="G88:G89"/>
    <mergeCell ref="D86:D87"/>
    <mergeCell ref="F86:F87"/>
    <mergeCell ref="C88:C89"/>
    <mergeCell ref="E92:E93"/>
    <mergeCell ref="G92:G93"/>
    <mergeCell ref="F88:F89"/>
    <mergeCell ref="G64:G65"/>
    <mergeCell ref="E64:E65"/>
    <mergeCell ref="F62:F63"/>
    <mergeCell ref="C64:C65"/>
    <mergeCell ref="D64:D65"/>
    <mergeCell ref="A58:A59"/>
    <mergeCell ref="D70:D71"/>
    <mergeCell ref="F64:F65"/>
    <mergeCell ref="C62:C63"/>
    <mergeCell ref="A70:A71"/>
    <mergeCell ref="E66:E67"/>
    <mergeCell ref="F66:F67"/>
    <mergeCell ref="B70:B71"/>
    <mergeCell ref="B68:B69"/>
    <mergeCell ref="C68:C69"/>
    <mergeCell ref="C70:C71"/>
    <mergeCell ref="E68:E69"/>
    <mergeCell ref="D68:D69"/>
    <mergeCell ref="B64:B65"/>
    <mergeCell ref="E70:E71"/>
    <mergeCell ref="F68:F69"/>
    <mergeCell ref="F70:F71"/>
    <mergeCell ref="G66:G67"/>
    <mergeCell ref="A66:A67"/>
    <mergeCell ref="A56:A57"/>
    <mergeCell ref="B56:B57"/>
    <mergeCell ref="G54:G55"/>
    <mergeCell ref="F54:F55"/>
    <mergeCell ref="E62:E63"/>
    <mergeCell ref="G62:G63"/>
    <mergeCell ref="E54:E55"/>
    <mergeCell ref="E60:E61"/>
    <mergeCell ref="D60:D61"/>
    <mergeCell ref="G60:G61"/>
    <mergeCell ref="B62:B63"/>
    <mergeCell ref="F60:F61"/>
    <mergeCell ref="G58:G59"/>
    <mergeCell ref="D56:D57"/>
    <mergeCell ref="C60:C61"/>
    <mergeCell ref="D62:D63"/>
    <mergeCell ref="A60:A61"/>
    <mergeCell ref="A62:A63"/>
    <mergeCell ref="G50:G51"/>
    <mergeCell ref="F58:F59"/>
    <mergeCell ref="F56:F57"/>
    <mergeCell ref="G56:G57"/>
    <mergeCell ref="G52:G53"/>
    <mergeCell ref="E56:E57"/>
    <mergeCell ref="E52:E53"/>
    <mergeCell ref="C56:C57"/>
    <mergeCell ref="B52:B53"/>
    <mergeCell ref="C52:C53"/>
    <mergeCell ref="C54:C55"/>
    <mergeCell ref="B58:B59"/>
    <mergeCell ref="C58:C59"/>
    <mergeCell ref="F52:F53"/>
    <mergeCell ref="F50:F51"/>
    <mergeCell ref="E50:E51"/>
    <mergeCell ref="E58:E59"/>
    <mergeCell ref="B66:B67"/>
    <mergeCell ref="C72:C73"/>
    <mergeCell ref="G76:G77"/>
    <mergeCell ref="E74:E75"/>
    <mergeCell ref="G74:G75"/>
    <mergeCell ref="D76:D77"/>
    <mergeCell ref="G70:G71"/>
    <mergeCell ref="G68:G69"/>
    <mergeCell ref="F80:F81"/>
    <mergeCell ref="E76:E77"/>
    <mergeCell ref="D72:D73"/>
    <mergeCell ref="F72:F73"/>
    <mergeCell ref="F76:F77"/>
    <mergeCell ref="F74:F75"/>
    <mergeCell ref="G78:G79"/>
    <mergeCell ref="E80:E81"/>
    <mergeCell ref="E78:E79"/>
    <mergeCell ref="F78:F79"/>
    <mergeCell ref="G80:G81"/>
    <mergeCell ref="G72:G73"/>
    <mergeCell ref="C142:H142"/>
    <mergeCell ref="D88:D89"/>
    <mergeCell ref="E109:E110"/>
    <mergeCell ref="F104:F106"/>
    <mergeCell ref="F109:F110"/>
    <mergeCell ref="D100:D101"/>
    <mergeCell ref="C96:C97"/>
    <mergeCell ref="D104:D106"/>
    <mergeCell ref="C141:H141"/>
    <mergeCell ref="G139:G140"/>
    <mergeCell ref="F139:F140"/>
    <mergeCell ref="E139:E140"/>
    <mergeCell ref="C137:C138"/>
    <mergeCell ref="C113:C114"/>
    <mergeCell ref="F115:F116"/>
    <mergeCell ref="D121:D122"/>
    <mergeCell ref="F119:F120"/>
    <mergeCell ref="E133:E134"/>
    <mergeCell ref="C123:C124"/>
    <mergeCell ref="C119:C120"/>
    <mergeCell ref="G109:G110"/>
    <mergeCell ref="E98:E99"/>
    <mergeCell ref="F117:F118"/>
    <mergeCell ref="G107:G108"/>
    <mergeCell ref="A139:A140"/>
    <mergeCell ref="B139:B140"/>
    <mergeCell ref="C139:C140"/>
    <mergeCell ref="D139:D140"/>
    <mergeCell ref="A125:A126"/>
    <mergeCell ref="A104:A106"/>
    <mergeCell ref="B104:B106"/>
    <mergeCell ref="C104:C106"/>
    <mergeCell ref="A113:A114"/>
    <mergeCell ref="B113:B114"/>
    <mergeCell ref="D107:D108"/>
    <mergeCell ref="B109:B110"/>
    <mergeCell ref="B135:B136"/>
    <mergeCell ref="A115:A116"/>
    <mergeCell ref="B115:B116"/>
    <mergeCell ref="C131:C132"/>
    <mergeCell ref="C129:C130"/>
    <mergeCell ref="D117:D118"/>
    <mergeCell ref="D115:D116"/>
    <mergeCell ref="D129:D130"/>
    <mergeCell ref="C127:C128"/>
    <mergeCell ref="A123:A124"/>
    <mergeCell ref="C115:C116"/>
    <mergeCell ref="C125:C126"/>
    <mergeCell ref="C121:C122"/>
    <mergeCell ref="B123:B124"/>
    <mergeCell ref="B119:B120"/>
    <mergeCell ref="B121:B122"/>
    <mergeCell ref="C102:C103"/>
    <mergeCell ref="B125:B126"/>
    <mergeCell ref="D84:D85"/>
    <mergeCell ref="B100:B101"/>
    <mergeCell ref="B86:B87"/>
    <mergeCell ref="B90:B91"/>
    <mergeCell ref="D94:D95"/>
    <mergeCell ref="C86:C87"/>
    <mergeCell ref="A117:A118"/>
    <mergeCell ref="B117:B118"/>
    <mergeCell ref="C117:C118"/>
    <mergeCell ref="A88:A89"/>
    <mergeCell ref="A96:A97"/>
    <mergeCell ref="C84:C85"/>
    <mergeCell ref="A86:A87"/>
    <mergeCell ref="A84:A85"/>
    <mergeCell ref="B84:B85"/>
    <mergeCell ref="B98:B99"/>
    <mergeCell ref="A98:A99"/>
    <mergeCell ref="A102:A103"/>
    <mergeCell ref="B88:B89"/>
    <mergeCell ref="B92:B93"/>
    <mergeCell ref="B102:B103"/>
    <mergeCell ref="C100:C101"/>
    <mergeCell ref="A64:A65"/>
    <mergeCell ref="B60:B61"/>
    <mergeCell ref="A68:A69"/>
    <mergeCell ref="C66:C67"/>
    <mergeCell ref="A40:A41"/>
    <mergeCell ref="B40:B41"/>
    <mergeCell ref="C40:C41"/>
    <mergeCell ref="D40:D41"/>
    <mergeCell ref="F38:F39"/>
    <mergeCell ref="D66:D67"/>
    <mergeCell ref="A50:A51"/>
    <mergeCell ref="A48:A49"/>
    <mergeCell ref="B48:B49"/>
    <mergeCell ref="C48:C49"/>
    <mergeCell ref="A46:A47"/>
    <mergeCell ref="D52:D53"/>
    <mergeCell ref="A54:A55"/>
    <mergeCell ref="B54:B55"/>
    <mergeCell ref="A52:A53"/>
    <mergeCell ref="C50:C51"/>
    <mergeCell ref="D54:D55"/>
    <mergeCell ref="B50:B51"/>
    <mergeCell ref="D48:D49"/>
    <mergeCell ref="D50:D51"/>
    <mergeCell ref="C36:H36"/>
    <mergeCell ref="A37:P37"/>
    <mergeCell ref="G38:G39"/>
    <mergeCell ref="G40:G41"/>
    <mergeCell ref="A38:A39"/>
    <mergeCell ref="C42:H42"/>
    <mergeCell ref="A43:P43"/>
    <mergeCell ref="G46:G47"/>
    <mergeCell ref="G48:G49"/>
    <mergeCell ref="D44:D45"/>
    <mergeCell ref="E44:E45"/>
    <mergeCell ref="G44:G45"/>
    <mergeCell ref="F46:F47"/>
    <mergeCell ref="B46:B47"/>
    <mergeCell ref="A44:A45"/>
    <mergeCell ref="B44:B45"/>
    <mergeCell ref="C44:C45"/>
    <mergeCell ref="C46:C47"/>
    <mergeCell ref="D46:D47"/>
    <mergeCell ref="F48:F49"/>
    <mergeCell ref="E48:E49"/>
    <mergeCell ref="A34:A35"/>
    <mergeCell ref="B34:B35"/>
    <mergeCell ref="G30:G31"/>
    <mergeCell ref="A33:P33"/>
    <mergeCell ref="G34:G35"/>
    <mergeCell ref="C34:C35"/>
    <mergeCell ref="D34:D35"/>
    <mergeCell ref="E34:E35"/>
    <mergeCell ref="F34:F35"/>
    <mergeCell ref="I2:L2"/>
    <mergeCell ref="J3:K3"/>
    <mergeCell ref="G2:G4"/>
    <mergeCell ref="H2:H4"/>
    <mergeCell ref="A28:A29"/>
    <mergeCell ref="B28:B29"/>
    <mergeCell ref="C28:C29"/>
    <mergeCell ref="D28:D29"/>
    <mergeCell ref="C32:H32"/>
    <mergeCell ref="F2:F4"/>
    <mergeCell ref="C6:C26"/>
    <mergeCell ref="D6:D24"/>
    <mergeCell ref="F30:F31"/>
    <mergeCell ref="H6:H24"/>
    <mergeCell ref="C30:C31"/>
    <mergeCell ref="D30:D31"/>
    <mergeCell ref="G28:G29"/>
    <mergeCell ref="D2:D4"/>
    <mergeCell ref="M2:P2"/>
    <mergeCell ref="I3:I4"/>
    <mergeCell ref="F44:F45"/>
    <mergeCell ref="E46:E47"/>
    <mergeCell ref="F40:F41"/>
    <mergeCell ref="E40:E41"/>
    <mergeCell ref="N3:O3"/>
    <mergeCell ref="P3:P4"/>
    <mergeCell ref="E30:E31"/>
    <mergeCell ref="E28:E29"/>
    <mergeCell ref="F28:F29"/>
    <mergeCell ref="A27:P27"/>
    <mergeCell ref="B38:B39"/>
    <mergeCell ref="C38:C39"/>
    <mergeCell ref="D38:D39"/>
    <mergeCell ref="E38:E39"/>
    <mergeCell ref="A5:P5"/>
    <mergeCell ref="M3:M4"/>
    <mergeCell ref="E2:E4"/>
    <mergeCell ref="A2:A4"/>
    <mergeCell ref="B2:B4"/>
    <mergeCell ref="C2:C4"/>
    <mergeCell ref="B6:B26"/>
    <mergeCell ref="L3:L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/>
  <cols>
    <col min="1" max="1" width="22.7109375" style="255" customWidth="1"/>
    <col min="2" max="2" width="60.7109375" style="255" customWidth="1"/>
    <col min="3" max="16384" width="9.140625" style="255"/>
  </cols>
  <sheetData>
    <row r="1" spans="1:2">
      <c r="A1" s="1714" t="s">
        <v>186</v>
      </c>
      <c r="B1" s="1714"/>
    </row>
    <row r="2" spans="1:2" ht="31.5">
      <c r="A2" s="256" t="s">
        <v>5</v>
      </c>
      <c r="B2" s="257" t="s">
        <v>187</v>
      </c>
    </row>
    <row r="3" spans="1:2">
      <c r="A3" s="256" t="s">
        <v>188</v>
      </c>
      <c r="B3" s="257" t="s">
        <v>189</v>
      </c>
    </row>
    <row r="4" spans="1:2">
      <c r="A4" s="256" t="s">
        <v>190</v>
      </c>
      <c r="B4" s="257" t="s">
        <v>191</v>
      </c>
    </row>
    <row r="5" spans="1:2">
      <c r="A5" s="256" t="s">
        <v>192</v>
      </c>
      <c r="B5" s="257" t="s">
        <v>193</v>
      </c>
    </row>
    <row r="6" spans="1:2">
      <c r="A6" s="256" t="s">
        <v>194</v>
      </c>
      <c r="B6" s="257" t="s">
        <v>195</v>
      </c>
    </row>
    <row r="7" spans="1:2">
      <c r="A7" s="256" t="s">
        <v>196</v>
      </c>
      <c r="B7" s="257" t="s">
        <v>197</v>
      </c>
    </row>
    <row r="8" spans="1:2">
      <c r="A8" s="256" t="s">
        <v>198</v>
      </c>
      <c r="B8" s="257" t="s">
        <v>199</v>
      </c>
    </row>
    <row r="9" spans="1:2" ht="15.75" customHeight="1"/>
    <row r="10" spans="1:2" ht="15.75" customHeight="1">
      <c r="A10" s="1715" t="s">
        <v>200</v>
      </c>
      <c r="B10" s="1715"/>
    </row>
  </sheetData>
  <mergeCells count="2">
    <mergeCell ref="A1:B1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2"/>
  <sheetViews>
    <sheetView tabSelected="1" zoomScaleNormal="100" zoomScaleSheetLayoutView="100" workbookViewId="0">
      <selection activeCell="U7" sqref="U7"/>
    </sheetView>
  </sheetViews>
  <sheetFormatPr defaultRowHeight="12.75"/>
  <cols>
    <col min="1" max="3" width="2.85546875" style="1" customWidth="1"/>
    <col min="4" max="4" width="33.140625" style="4" customWidth="1"/>
    <col min="5" max="5" width="3.28515625" style="180" customWidth="1"/>
    <col min="6" max="6" width="2.85546875" style="10" customWidth="1"/>
    <col min="7" max="7" width="7.28515625" style="1" customWidth="1"/>
    <col min="8" max="8" width="9.85546875" style="1" customWidth="1"/>
    <col min="9" max="9" width="10.5703125" style="1" customWidth="1"/>
    <col min="10" max="10" width="10" style="1" customWidth="1"/>
    <col min="11" max="11" width="35" style="1" customWidth="1"/>
    <col min="12" max="12" width="5.5703125" style="222" customWidth="1"/>
    <col min="13" max="13" width="4.140625" style="222" customWidth="1"/>
    <col min="14" max="14" width="5" style="222" customWidth="1"/>
    <col min="15" max="15" width="5.28515625" style="1" customWidth="1"/>
    <col min="16" max="16384" width="9.140625" style="1"/>
  </cols>
  <sheetData>
    <row r="1" spans="1:14" s="4" customFormat="1" ht="15">
      <c r="A1" s="1726" t="s">
        <v>327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</row>
    <row r="2" spans="1:14" s="4" customFormat="1" ht="15" customHeight="1">
      <c r="A2" s="1938" t="s">
        <v>236</v>
      </c>
      <c r="B2" s="1939"/>
      <c r="C2" s="1939"/>
      <c r="D2" s="1939"/>
      <c r="E2" s="1939"/>
      <c r="F2" s="1939"/>
      <c r="G2" s="1939"/>
      <c r="H2" s="1939"/>
      <c r="I2" s="1939"/>
      <c r="J2" s="1939"/>
      <c r="K2" s="1939"/>
      <c r="L2" s="1939"/>
      <c r="M2" s="1939"/>
      <c r="N2" s="1939"/>
    </row>
    <row r="3" spans="1:14" s="4" customFormat="1" ht="15">
      <c r="A3" s="1726" t="s">
        <v>162</v>
      </c>
      <c r="B3" s="1726"/>
      <c r="C3" s="1726"/>
      <c r="D3" s="1726"/>
      <c r="E3" s="1726"/>
      <c r="F3" s="1726"/>
      <c r="G3" s="1726"/>
      <c r="H3" s="1726"/>
      <c r="I3" s="1726"/>
      <c r="J3" s="1726"/>
      <c r="K3" s="1726"/>
      <c r="L3" s="1726"/>
      <c r="M3" s="1726"/>
      <c r="N3" s="1726"/>
    </row>
    <row r="4" spans="1:14" s="4" customFormat="1" ht="13.5" thickBot="1">
      <c r="E4" s="180"/>
      <c r="F4" s="239"/>
      <c r="J4" s="1403"/>
      <c r="K4" s="1403"/>
      <c r="L4" s="1940" t="s">
        <v>393</v>
      </c>
      <c r="M4" s="1941"/>
      <c r="N4" s="1941"/>
    </row>
    <row r="5" spans="1:14" s="79" customFormat="1" ht="22.5" customHeight="1">
      <c r="A5" s="1727" t="s">
        <v>269</v>
      </c>
      <c r="B5" s="1730" t="s">
        <v>2</v>
      </c>
      <c r="C5" s="1730" t="s">
        <v>3</v>
      </c>
      <c r="D5" s="1733" t="s">
        <v>22</v>
      </c>
      <c r="E5" s="1736" t="s">
        <v>4</v>
      </c>
      <c r="F5" s="1760" t="s">
        <v>5</v>
      </c>
      <c r="G5" s="1763" t="s">
        <v>6</v>
      </c>
      <c r="H5" s="1739" t="s">
        <v>275</v>
      </c>
      <c r="I5" s="1750" t="s">
        <v>185</v>
      </c>
      <c r="J5" s="1750" t="s">
        <v>276</v>
      </c>
      <c r="K5" s="1753" t="s">
        <v>170</v>
      </c>
      <c r="L5" s="1754"/>
      <c r="M5" s="1754"/>
      <c r="N5" s="1755"/>
    </row>
    <row r="6" spans="1:14" s="79" customFormat="1" ht="12.75" customHeight="1">
      <c r="A6" s="1728"/>
      <c r="B6" s="1731"/>
      <c r="C6" s="1731"/>
      <c r="D6" s="1734"/>
      <c r="E6" s="1737"/>
      <c r="F6" s="1761"/>
      <c r="G6" s="1764"/>
      <c r="H6" s="1740"/>
      <c r="I6" s="1751"/>
      <c r="J6" s="1751"/>
      <c r="K6" s="1742" t="s">
        <v>22</v>
      </c>
      <c r="L6" s="1744" t="s">
        <v>364</v>
      </c>
      <c r="M6" s="1745"/>
      <c r="N6" s="1746"/>
    </row>
    <row r="7" spans="1:14" s="79" customFormat="1" ht="83.25" customHeight="1" thickBot="1">
      <c r="A7" s="1729"/>
      <c r="B7" s="1732"/>
      <c r="C7" s="1732"/>
      <c r="D7" s="1735"/>
      <c r="E7" s="1738"/>
      <c r="F7" s="1762"/>
      <c r="G7" s="1765"/>
      <c r="H7" s="1741"/>
      <c r="I7" s="1752"/>
      <c r="J7" s="1752"/>
      <c r="K7" s="1743"/>
      <c r="L7" s="874" t="s">
        <v>171</v>
      </c>
      <c r="M7" s="874" t="s">
        <v>208</v>
      </c>
      <c r="N7" s="875" t="s">
        <v>283</v>
      </c>
    </row>
    <row r="8" spans="1:14" s="4" customFormat="1">
      <c r="A8" s="1747" t="s">
        <v>31</v>
      </c>
      <c r="B8" s="1748"/>
      <c r="C8" s="1748"/>
      <c r="D8" s="1748"/>
      <c r="E8" s="1748"/>
      <c r="F8" s="1748"/>
      <c r="G8" s="1748"/>
      <c r="H8" s="1748"/>
      <c r="I8" s="1748"/>
      <c r="J8" s="1748"/>
      <c r="K8" s="1748"/>
      <c r="L8" s="1748"/>
      <c r="M8" s="1748"/>
      <c r="N8" s="1749"/>
    </row>
    <row r="9" spans="1:14" s="4" customFormat="1" ht="13.5" customHeight="1">
      <c r="A9" s="1766" t="s">
        <v>165</v>
      </c>
      <c r="B9" s="1767"/>
      <c r="C9" s="1767"/>
      <c r="D9" s="1767"/>
      <c r="E9" s="1767"/>
      <c r="F9" s="1767"/>
      <c r="G9" s="1767"/>
      <c r="H9" s="1767"/>
      <c r="I9" s="1767"/>
      <c r="J9" s="1767"/>
      <c r="K9" s="1767"/>
      <c r="L9" s="1767"/>
      <c r="M9" s="1767"/>
      <c r="N9" s="1768"/>
    </row>
    <row r="10" spans="1:14" s="4" customFormat="1" ht="12.75" customHeight="1">
      <c r="A10" s="532" t="s">
        <v>9</v>
      </c>
      <c r="B10" s="1769" t="s">
        <v>153</v>
      </c>
      <c r="C10" s="1769"/>
      <c r="D10" s="1769"/>
      <c r="E10" s="1769"/>
      <c r="F10" s="1769"/>
      <c r="G10" s="1769"/>
      <c r="H10" s="1769"/>
      <c r="I10" s="1769"/>
      <c r="J10" s="1769"/>
      <c r="K10" s="1769"/>
      <c r="L10" s="1769"/>
      <c r="M10" s="1769"/>
      <c r="N10" s="1770"/>
    </row>
    <row r="11" spans="1:14" s="4" customFormat="1">
      <c r="A11" s="533" t="s">
        <v>9</v>
      </c>
      <c r="B11" s="374" t="s">
        <v>9</v>
      </c>
      <c r="C11" s="1771" t="s">
        <v>155</v>
      </c>
      <c r="D11" s="1772"/>
      <c r="E11" s="1772"/>
      <c r="F11" s="1772"/>
      <c r="G11" s="1772"/>
      <c r="H11" s="1772"/>
      <c r="I11" s="1772"/>
      <c r="J11" s="1772"/>
      <c r="K11" s="1772"/>
      <c r="L11" s="1772"/>
      <c r="M11" s="1772"/>
      <c r="N11" s="1773"/>
    </row>
    <row r="12" spans="1:14" s="79" customFormat="1" ht="12" customHeight="1">
      <c r="A12" s="534" t="s">
        <v>9</v>
      </c>
      <c r="B12" s="236" t="s">
        <v>9</v>
      </c>
      <c r="C12" s="1033" t="s">
        <v>9</v>
      </c>
      <c r="D12" s="1777" t="s">
        <v>183</v>
      </c>
      <c r="E12" s="1780" t="s">
        <v>326</v>
      </c>
      <c r="F12" s="1783" t="s">
        <v>156</v>
      </c>
      <c r="G12" s="243" t="s">
        <v>13</v>
      </c>
      <c r="H12" s="1444">
        <f>20179/3.4528*1000</f>
        <v>5844242.3540315116</v>
      </c>
      <c r="I12" s="1399">
        <f>19816.1*1000/3.4528</f>
        <v>5739139.2493049121</v>
      </c>
      <c r="J12" s="1399">
        <f>18814.6*1000/3.4528</f>
        <v>5449084.8007414276</v>
      </c>
      <c r="K12" s="617"/>
      <c r="L12" s="1034"/>
      <c r="M12" s="1034"/>
      <c r="N12" s="1035"/>
    </row>
    <row r="13" spans="1:14" s="4" customFormat="1" ht="13.5" customHeight="1">
      <c r="A13" s="1024"/>
      <c r="B13" s="1025"/>
      <c r="C13" s="1029"/>
      <c r="D13" s="1778"/>
      <c r="E13" s="1781"/>
      <c r="F13" s="1784"/>
      <c r="G13" s="640" t="s">
        <v>164</v>
      </c>
      <c r="H13" s="1437">
        <f>11.6*1000/3.4528</f>
        <v>3359.5922150139018</v>
      </c>
      <c r="I13" s="1438">
        <f>11.6*1000/3.4528</f>
        <v>3359.5922150139018</v>
      </c>
      <c r="J13" s="1439">
        <f>11.6*1000/3.4528</f>
        <v>3359.5922150139018</v>
      </c>
      <c r="K13" s="622"/>
      <c r="L13" s="343"/>
      <c r="M13" s="343"/>
      <c r="N13" s="344"/>
    </row>
    <row r="14" spans="1:14" s="4" customFormat="1" ht="14.25" customHeight="1">
      <c r="A14" s="1774"/>
      <c r="B14" s="1775"/>
      <c r="C14" s="1776"/>
      <c r="D14" s="1778"/>
      <c r="E14" s="1781"/>
      <c r="F14" s="1784"/>
      <c r="G14" s="171" t="s">
        <v>233</v>
      </c>
      <c r="H14" s="1440">
        <f>81.9/3.4528*1000</f>
        <v>23719.879518072292</v>
      </c>
      <c r="I14" s="1441">
        <f>81*1000/3.4528</f>
        <v>23459.221501390177</v>
      </c>
      <c r="J14" s="1441">
        <f>81/3.4528*1000</f>
        <v>23459.221501390177</v>
      </c>
      <c r="K14" s="1405"/>
      <c r="L14" s="1406"/>
      <c r="M14" s="1406"/>
      <c r="N14" s="1407"/>
    </row>
    <row r="15" spans="1:14" s="4" customFormat="1" ht="14.25" customHeight="1">
      <c r="A15" s="1774"/>
      <c r="B15" s="1775"/>
      <c r="C15" s="1776"/>
      <c r="D15" s="1778"/>
      <c r="E15" s="1781"/>
      <c r="F15" s="1784"/>
      <c r="G15" s="87" t="s">
        <v>150</v>
      </c>
      <c r="H15" s="1572">
        <f>2577.1/3.4528*1000</f>
        <v>746379.74976830406</v>
      </c>
      <c r="I15" s="1573">
        <f>2524*1000/3.4528</f>
        <v>731000.92678405938</v>
      </c>
      <c r="J15" s="1573">
        <f>2524/3.4528*1000</f>
        <v>731000.92678405927</v>
      </c>
      <c r="K15" s="1408"/>
      <c r="L15" s="1052"/>
      <c r="M15" s="1052"/>
      <c r="N15" s="1053"/>
    </row>
    <row r="16" spans="1:14" s="4" customFormat="1" ht="27" customHeight="1">
      <c r="A16" s="1774"/>
      <c r="B16" s="1775"/>
      <c r="C16" s="1776"/>
      <c r="D16" s="1778"/>
      <c r="E16" s="1781"/>
      <c r="F16" s="1784"/>
      <c r="G16" s="633"/>
      <c r="H16" s="1442"/>
      <c r="I16" s="1443"/>
      <c r="J16" s="1443"/>
      <c r="K16" s="617" t="s">
        <v>361</v>
      </c>
      <c r="L16" s="1034">
        <v>439.5</v>
      </c>
      <c r="M16" s="1034">
        <v>439.5</v>
      </c>
      <c r="N16" s="1035">
        <v>439.5</v>
      </c>
    </row>
    <row r="17" spans="1:15" s="4" customFormat="1" ht="30.75" customHeight="1">
      <c r="A17" s="1774"/>
      <c r="B17" s="1775"/>
      <c r="C17" s="1776"/>
      <c r="D17" s="1778"/>
      <c r="E17" s="1781"/>
      <c r="F17" s="1784"/>
      <c r="G17" s="633"/>
      <c r="H17" s="1442"/>
      <c r="I17" s="1443"/>
      <c r="J17" s="1443"/>
      <c r="K17" s="1128" t="s">
        <v>368</v>
      </c>
      <c r="L17" s="714" t="s">
        <v>290</v>
      </c>
      <c r="M17" s="714" t="s">
        <v>290</v>
      </c>
      <c r="N17" s="715" t="s">
        <v>291</v>
      </c>
    </row>
    <row r="18" spans="1:15" s="4" customFormat="1" ht="15" customHeight="1">
      <c r="A18" s="1774"/>
      <c r="B18" s="1775"/>
      <c r="C18" s="1776"/>
      <c r="D18" s="1778"/>
      <c r="E18" s="1781"/>
      <c r="F18" s="1784"/>
      <c r="G18" s="633"/>
      <c r="H18" s="1442"/>
      <c r="I18" s="1443"/>
      <c r="J18" s="1443"/>
      <c r="K18" s="650" t="s">
        <v>286</v>
      </c>
      <c r="L18" s="651">
        <v>2</v>
      </c>
      <c r="M18" s="651">
        <v>2</v>
      </c>
      <c r="N18" s="652">
        <v>2</v>
      </c>
    </row>
    <row r="19" spans="1:15" s="4" customFormat="1" ht="27" customHeight="1">
      <c r="A19" s="1774"/>
      <c r="B19" s="1775"/>
      <c r="C19" s="1776"/>
      <c r="D19" s="1778"/>
      <c r="E19" s="1781"/>
      <c r="F19" s="1784"/>
      <c r="G19" s="633"/>
      <c r="H19" s="1442"/>
      <c r="I19" s="1443"/>
      <c r="J19" s="1472"/>
      <c r="K19" s="970" t="s">
        <v>235</v>
      </c>
      <c r="L19" s="672">
        <v>150</v>
      </c>
      <c r="M19" s="672">
        <v>150</v>
      </c>
      <c r="N19" s="673">
        <v>150</v>
      </c>
    </row>
    <row r="20" spans="1:15" s="4" customFormat="1">
      <c r="A20" s="1774"/>
      <c r="B20" s="1775"/>
      <c r="C20" s="1776"/>
      <c r="D20" s="1778"/>
      <c r="E20" s="1781"/>
      <c r="F20" s="1784"/>
      <c r="G20" s="633"/>
      <c r="H20" s="1442"/>
      <c r="I20" s="1574"/>
      <c r="J20" s="1472"/>
      <c r="K20" s="679" t="s">
        <v>288</v>
      </c>
      <c r="L20" s="672">
        <v>18</v>
      </c>
      <c r="M20" s="672">
        <v>20</v>
      </c>
      <c r="N20" s="673">
        <v>20</v>
      </c>
    </row>
    <row r="21" spans="1:15" s="4" customFormat="1" ht="25.5">
      <c r="A21" s="1024"/>
      <c r="B21" s="1022"/>
      <c r="C21" s="1029"/>
      <c r="D21" s="1778"/>
      <c r="E21" s="1781"/>
      <c r="F21" s="1784"/>
      <c r="G21" s="633"/>
      <c r="H21" s="1442"/>
      <c r="I21" s="1574"/>
      <c r="J21" s="1472"/>
      <c r="K21" s="1066" t="s">
        <v>362</v>
      </c>
      <c r="L21" s="1488">
        <v>130</v>
      </c>
      <c r="M21" s="1488">
        <v>130</v>
      </c>
      <c r="N21" s="1489">
        <v>130</v>
      </c>
    </row>
    <row r="22" spans="1:15" s="4" customFormat="1" ht="24.75" customHeight="1">
      <c r="A22" s="539"/>
      <c r="B22" s="1025"/>
      <c r="C22" s="1029"/>
      <c r="D22" s="1778"/>
      <c r="E22" s="1781"/>
      <c r="F22" s="1784"/>
      <c r="G22" s="1211"/>
      <c r="H22" s="1442"/>
      <c r="I22" s="1575"/>
      <c r="J22" s="1396"/>
      <c r="K22" s="1129" t="s">
        <v>365</v>
      </c>
      <c r="L22" s="1130" t="s">
        <v>298</v>
      </c>
      <c r="M22" s="1130" t="s">
        <v>298</v>
      </c>
      <c r="N22" s="1131" t="s">
        <v>298</v>
      </c>
    </row>
    <row r="23" spans="1:15" s="4" customFormat="1" ht="22.5" customHeight="1">
      <c r="A23" s="539"/>
      <c r="B23" s="1170"/>
      <c r="C23" s="1169"/>
      <c r="D23" s="1778"/>
      <c r="E23" s="1781"/>
      <c r="F23" s="1784"/>
      <c r="G23" s="243"/>
      <c r="H23" s="1444"/>
      <c r="I23" s="1445"/>
      <c r="J23" s="1398"/>
      <c r="K23" s="1786" t="s">
        <v>379</v>
      </c>
      <c r="L23" s="1202">
        <v>2</v>
      </c>
      <c r="M23" s="1387" t="s">
        <v>330</v>
      </c>
      <c r="N23" s="1388" t="s">
        <v>330</v>
      </c>
    </row>
    <row r="24" spans="1:15" s="4" customFormat="1" ht="20.25" customHeight="1" thickBot="1">
      <c r="A24" s="540"/>
      <c r="B24" s="1026"/>
      <c r="C24" s="1032"/>
      <c r="D24" s="1779"/>
      <c r="E24" s="1782"/>
      <c r="F24" s="1785"/>
      <c r="G24" s="1030" t="s">
        <v>16</v>
      </c>
      <c r="H24" s="1446">
        <f>SUM(H12:H22)</f>
        <v>6617701.5755329011</v>
      </c>
      <c r="I24" s="1447">
        <f>SUM(I12:I22)</f>
        <v>6496958.9898053752</v>
      </c>
      <c r="J24" s="1446">
        <f>SUM(J12:J22)</f>
        <v>6206904.5412418908</v>
      </c>
      <c r="K24" s="1787"/>
      <c r="L24" s="275"/>
      <c r="M24" s="343"/>
      <c r="N24" s="344"/>
      <c r="O24" s="90"/>
    </row>
    <row r="25" spans="1:15" s="4" customFormat="1" ht="21" customHeight="1">
      <c r="A25" s="1774" t="s">
        <v>9</v>
      </c>
      <c r="B25" s="1775" t="s">
        <v>9</v>
      </c>
      <c r="C25" s="1790" t="s">
        <v>10</v>
      </c>
      <c r="D25" s="1792" t="s">
        <v>221</v>
      </c>
      <c r="E25" s="1794"/>
      <c r="F25" s="1796" t="s">
        <v>156</v>
      </c>
      <c r="G25" s="78" t="s">
        <v>13</v>
      </c>
      <c r="H25" s="1448">
        <f>449.7/3.4528*1000</f>
        <v>130242.12233549582</v>
      </c>
      <c r="I25" s="1449">
        <f>450*1000/3.4528</f>
        <v>130329.00834105654</v>
      </c>
      <c r="J25" s="1450">
        <f>450*1000/3.4528</f>
        <v>130329.00834105654</v>
      </c>
      <c r="K25" s="1720" t="s">
        <v>246</v>
      </c>
      <c r="L25" s="1758">
        <v>7</v>
      </c>
      <c r="M25" s="1758">
        <v>8</v>
      </c>
      <c r="N25" s="1756">
        <v>9</v>
      </c>
    </row>
    <row r="26" spans="1:15" s="4" customFormat="1" ht="17.25" customHeight="1" thickBot="1">
      <c r="A26" s="1788"/>
      <c r="B26" s="1789"/>
      <c r="C26" s="1791"/>
      <c r="D26" s="1793"/>
      <c r="E26" s="1795"/>
      <c r="F26" s="1719"/>
      <c r="G26" s="414" t="s">
        <v>16</v>
      </c>
      <c r="H26" s="1451">
        <f t="shared" ref="H26:J26" si="0">H25</f>
        <v>130242.12233549582</v>
      </c>
      <c r="I26" s="1452">
        <f t="shared" si="0"/>
        <v>130329.00834105654</v>
      </c>
      <c r="J26" s="1446">
        <f t="shared" si="0"/>
        <v>130329.00834105654</v>
      </c>
      <c r="K26" s="1721"/>
      <c r="L26" s="1759"/>
      <c r="M26" s="1759"/>
      <c r="N26" s="1757"/>
    </row>
    <row r="27" spans="1:15" s="4" customFormat="1" ht="12.75" customHeight="1">
      <c r="A27" s="1774" t="s">
        <v>9</v>
      </c>
      <c r="B27" s="1775" t="s">
        <v>9</v>
      </c>
      <c r="C27" s="1790" t="s">
        <v>11</v>
      </c>
      <c r="D27" s="1792" t="s">
        <v>151</v>
      </c>
      <c r="E27" s="1794"/>
      <c r="F27" s="1796" t="s">
        <v>156</v>
      </c>
      <c r="G27" s="80" t="s">
        <v>13</v>
      </c>
      <c r="H27" s="1448">
        <f>844.9*1000/3.4528</f>
        <v>244699.95366079704</v>
      </c>
      <c r="I27" s="1449">
        <f>844/3.4528*1000</f>
        <v>244439.29564411493</v>
      </c>
      <c r="J27" s="1450">
        <f>844/3.4528*1000</f>
        <v>244439.29564411493</v>
      </c>
      <c r="K27" s="1722" t="s">
        <v>245</v>
      </c>
      <c r="L27" s="1411">
        <v>31</v>
      </c>
      <c r="M27" s="1411">
        <v>31</v>
      </c>
      <c r="N27" s="1409">
        <v>31</v>
      </c>
    </row>
    <row r="28" spans="1:15" s="4" customFormat="1" ht="14.25" customHeight="1" thickBot="1">
      <c r="A28" s="1788"/>
      <c r="B28" s="1789"/>
      <c r="C28" s="1791"/>
      <c r="D28" s="1793"/>
      <c r="E28" s="1795"/>
      <c r="F28" s="1719"/>
      <c r="G28" s="414" t="s">
        <v>16</v>
      </c>
      <c r="H28" s="1451">
        <f>H27</f>
        <v>244699.95366079704</v>
      </c>
      <c r="I28" s="1446">
        <f t="shared" ref="I28:J28" si="1">I27</f>
        <v>244439.29564411493</v>
      </c>
      <c r="J28" s="1446">
        <f t="shared" si="1"/>
        <v>244439.29564411493</v>
      </c>
      <c r="K28" s="1797"/>
      <c r="L28" s="1412"/>
      <c r="M28" s="1412"/>
      <c r="N28" s="1410"/>
    </row>
    <row r="29" spans="1:15" s="4" customFormat="1" ht="18" customHeight="1">
      <c r="A29" s="1802" t="s">
        <v>9</v>
      </c>
      <c r="B29" s="1803" t="s">
        <v>9</v>
      </c>
      <c r="C29" s="1805" t="s">
        <v>12</v>
      </c>
      <c r="D29" s="1806" t="s">
        <v>240</v>
      </c>
      <c r="E29" s="1807"/>
      <c r="F29" s="1718" t="s">
        <v>156</v>
      </c>
      <c r="G29" s="169" t="s">
        <v>13</v>
      </c>
      <c r="H29" s="1453">
        <f>316.8/3.4528*1000</f>
        <v>91751.621872103817</v>
      </c>
      <c r="I29" s="1454">
        <f>320/3.4528*1000</f>
        <v>92678.40593141799</v>
      </c>
      <c r="J29" s="1454">
        <f>320/3.4528*1000</f>
        <v>92678.40593141799</v>
      </c>
      <c r="K29" s="1720" t="s">
        <v>181</v>
      </c>
      <c r="L29" s="1798">
        <v>7</v>
      </c>
      <c r="M29" s="1798">
        <v>7</v>
      </c>
      <c r="N29" s="1800">
        <v>7</v>
      </c>
    </row>
    <row r="30" spans="1:15" s="4" customFormat="1" ht="21.75" customHeight="1" thickBot="1">
      <c r="A30" s="1788"/>
      <c r="B30" s="1804"/>
      <c r="C30" s="1791"/>
      <c r="D30" s="1793"/>
      <c r="E30" s="1795"/>
      <c r="F30" s="1719"/>
      <c r="G30" s="412" t="s">
        <v>16</v>
      </c>
      <c r="H30" s="1455">
        <f t="shared" ref="H30:J30" si="2">H29</f>
        <v>91751.621872103817</v>
      </c>
      <c r="I30" s="1456">
        <f t="shared" si="2"/>
        <v>92678.40593141799</v>
      </c>
      <c r="J30" s="1456">
        <f t="shared" si="2"/>
        <v>92678.40593141799</v>
      </c>
      <c r="K30" s="1721"/>
      <c r="L30" s="1799"/>
      <c r="M30" s="1799"/>
      <c r="N30" s="1801"/>
    </row>
    <row r="31" spans="1:15" s="4" customFormat="1" ht="19.5" customHeight="1">
      <c r="A31" s="1802" t="s">
        <v>9</v>
      </c>
      <c r="B31" s="1803" t="s">
        <v>9</v>
      </c>
      <c r="C31" s="1805" t="s">
        <v>34</v>
      </c>
      <c r="D31" s="1806" t="s">
        <v>260</v>
      </c>
      <c r="E31" s="1807"/>
      <c r="F31" s="1718" t="s">
        <v>156</v>
      </c>
      <c r="G31" s="80" t="s">
        <v>13</v>
      </c>
      <c r="H31" s="1457">
        <f>42.4/3.4528*1000</f>
        <v>12279.888785912883</v>
      </c>
      <c r="I31" s="1458">
        <f>42/3.4528*1000</f>
        <v>12164.040778498609</v>
      </c>
      <c r="J31" s="1458">
        <f>42/3.4528*1000</f>
        <v>12164.040778498609</v>
      </c>
      <c r="K31" s="214"/>
      <c r="L31" s="224"/>
      <c r="M31" s="224"/>
      <c r="N31" s="225"/>
    </row>
    <row r="32" spans="1:15" s="4" customFormat="1" ht="13.5" thickBot="1">
      <c r="A32" s="1774"/>
      <c r="B32" s="1811"/>
      <c r="C32" s="1790"/>
      <c r="D32" s="1808"/>
      <c r="E32" s="1794"/>
      <c r="F32" s="1796"/>
      <c r="G32" s="417" t="s">
        <v>16</v>
      </c>
      <c r="H32" s="1459">
        <f>SUM(H31:H31)</f>
        <v>12279.888785912883</v>
      </c>
      <c r="I32" s="1459">
        <f>SUM(I31:I31)</f>
        <v>12164.040778498609</v>
      </c>
      <c r="J32" s="1459">
        <f>SUM(J31:J31)</f>
        <v>12164.040778498609</v>
      </c>
      <c r="K32" s="215"/>
      <c r="L32" s="343"/>
      <c r="M32" s="343"/>
      <c r="N32" s="344"/>
    </row>
    <row r="33" spans="1:14" s="4" customFormat="1" ht="25.5">
      <c r="A33" s="1004" t="s">
        <v>9</v>
      </c>
      <c r="B33" s="353" t="s">
        <v>9</v>
      </c>
      <c r="C33" s="1036" t="s">
        <v>36</v>
      </c>
      <c r="D33" s="1124" t="s">
        <v>242</v>
      </c>
      <c r="E33" s="1136"/>
      <c r="F33" s="1048"/>
      <c r="G33" s="78"/>
      <c r="H33" s="1460"/>
      <c r="I33" s="1450"/>
      <c r="J33" s="1450"/>
      <c r="K33" s="214"/>
      <c r="L33" s="264"/>
      <c r="M33" s="224"/>
      <c r="N33" s="225"/>
    </row>
    <row r="34" spans="1:14" s="4" customFormat="1" ht="28.5" customHeight="1">
      <c r="A34" s="1008"/>
      <c r="B34" s="352"/>
      <c r="C34" s="1037"/>
      <c r="D34" s="1126" t="s">
        <v>223</v>
      </c>
      <c r="E34" s="443"/>
      <c r="F34" s="1049" t="s">
        <v>156</v>
      </c>
      <c r="G34" s="80" t="s">
        <v>13</v>
      </c>
      <c r="H34" s="1484">
        <f>117.8/3.4528*1000</f>
        <v>34117.23818350325</v>
      </c>
      <c r="I34" s="1392">
        <f>117.8/3.4528*1000</f>
        <v>34117.23818350325</v>
      </c>
      <c r="J34" s="1392">
        <f>118/3.4528*1000</f>
        <v>34175.162187210386</v>
      </c>
      <c r="K34" s="215"/>
      <c r="L34" s="268"/>
      <c r="M34" s="259"/>
      <c r="N34" s="258"/>
    </row>
    <row r="35" spans="1:14" s="4" customFormat="1" ht="90.75" customHeight="1">
      <c r="A35" s="1008"/>
      <c r="B35" s="352"/>
      <c r="C35" s="1037"/>
      <c r="D35" s="871" t="s">
        <v>388</v>
      </c>
      <c r="E35" s="1137"/>
      <c r="F35" s="1050" t="s">
        <v>157</v>
      </c>
      <c r="G35" s="861" t="s">
        <v>13</v>
      </c>
      <c r="H35" s="1461">
        <f>107.8/3.4528*1000</f>
        <v>31221.037998146432</v>
      </c>
      <c r="I35" s="1393">
        <f>132/3.4528*1000</f>
        <v>38229.842446709918</v>
      </c>
      <c r="J35" s="1393">
        <f>132/3.4528*1000</f>
        <v>38229.842446709918</v>
      </c>
      <c r="K35" s="868" t="s">
        <v>367</v>
      </c>
      <c r="L35" s="668">
        <v>7</v>
      </c>
      <c r="M35" s="791">
        <v>7</v>
      </c>
      <c r="N35" s="669">
        <v>7</v>
      </c>
    </row>
    <row r="36" spans="1:14" s="4" customFormat="1">
      <c r="A36" s="1008"/>
      <c r="B36" s="352"/>
      <c r="C36" s="1028"/>
      <c r="D36" s="1817" t="s">
        <v>310</v>
      </c>
      <c r="E36" s="1819"/>
      <c r="F36" s="1821"/>
      <c r="G36" s="1039"/>
      <c r="H36" s="1485"/>
      <c r="I36" s="1486"/>
      <c r="J36" s="1486"/>
      <c r="K36" s="1040" t="s">
        <v>366</v>
      </c>
      <c r="L36" s="1041">
        <v>2</v>
      </c>
      <c r="M36" s="1041">
        <v>5</v>
      </c>
      <c r="N36" s="1042">
        <v>5</v>
      </c>
    </row>
    <row r="37" spans="1:14" s="4" customFormat="1" ht="27.75" customHeight="1" thickBot="1">
      <c r="A37" s="1005"/>
      <c r="B37" s="1007"/>
      <c r="C37" s="1032"/>
      <c r="D37" s="1818"/>
      <c r="E37" s="1820"/>
      <c r="F37" s="1822"/>
      <c r="G37" s="414" t="s">
        <v>16</v>
      </c>
      <c r="H37" s="1487">
        <f>SUM(H34:H36)</f>
        <v>65338.276181649679</v>
      </c>
      <c r="I37" s="1487">
        <f t="shared" ref="I37:J37" si="3">SUM(I34:I36)</f>
        <v>72347.080630213168</v>
      </c>
      <c r="J37" s="1487">
        <f t="shared" si="3"/>
        <v>72405.004633920296</v>
      </c>
      <c r="K37" s="1043"/>
      <c r="L37" s="1044"/>
      <c r="M37" s="1044"/>
      <c r="N37" s="1045"/>
    </row>
    <row r="38" spans="1:14" s="79" customFormat="1" ht="12.75" customHeight="1">
      <c r="A38" s="1774" t="s">
        <v>9</v>
      </c>
      <c r="B38" s="1811" t="s">
        <v>9</v>
      </c>
      <c r="C38" s="1790" t="s">
        <v>39</v>
      </c>
      <c r="D38" s="1812" t="s">
        <v>29</v>
      </c>
      <c r="E38" s="1814"/>
      <c r="F38" s="1816" t="s">
        <v>156</v>
      </c>
      <c r="G38" s="306" t="s">
        <v>13</v>
      </c>
      <c r="H38" s="1457">
        <f>14910/3.4528*1000</f>
        <v>4318234.4763670061</v>
      </c>
      <c r="I38" s="1394">
        <f>16139.8/3.4528*1000</f>
        <v>4674409.1751621868</v>
      </c>
      <c r="J38" s="1462">
        <f>13793.1/3.4528*1000</f>
        <v>3994757.8776645046</v>
      </c>
      <c r="K38" s="1722" t="s">
        <v>209</v>
      </c>
      <c r="L38" s="1411">
        <v>6</v>
      </c>
      <c r="M38" s="1411">
        <v>7</v>
      </c>
      <c r="N38" s="1409">
        <v>8</v>
      </c>
    </row>
    <row r="39" spans="1:14" s="79" customFormat="1" ht="13.5" thickBot="1">
      <c r="A39" s="1788"/>
      <c r="B39" s="1804"/>
      <c r="C39" s="1791"/>
      <c r="D39" s="1813"/>
      <c r="E39" s="1815"/>
      <c r="F39" s="1810"/>
      <c r="G39" s="419" t="s">
        <v>16</v>
      </c>
      <c r="H39" s="1455">
        <f>H38</f>
        <v>4318234.4763670061</v>
      </c>
      <c r="I39" s="1456">
        <f t="shared" ref="I39:J39" si="4">SUM(I38:I38)</f>
        <v>4674409.1751621868</v>
      </c>
      <c r="J39" s="1463">
        <f t="shared" si="4"/>
        <v>3994757.8776645046</v>
      </c>
      <c r="K39" s="1723"/>
      <c r="L39" s="1412"/>
      <c r="M39" s="1412"/>
      <c r="N39" s="1410"/>
    </row>
    <row r="40" spans="1:14" s="79" customFormat="1" ht="12.75" customHeight="1">
      <c r="A40" s="1802" t="s">
        <v>9</v>
      </c>
      <c r="B40" s="1803" t="s">
        <v>9</v>
      </c>
      <c r="C40" s="1790" t="s">
        <v>40</v>
      </c>
      <c r="D40" s="1831" t="s">
        <v>184</v>
      </c>
      <c r="E40" s="1814"/>
      <c r="F40" s="1809" t="s">
        <v>156</v>
      </c>
      <c r="G40" s="306" t="s">
        <v>13</v>
      </c>
      <c r="H40" s="1464">
        <f>100/3.4528*1000</f>
        <v>28962.001853568119</v>
      </c>
      <c r="I40" s="1465">
        <f>100/3.4528*1000</f>
        <v>28962.001853568119</v>
      </c>
      <c r="J40" s="1466">
        <f>100/3.4528*1000</f>
        <v>28962.001853568119</v>
      </c>
      <c r="K40" s="212"/>
      <c r="L40" s="224"/>
      <c r="M40" s="224"/>
      <c r="N40" s="225"/>
    </row>
    <row r="41" spans="1:14" s="79" customFormat="1" ht="13.5" thickBot="1">
      <c r="A41" s="1788"/>
      <c r="B41" s="1804"/>
      <c r="C41" s="1791"/>
      <c r="D41" s="1813"/>
      <c r="E41" s="1815"/>
      <c r="F41" s="1810"/>
      <c r="G41" s="419" t="s">
        <v>16</v>
      </c>
      <c r="H41" s="1467">
        <f>H40</f>
        <v>28962.001853568119</v>
      </c>
      <c r="I41" s="1456">
        <f t="shared" ref="I41:J41" si="5">SUM(I40:I40)</f>
        <v>28962.001853568119</v>
      </c>
      <c r="J41" s="1463">
        <f t="shared" si="5"/>
        <v>28962.001853568119</v>
      </c>
      <c r="K41" s="213"/>
      <c r="L41" s="228"/>
      <c r="M41" s="228"/>
      <c r="N41" s="229"/>
    </row>
    <row r="42" spans="1:14" s="4" customFormat="1" ht="12.75" customHeight="1">
      <c r="A42" s="541" t="s">
        <v>9</v>
      </c>
      <c r="B42" s="235" t="s">
        <v>9</v>
      </c>
      <c r="C42" s="1046" t="s">
        <v>41</v>
      </c>
      <c r="D42" s="1823" t="s">
        <v>241</v>
      </c>
      <c r="E42" s="1138"/>
      <c r="F42" s="1545">
        <v>1</v>
      </c>
      <c r="G42" s="78" t="s">
        <v>13</v>
      </c>
      <c r="H42" s="1460">
        <f>809.5/3.4528*1000</f>
        <v>234447.40500463394</v>
      </c>
      <c r="I42" s="1468">
        <f>1316.6/3.4528*1000</f>
        <v>381313.71640407789</v>
      </c>
      <c r="J42" s="1468">
        <f>896.5/3.4528*1000</f>
        <v>259644.34661723816</v>
      </c>
      <c r="K42" s="472"/>
      <c r="L42" s="341"/>
      <c r="M42" s="473"/>
      <c r="N42" s="1548"/>
    </row>
    <row r="43" spans="1:14" s="4" customFormat="1">
      <c r="A43" s="534"/>
      <c r="B43" s="236"/>
      <c r="C43" s="1031"/>
      <c r="D43" s="1778"/>
      <c r="E43" s="1139"/>
      <c r="F43" s="481"/>
      <c r="G43" s="86" t="s">
        <v>138</v>
      </c>
      <c r="H43" s="1469">
        <f>40/3.4528*1000</f>
        <v>11584.800741427249</v>
      </c>
      <c r="I43" s="1470">
        <f>30/3.4528*1000</f>
        <v>8688.6005560704343</v>
      </c>
      <c r="J43" s="1392">
        <f>30/3.4528*1000</f>
        <v>8688.6005560704343</v>
      </c>
      <c r="K43" s="838"/>
      <c r="L43" s="342"/>
      <c r="M43" s="824"/>
      <c r="N43" s="344"/>
    </row>
    <row r="44" spans="1:14" s="4" customFormat="1" ht="24.75" customHeight="1">
      <c r="A44" s="534"/>
      <c r="B44" s="236"/>
      <c r="C44" s="1031"/>
      <c r="D44" s="1725"/>
      <c r="E44" s="1139"/>
      <c r="F44" s="481"/>
      <c r="G44" s="703" t="s">
        <v>14</v>
      </c>
      <c r="H44" s="1464">
        <f>14/3.4528*1000</f>
        <v>4054.680259499537</v>
      </c>
      <c r="I44" s="1471">
        <f>14/3.4528*1000</f>
        <v>4054.680259499537</v>
      </c>
      <c r="J44" s="1472">
        <f>5/3.4528*1000</f>
        <v>1448.1000926784061</v>
      </c>
      <c r="K44" s="215"/>
      <c r="L44" s="268"/>
      <c r="M44" s="280"/>
      <c r="N44" s="258"/>
    </row>
    <row r="45" spans="1:14" s="4" customFormat="1" ht="16.5" customHeight="1">
      <c r="A45" s="534"/>
      <c r="B45" s="236"/>
      <c r="C45" s="1031"/>
      <c r="D45" s="1824" t="s">
        <v>261</v>
      </c>
      <c r="E45" s="1139"/>
      <c r="F45" s="481"/>
      <c r="G45" s="703"/>
      <c r="H45" s="1464"/>
      <c r="I45" s="1471"/>
      <c r="J45" s="1472"/>
      <c r="K45" s="826" t="s">
        <v>369</v>
      </c>
      <c r="L45" s="342">
        <v>100</v>
      </c>
      <c r="M45" s="824">
        <v>100</v>
      </c>
      <c r="N45" s="344">
        <v>100</v>
      </c>
    </row>
    <row r="46" spans="1:14" s="4" customFormat="1" ht="15.75" customHeight="1">
      <c r="A46" s="534"/>
      <c r="B46" s="236"/>
      <c r="C46" s="1031"/>
      <c r="D46" s="1824"/>
      <c r="E46" s="1139"/>
      <c r="F46" s="481"/>
      <c r="G46" s="703"/>
      <c r="H46" s="1464"/>
      <c r="I46" s="1471"/>
      <c r="J46" s="1472"/>
      <c r="K46" s="835" t="s">
        <v>205</v>
      </c>
      <c r="L46" s="836">
        <v>38</v>
      </c>
      <c r="M46" s="1107">
        <v>95</v>
      </c>
      <c r="N46" s="837">
        <v>95</v>
      </c>
    </row>
    <row r="47" spans="1:14" s="4" customFormat="1" ht="13.5" customHeight="1">
      <c r="A47" s="534"/>
      <c r="B47" s="236"/>
      <c r="C47" s="1031"/>
      <c r="D47" s="1824"/>
      <c r="E47" s="1140"/>
      <c r="F47" s="482"/>
      <c r="G47" s="703"/>
      <c r="H47" s="1464"/>
      <c r="I47" s="1471"/>
      <c r="J47" s="1472"/>
      <c r="K47" s="462" t="s">
        <v>370</v>
      </c>
      <c r="L47" s="268">
        <v>65</v>
      </c>
      <c r="M47" s="280">
        <v>40</v>
      </c>
      <c r="N47" s="258">
        <v>40</v>
      </c>
    </row>
    <row r="48" spans="1:14" s="4" customFormat="1" ht="16.5" customHeight="1">
      <c r="A48" s="534"/>
      <c r="B48" s="236"/>
      <c r="C48" s="1031"/>
      <c r="D48" s="1825" t="s">
        <v>154</v>
      </c>
      <c r="E48" s="1141"/>
      <c r="F48" s="1123"/>
      <c r="G48" s="1576"/>
      <c r="H48" s="1464"/>
      <c r="I48" s="1471"/>
      <c r="J48" s="1472"/>
      <c r="K48" s="667" t="s">
        <v>371</v>
      </c>
      <c r="L48" s="668">
        <v>19</v>
      </c>
      <c r="M48" s="1108">
        <v>12</v>
      </c>
      <c r="N48" s="669">
        <v>12</v>
      </c>
    </row>
    <row r="49" spans="1:17" s="4" customFormat="1" ht="15.75" customHeight="1">
      <c r="A49" s="534"/>
      <c r="B49" s="236"/>
      <c r="C49" s="1031"/>
      <c r="D49" s="1826"/>
      <c r="E49" s="1140"/>
      <c r="F49" s="482"/>
      <c r="G49" s="1576"/>
      <c r="H49" s="1464"/>
      <c r="I49" s="1471"/>
      <c r="J49" s="1472"/>
      <c r="K49" s="788"/>
      <c r="L49" s="1109"/>
      <c r="M49" s="1109"/>
      <c r="N49" s="1110"/>
    </row>
    <row r="50" spans="1:17" s="4" customFormat="1" ht="51">
      <c r="A50" s="534"/>
      <c r="B50" s="236"/>
      <c r="C50" s="1031"/>
      <c r="D50" s="1547" t="s">
        <v>182</v>
      </c>
      <c r="E50" s="1142"/>
      <c r="F50" s="1132"/>
      <c r="G50" s="1576"/>
      <c r="H50" s="1464"/>
      <c r="I50" s="1577"/>
      <c r="J50" s="1578"/>
      <c r="K50" s="1133" t="s">
        <v>302</v>
      </c>
      <c r="L50" s="1134">
        <v>5</v>
      </c>
      <c r="M50" s="1134">
        <v>7</v>
      </c>
      <c r="N50" s="1135">
        <v>5</v>
      </c>
    </row>
    <row r="51" spans="1:17" s="4" customFormat="1" ht="41.25" customHeight="1" thickBot="1">
      <c r="A51" s="542"/>
      <c r="B51" s="1549"/>
      <c r="C51" s="1055"/>
      <c r="D51" s="1550" t="s">
        <v>303</v>
      </c>
      <c r="E51" s="1551"/>
      <c r="F51" s="1546"/>
      <c r="G51" s="1576"/>
      <c r="H51" s="1464"/>
      <c r="I51" s="1471"/>
      <c r="J51" s="1472"/>
      <c r="K51" s="1552" t="s">
        <v>206</v>
      </c>
      <c r="L51" s="287">
        <v>48</v>
      </c>
      <c r="M51" s="1553">
        <v>10</v>
      </c>
      <c r="N51" s="1554">
        <v>10</v>
      </c>
      <c r="O51" s="789"/>
    </row>
    <row r="52" spans="1:17" s="4" customFormat="1" ht="54" customHeight="1">
      <c r="A52" s="534"/>
      <c r="B52" s="357"/>
      <c r="C52" s="1047"/>
      <c r="D52" s="744" t="s">
        <v>262</v>
      </c>
      <c r="E52" s="1144"/>
      <c r="F52" s="482"/>
      <c r="G52" s="1576"/>
      <c r="H52" s="1464"/>
      <c r="I52" s="1471"/>
      <c r="J52" s="1472"/>
      <c r="K52" s="262" t="s">
        <v>372</v>
      </c>
      <c r="L52" s="268">
        <v>116</v>
      </c>
      <c r="M52" s="1113">
        <v>116</v>
      </c>
      <c r="N52" s="1114">
        <v>116</v>
      </c>
      <c r="O52" s="789"/>
    </row>
    <row r="53" spans="1:17" s="4" customFormat="1" ht="14.25" customHeight="1">
      <c r="A53" s="534"/>
      <c r="B53" s="357"/>
      <c r="C53" s="1047"/>
      <c r="D53" s="1827" t="s">
        <v>169</v>
      </c>
      <c r="E53" s="1143"/>
      <c r="F53" s="481"/>
      <c r="G53" s="1576"/>
      <c r="H53" s="1579"/>
      <c r="I53" s="1577"/>
      <c r="J53" s="1578"/>
      <c r="K53" s="1389" t="s">
        <v>304</v>
      </c>
      <c r="L53" s="1390">
        <v>31</v>
      </c>
      <c r="M53" s="1390">
        <v>28</v>
      </c>
      <c r="N53" s="1391">
        <v>20</v>
      </c>
      <c r="O53" s="789"/>
    </row>
    <row r="54" spans="1:17" s="4" customFormat="1" ht="23.25" customHeight="1">
      <c r="A54" s="534"/>
      <c r="B54" s="357"/>
      <c r="C54" s="1047"/>
      <c r="D54" s="1824"/>
      <c r="E54" s="1143"/>
      <c r="F54" s="481"/>
      <c r="G54" s="1576"/>
      <c r="H54" s="1579"/>
      <c r="I54" s="1577"/>
      <c r="J54" s="1578"/>
      <c r="K54" s="814" t="s">
        <v>305</v>
      </c>
      <c r="L54" s="1117" t="s">
        <v>85</v>
      </c>
      <c r="M54" s="1117" t="s">
        <v>85</v>
      </c>
      <c r="N54" s="1118" t="s">
        <v>35</v>
      </c>
    </row>
    <row r="55" spans="1:17" s="4" customFormat="1" ht="39.75" customHeight="1">
      <c r="A55" s="534"/>
      <c r="B55" s="357"/>
      <c r="C55" s="1047"/>
      <c r="D55" s="1127" t="s">
        <v>389</v>
      </c>
      <c r="E55" s="1143"/>
      <c r="F55" s="481"/>
      <c r="G55" s="1576"/>
      <c r="H55" s="1464"/>
      <c r="I55" s="1471"/>
      <c r="J55" s="1472"/>
      <c r="K55" s="550" t="s">
        <v>313</v>
      </c>
      <c r="L55" s="263">
        <v>30</v>
      </c>
      <c r="M55" s="762">
        <v>30</v>
      </c>
      <c r="N55" s="767">
        <v>30</v>
      </c>
      <c r="O55" s="90"/>
      <c r="P55" s="90"/>
    </row>
    <row r="56" spans="1:17" s="4" customFormat="1" ht="28.5" customHeight="1">
      <c r="A56" s="534"/>
      <c r="B56" s="357"/>
      <c r="C56" s="1047"/>
      <c r="D56" s="1724" t="s">
        <v>307</v>
      </c>
      <c r="E56" s="1143"/>
      <c r="F56" s="481"/>
      <c r="G56" s="1576"/>
      <c r="H56" s="1464"/>
      <c r="I56" s="1471"/>
      <c r="J56" s="1472"/>
      <c r="K56" s="790" t="s">
        <v>373</v>
      </c>
      <c r="L56" s="668">
        <v>1</v>
      </c>
      <c r="M56" s="791"/>
      <c r="N56" s="669"/>
      <c r="O56" s="90"/>
    </row>
    <row r="57" spans="1:17" s="4" customFormat="1" ht="27" customHeight="1">
      <c r="A57" s="534"/>
      <c r="B57" s="357"/>
      <c r="C57" s="1047"/>
      <c r="D57" s="1725"/>
      <c r="E57" s="1144"/>
      <c r="F57" s="482"/>
      <c r="G57" s="1576"/>
      <c r="H57" s="1464"/>
      <c r="I57" s="1471"/>
      <c r="J57" s="1472"/>
      <c r="K57" s="262" t="s">
        <v>363</v>
      </c>
      <c r="L57" s="268">
        <v>1</v>
      </c>
      <c r="M57" s="259"/>
      <c r="N57" s="258"/>
      <c r="O57" s="90"/>
    </row>
    <row r="58" spans="1:17" s="4" customFormat="1" ht="30.75" customHeight="1">
      <c r="A58" s="534"/>
      <c r="B58" s="357"/>
      <c r="C58" s="1047"/>
      <c r="D58" s="1125" t="s">
        <v>306</v>
      </c>
      <c r="E58" s="1144"/>
      <c r="F58" s="482"/>
      <c r="G58" s="1576"/>
      <c r="H58" s="1464"/>
      <c r="I58" s="1471"/>
      <c r="J58" s="1472"/>
      <c r="K58" s="262" t="s">
        <v>374</v>
      </c>
      <c r="L58" s="268">
        <v>2</v>
      </c>
      <c r="M58" s="259"/>
      <c r="N58" s="258"/>
      <c r="O58" s="90"/>
    </row>
    <row r="59" spans="1:17" s="4" customFormat="1" ht="28.5" customHeight="1">
      <c r="A59" s="534"/>
      <c r="B59" s="357"/>
      <c r="C59" s="1047"/>
      <c r="D59" s="1126" t="s">
        <v>309</v>
      </c>
      <c r="E59" s="1144"/>
      <c r="F59" s="482"/>
      <c r="G59" s="1576"/>
      <c r="H59" s="1464"/>
      <c r="I59" s="1471"/>
      <c r="J59" s="1472"/>
      <c r="K59" s="262" t="s">
        <v>308</v>
      </c>
      <c r="L59" s="268"/>
      <c r="M59" s="259">
        <v>2</v>
      </c>
      <c r="N59" s="258"/>
      <c r="O59" s="90"/>
    </row>
    <row r="60" spans="1:17" s="4" customFormat="1" ht="44.25" customHeight="1">
      <c r="A60" s="534"/>
      <c r="B60" s="357"/>
      <c r="C60" s="359"/>
      <c r="D60" s="1824" t="s">
        <v>390</v>
      </c>
      <c r="E60" s="1829"/>
      <c r="F60" s="1716"/>
      <c r="G60" s="261"/>
      <c r="H60" s="1474"/>
      <c r="I60" s="1398"/>
      <c r="J60" s="1398"/>
      <c r="K60" s="558" t="s">
        <v>375</v>
      </c>
      <c r="L60" s="817" t="s">
        <v>321</v>
      </c>
      <c r="M60" s="1088" t="s">
        <v>322</v>
      </c>
      <c r="N60" s="1119" t="s">
        <v>322</v>
      </c>
      <c r="O60" s="90"/>
      <c r="P60" s="90"/>
      <c r="Q60" s="90"/>
    </row>
    <row r="61" spans="1:17" s="4" customFormat="1" ht="13.5" thickBot="1">
      <c r="A61" s="534"/>
      <c r="B61" s="357"/>
      <c r="C61" s="359"/>
      <c r="D61" s="1828"/>
      <c r="E61" s="1830"/>
      <c r="F61" s="1717"/>
      <c r="G61" s="1051" t="s">
        <v>16</v>
      </c>
      <c r="H61" s="1476">
        <f>H42+H43+H44</f>
        <v>250086.88600556072</v>
      </c>
      <c r="I61" s="1467">
        <f t="shared" ref="I61" si="6">I42+I43+I44</f>
        <v>394056.99721964786</v>
      </c>
      <c r="J61" s="1477">
        <f>J42+J43+J44</f>
        <v>269781.04726598697</v>
      </c>
      <c r="K61" s="1043"/>
      <c r="L61" s="1044"/>
      <c r="M61" s="1044"/>
      <c r="N61" s="1045"/>
    </row>
    <row r="62" spans="1:17" s="4" customFormat="1" ht="24" customHeight="1">
      <c r="A62" s="1802" t="s">
        <v>9</v>
      </c>
      <c r="B62" s="1803" t="s">
        <v>9</v>
      </c>
      <c r="C62" s="1805" t="s">
        <v>35</v>
      </c>
      <c r="D62" s="1823" t="s">
        <v>158</v>
      </c>
      <c r="E62" s="1807"/>
      <c r="F62" s="1832">
        <v>1</v>
      </c>
      <c r="G62" s="241" t="s">
        <v>13</v>
      </c>
      <c r="H62" s="1478">
        <f>30/3.4528*1000</f>
        <v>8688.6005560704343</v>
      </c>
      <c r="I62" s="1465">
        <f>30/3.4528*1000</f>
        <v>8688.6005560704343</v>
      </c>
      <c r="J62" s="1479">
        <f>30/3.4528*1000</f>
        <v>8688.6005560704343</v>
      </c>
      <c r="K62" s="428" t="s">
        <v>376</v>
      </c>
      <c r="L62" s="341">
        <v>5</v>
      </c>
      <c r="M62" s="1411">
        <v>5</v>
      </c>
      <c r="N62" s="1409">
        <v>5</v>
      </c>
    </row>
    <row r="63" spans="1:17" s="4" customFormat="1" ht="15" customHeight="1" thickBot="1">
      <c r="A63" s="1788"/>
      <c r="B63" s="1804"/>
      <c r="C63" s="1791"/>
      <c r="D63" s="1843"/>
      <c r="E63" s="1795"/>
      <c r="F63" s="1833"/>
      <c r="G63" s="458" t="s">
        <v>16</v>
      </c>
      <c r="H63" s="1463">
        <f t="shared" ref="H63" si="7">SUM(H62)</f>
        <v>8688.6005560704343</v>
      </c>
      <c r="I63" s="1456">
        <f>I62</f>
        <v>8688.6005560704343</v>
      </c>
      <c r="J63" s="1456">
        <f>J62</f>
        <v>8688.6005560704343</v>
      </c>
      <c r="K63" s="591"/>
      <c r="L63" s="287"/>
      <c r="M63" s="1087"/>
      <c r="N63" s="1086"/>
    </row>
    <row r="64" spans="1:17" s="173" customFormat="1" ht="18" customHeight="1">
      <c r="A64" s="1802" t="s">
        <v>9</v>
      </c>
      <c r="B64" s="1803" t="s">
        <v>9</v>
      </c>
      <c r="C64" s="1834" t="s">
        <v>42</v>
      </c>
      <c r="D64" s="495" t="s">
        <v>255</v>
      </c>
      <c r="E64" s="1837"/>
      <c r="F64" s="1840" t="s">
        <v>157</v>
      </c>
      <c r="G64" s="507" t="s">
        <v>150</v>
      </c>
      <c r="H64" s="1540">
        <f>946.1/3.4528*1000</f>
        <v>274009.49953660794</v>
      </c>
      <c r="I64" s="1480">
        <f>947/3.4528*1000</f>
        <v>274270.15755329013</v>
      </c>
      <c r="J64" s="1468">
        <f>947/3.4528*1000</f>
        <v>274270.15755329013</v>
      </c>
      <c r="K64" s="500" t="s">
        <v>259</v>
      </c>
      <c r="L64" s="264">
        <v>780</v>
      </c>
      <c r="M64" s="224">
        <v>780</v>
      </c>
      <c r="N64" s="225">
        <v>780</v>
      </c>
    </row>
    <row r="65" spans="1:14" s="173" customFormat="1" ht="27.75" customHeight="1">
      <c r="A65" s="1774"/>
      <c r="B65" s="1811"/>
      <c r="C65" s="1835"/>
      <c r="D65" s="496" t="s">
        <v>257</v>
      </c>
      <c r="E65" s="1838"/>
      <c r="F65" s="1841"/>
      <c r="G65" s="519" t="s">
        <v>150</v>
      </c>
      <c r="H65" s="1519">
        <f>33/3.4528*1000</f>
        <v>9557.4606116774794</v>
      </c>
      <c r="I65" s="1481">
        <f>33/3.4528*1000</f>
        <v>9557.4606116774794</v>
      </c>
      <c r="J65" s="1475">
        <f>33/3.4528*1000</f>
        <v>9557.4606116774794</v>
      </c>
      <c r="K65" s="1857" t="s">
        <v>258</v>
      </c>
      <c r="L65" s="342">
        <v>1</v>
      </c>
      <c r="M65" s="343">
        <v>1</v>
      </c>
      <c r="N65" s="344">
        <v>1</v>
      </c>
    </row>
    <row r="66" spans="1:14" s="173" customFormat="1" ht="13.5" thickBot="1">
      <c r="A66" s="1788"/>
      <c r="B66" s="1804"/>
      <c r="C66" s="1836"/>
      <c r="D66" s="506" t="s">
        <v>256</v>
      </c>
      <c r="E66" s="1839"/>
      <c r="F66" s="1842"/>
      <c r="G66" s="458" t="s">
        <v>16</v>
      </c>
      <c r="H66" s="1482">
        <f>H65+H64</f>
        <v>283566.96014828543</v>
      </c>
      <c r="I66" s="1463">
        <f>I65+I64</f>
        <v>283827.61816496763</v>
      </c>
      <c r="J66" s="1456">
        <f>J65+J64</f>
        <v>283827.61816496763</v>
      </c>
      <c r="K66" s="1858"/>
      <c r="L66" s="287"/>
      <c r="M66" s="429"/>
      <c r="N66" s="430"/>
    </row>
    <row r="67" spans="1:14" s="4" customFormat="1" ht="13.5" thickBot="1">
      <c r="A67" s="1005" t="s">
        <v>9</v>
      </c>
      <c r="B67" s="1007" t="s">
        <v>9</v>
      </c>
      <c r="C67" s="1859" t="s">
        <v>17</v>
      </c>
      <c r="D67" s="1637"/>
      <c r="E67" s="1637"/>
      <c r="F67" s="1637"/>
      <c r="G67" s="1860"/>
      <c r="H67" s="1483">
        <f>H66+H63+H61+H41+H39+H37+H32+H30+H28+H26+H24</f>
        <v>12051552.363299351</v>
      </c>
      <c r="I67" s="1483">
        <f>I66+I63+I61+I41+I39+I37+I32+I30+I28+I26+I24</f>
        <v>12438861.214087117</v>
      </c>
      <c r="J67" s="1483">
        <f>J66+J63+J61+J41+J39+J37+J32+J30+J28+J26+J24</f>
        <v>11344937.442075996</v>
      </c>
      <c r="K67" s="431"/>
      <c r="L67" s="501"/>
      <c r="M67" s="501"/>
      <c r="N67" s="432"/>
    </row>
    <row r="68" spans="1:14" s="4" customFormat="1" ht="13.5" thickBot="1">
      <c r="A68" s="543" t="s">
        <v>9</v>
      </c>
      <c r="B68" s="174" t="s">
        <v>10</v>
      </c>
      <c r="C68" s="1861" t="s">
        <v>168</v>
      </c>
      <c r="D68" s="1862"/>
      <c r="E68" s="1862"/>
      <c r="F68" s="1862"/>
      <c r="G68" s="1862"/>
      <c r="H68" s="1862"/>
      <c r="I68" s="1862"/>
      <c r="J68" s="1862"/>
      <c r="K68" s="1862"/>
      <c r="L68" s="1862"/>
      <c r="M68" s="1862"/>
      <c r="N68" s="1863"/>
    </row>
    <row r="69" spans="1:14" s="4" customFormat="1" ht="26.25" customHeight="1">
      <c r="A69" s="1097" t="s">
        <v>9</v>
      </c>
      <c r="B69" s="1099" t="s">
        <v>10</v>
      </c>
      <c r="C69" s="1101" t="s">
        <v>9</v>
      </c>
      <c r="D69" s="593" t="s">
        <v>351</v>
      </c>
      <c r="E69" s="1864" t="s">
        <v>220</v>
      </c>
      <c r="F69" s="594" t="s">
        <v>156</v>
      </c>
      <c r="G69" s="975" t="s">
        <v>13</v>
      </c>
      <c r="H69" s="1490">
        <f>1268.3/3.4528*1000</f>
        <v>367325.06950880447</v>
      </c>
      <c r="I69" s="1394">
        <f>973.5/3.4528*1000</f>
        <v>281945.08804448566</v>
      </c>
      <c r="J69" s="1395">
        <f>1173.5/3.4528*1000</f>
        <v>339869.09175162192</v>
      </c>
      <c r="K69" s="1267" t="s">
        <v>377</v>
      </c>
      <c r="L69" s="1268" t="s">
        <v>354</v>
      </c>
      <c r="M69" s="1269" t="s">
        <v>355</v>
      </c>
      <c r="N69" s="1270" t="s">
        <v>356</v>
      </c>
    </row>
    <row r="70" spans="1:14" s="4" customFormat="1" ht="14.25" customHeight="1">
      <c r="A70" s="1103"/>
      <c r="B70" s="1104"/>
      <c r="C70" s="1102"/>
      <c r="D70" s="1724" t="s">
        <v>352</v>
      </c>
      <c r="E70" s="1865"/>
      <c r="F70" s="281"/>
      <c r="G70" s="1217"/>
      <c r="H70" s="1491"/>
      <c r="I70" s="1396"/>
      <c r="J70" s="1397"/>
      <c r="K70" s="679" t="s">
        <v>247</v>
      </c>
      <c r="L70" s="1237">
        <v>439</v>
      </c>
      <c r="M70" s="1236">
        <v>439</v>
      </c>
      <c r="N70" s="1238">
        <v>439</v>
      </c>
    </row>
    <row r="71" spans="1:14" s="4" customFormat="1" ht="15.75" customHeight="1">
      <c r="A71" s="1265"/>
      <c r="B71" s="1264"/>
      <c r="C71" s="1263"/>
      <c r="D71" s="1725"/>
      <c r="E71" s="1865"/>
      <c r="F71" s="281"/>
      <c r="G71" s="1217"/>
      <c r="H71" s="1491"/>
      <c r="I71" s="1396"/>
      <c r="J71" s="1397"/>
      <c r="K71" s="1271" t="s">
        <v>338</v>
      </c>
      <c r="L71" s="1272">
        <v>1</v>
      </c>
      <c r="M71" s="1273"/>
      <c r="N71" s="1274"/>
    </row>
    <row r="72" spans="1:14" s="4" customFormat="1" ht="25.5">
      <c r="A72" s="1103"/>
      <c r="B72" s="1104"/>
      <c r="C72" s="1102"/>
      <c r="D72" s="1105" t="s">
        <v>353</v>
      </c>
      <c r="E72" s="1865"/>
      <c r="F72" s="281"/>
      <c r="G72" s="1217"/>
      <c r="H72" s="1464"/>
      <c r="I72" s="1396"/>
      <c r="J72" s="1397"/>
      <c r="K72" s="278" t="s">
        <v>340</v>
      </c>
      <c r="L72" s="1275">
        <v>439</v>
      </c>
      <c r="M72" s="1276"/>
      <c r="N72" s="1277"/>
    </row>
    <row r="73" spans="1:14" s="4" customFormat="1" ht="54" customHeight="1">
      <c r="A73" s="1103"/>
      <c r="B73" s="1104"/>
      <c r="C73" s="1102"/>
      <c r="D73" s="1866" t="s">
        <v>357</v>
      </c>
      <c r="E73" s="1865"/>
      <c r="F73" s="281"/>
      <c r="G73" s="1244"/>
      <c r="H73" s="1457"/>
      <c r="I73" s="1398"/>
      <c r="J73" s="1399"/>
      <c r="K73" s="1266"/>
      <c r="L73" s="704"/>
      <c r="M73" s="1229"/>
      <c r="N73" s="1231"/>
    </row>
    <row r="74" spans="1:14" s="4" customFormat="1" ht="13.5" thickBot="1">
      <c r="A74" s="1098"/>
      <c r="B74" s="1100"/>
      <c r="C74" s="1106"/>
      <c r="D74" s="1818"/>
      <c r="E74" s="1054"/>
      <c r="F74" s="1056"/>
      <c r="G74" s="1285" t="s">
        <v>16</v>
      </c>
      <c r="H74" s="1451">
        <f>H69</f>
        <v>367325.06950880447</v>
      </c>
      <c r="I74" s="1446">
        <f>SUM(I69:I73)</f>
        <v>281945.08804448566</v>
      </c>
      <c r="J74" s="1447">
        <f>SUM(J69:J73)</f>
        <v>339869.09175162192</v>
      </c>
      <c r="K74" s="1043"/>
      <c r="L74" s="1044"/>
      <c r="M74" s="1044"/>
      <c r="N74" s="1045"/>
    </row>
    <row r="75" spans="1:14" s="79" customFormat="1" ht="18.75" customHeight="1">
      <c r="A75" s="1008" t="s">
        <v>9</v>
      </c>
      <c r="B75" s="1009" t="s">
        <v>10</v>
      </c>
      <c r="C75" s="311" t="s">
        <v>10</v>
      </c>
      <c r="D75" s="1845" t="s">
        <v>263</v>
      </c>
      <c r="E75" s="1848"/>
      <c r="F75" s="1851" t="s">
        <v>157</v>
      </c>
      <c r="G75" s="300" t="s">
        <v>13</v>
      </c>
      <c r="H75" s="1492">
        <f>84.3/3.4528*1000</f>
        <v>24414.967562557922</v>
      </c>
      <c r="I75" s="1493"/>
      <c r="J75" s="1494"/>
      <c r="K75" s="885" t="s">
        <v>268</v>
      </c>
      <c r="L75" s="691">
        <v>3</v>
      </c>
      <c r="M75" s="692"/>
      <c r="N75" s="693"/>
    </row>
    <row r="76" spans="1:14" s="79" customFormat="1">
      <c r="A76" s="1008"/>
      <c r="B76" s="1009"/>
      <c r="C76" s="311"/>
      <c r="D76" s="1845"/>
      <c r="E76" s="1848"/>
      <c r="F76" s="1851"/>
      <c r="G76" s="300" t="s">
        <v>216</v>
      </c>
      <c r="H76" s="1492">
        <f>595/3.4528*1000</f>
        <v>172323.91102873033</v>
      </c>
      <c r="I76" s="1495"/>
      <c r="J76" s="1494"/>
      <c r="K76" s="1855" t="s">
        <v>360</v>
      </c>
      <c r="L76" s="888" t="s">
        <v>156</v>
      </c>
      <c r="M76" s="886"/>
      <c r="N76" s="887"/>
    </row>
    <row r="77" spans="1:14" s="79" customFormat="1" ht="13.5" thickBot="1">
      <c r="A77" s="1005"/>
      <c r="B77" s="1007"/>
      <c r="C77" s="312"/>
      <c r="D77" s="1846"/>
      <c r="E77" s="1849"/>
      <c r="F77" s="1852"/>
      <c r="G77" s="596" t="s">
        <v>16</v>
      </c>
      <c r="H77" s="1496">
        <f>H76+H75</f>
        <v>196738.87859128826</v>
      </c>
      <c r="I77" s="1497">
        <f t="shared" ref="I77:J77" si="8">I76+I75</f>
        <v>0</v>
      </c>
      <c r="J77" s="1498">
        <f t="shared" si="8"/>
        <v>0</v>
      </c>
      <c r="K77" s="1856"/>
      <c r="L77" s="694"/>
      <c r="M77" s="695"/>
      <c r="N77" s="696"/>
    </row>
    <row r="78" spans="1:14" s="79" customFormat="1" ht="17.25" customHeight="1">
      <c r="A78" s="1004" t="s">
        <v>9</v>
      </c>
      <c r="B78" s="1006" t="s">
        <v>10</v>
      </c>
      <c r="C78" s="310" t="s">
        <v>11</v>
      </c>
      <c r="D78" s="1844" t="s">
        <v>264</v>
      </c>
      <c r="E78" s="1847" t="s">
        <v>212</v>
      </c>
      <c r="F78" s="1850" t="s">
        <v>156</v>
      </c>
      <c r="G78" s="274" t="s">
        <v>215</v>
      </c>
      <c r="H78" s="1499">
        <f>2.1/3.4528*1000</f>
        <v>608.20203892493055</v>
      </c>
      <c r="I78" s="1493"/>
      <c r="J78" s="1500"/>
      <c r="K78" s="1853" t="s">
        <v>359</v>
      </c>
      <c r="L78" s="489">
        <v>30</v>
      </c>
      <c r="M78" s="490"/>
      <c r="N78" s="491"/>
    </row>
    <row r="79" spans="1:14" s="79" customFormat="1">
      <c r="A79" s="1008"/>
      <c r="B79" s="1009"/>
      <c r="C79" s="311"/>
      <c r="D79" s="1845"/>
      <c r="E79" s="1848"/>
      <c r="F79" s="1851"/>
      <c r="G79" s="300" t="s">
        <v>15</v>
      </c>
      <c r="H79" s="1501">
        <f>12/3.4528*1000</f>
        <v>3475.4402224281744</v>
      </c>
      <c r="I79" s="1502"/>
      <c r="J79" s="1494"/>
      <c r="K79" s="1854"/>
      <c r="L79" s="953"/>
      <c r="M79" s="954"/>
      <c r="N79" s="955"/>
    </row>
    <row r="80" spans="1:14" s="79" customFormat="1" ht="13.5" thickBot="1">
      <c r="A80" s="1005"/>
      <c r="B80" s="1007"/>
      <c r="C80" s="312"/>
      <c r="D80" s="1846"/>
      <c r="E80" s="1849"/>
      <c r="F80" s="1852"/>
      <c r="G80" s="420" t="s">
        <v>16</v>
      </c>
      <c r="H80" s="1503">
        <f>H79+H78</f>
        <v>4083.6422613531049</v>
      </c>
      <c r="I80" s="1504">
        <f t="shared" ref="I80:J80" si="9">SUM(I78)</f>
        <v>0</v>
      </c>
      <c r="J80" s="1505">
        <f t="shared" si="9"/>
        <v>0</v>
      </c>
      <c r="K80" s="957"/>
      <c r="L80" s="694"/>
      <c r="M80" s="695"/>
      <c r="N80" s="958"/>
    </row>
    <row r="81" spans="1:14" s="4" customFormat="1" ht="24" customHeight="1">
      <c r="A81" s="1872" t="s">
        <v>9</v>
      </c>
      <c r="B81" s="1875" t="s">
        <v>10</v>
      </c>
      <c r="C81" s="1834" t="s">
        <v>12</v>
      </c>
      <c r="D81" s="1879" t="s">
        <v>30</v>
      </c>
      <c r="E81" s="1882" t="s">
        <v>237</v>
      </c>
      <c r="F81" s="1867" t="s">
        <v>156</v>
      </c>
      <c r="G81" s="78" t="s">
        <v>13</v>
      </c>
      <c r="H81" s="1460">
        <f>117.3/3.4528*1000</f>
        <v>33972.428174235407</v>
      </c>
      <c r="I81" s="1450"/>
      <c r="J81" s="1506"/>
      <c r="K81" s="1853" t="s">
        <v>300</v>
      </c>
      <c r="L81" s="489">
        <v>1</v>
      </c>
      <c r="M81" s="1011"/>
      <c r="N81" s="1013"/>
    </row>
    <row r="82" spans="1:14" s="4" customFormat="1" ht="23.25" customHeight="1">
      <c r="A82" s="1873"/>
      <c r="B82" s="1876"/>
      <c r="C82" s="1878"/>
      <c r="D82" s="1880"/>
      <c r="E82" s="1883"/>
      <c r="F82" s="1868"/>
      <c r="G82" s="86" t="s">
        <v>15</v>
      </c>
      <c r="H82" s="1469">
        <f>665.1/3.4528*1000</f>
        <v>192626.27432808158</v>
      </c>
      <c r="I82" s="1392"/>
      <c r="J82" s="1507"/>
      <c r="K82" s="1870"/>
      <c r="L82" s="956"/>
      <c r="M82" s="343"/>
      <c r="N82" s="344"/>
    </row>
    <row r="83" spans="1:14" s="4" customFormat="1" ht="20.25" customHeight="1" thickBot="1">
      <c r="A83" s="1874"/>
      <c r="B83" s="1877"/>
      <c r="C83" s="1836"/>
      <c r="D83" s="1881"/>
      <c r="E83" s="1884"/>
      <c r="F83" s="1869"/>
      <c r="G83" s="597" t="s">
        <v>16</v>
      </c>
      <c r="H83" s="1455">
        <f>SUM(H81:H82)</f>
        <v>226598.70250231697</v>
      </c>
      <c r="I83" s="1456"/>
      <c r="J83" s="1482"/>
      <c r="K83" s="959"/>
      <c r="L83" s="1021"/>
      <c r="M83" s="1021"/>
      <c r="N83" s="960"/>
    </row>
    <row r="84" spans="1:14" s="4" customFormat="1" ht="13.5" thickBot="1">
      <c r="A84" s="543" t="s">
        <v>9</v>
      </c>
      <c r="B84" s="77" t="s">
        <v>10</v>
      </c>
      <c r="C84" s="1635" t="s">
        <v>17</v>
      </c>
      <c r="D84" s="1636"/>
      <c r="E84" s="1636"/>
      <c r="F84" s="1636"/>
      <c r="G84" s="1637"/>
      <c r="H84" s="1400">
        <f>H83+H74+H77+H80</f>
        <v>794746.29286376282</v>
      </c>
      <c r="I84" s="1401">
        <f t="shared" ref="I84" si="10">I83+I74+I77+I80</f>
        <v>281945.08804448566</v>
      </c>
      <c r="J84" s="1402">
        <f>J83+J74+J77+J80</f>
        <v>339869.09175162192</v>
      </c>
      <c r="K84" s="425"/>
      <c r="L84" s="426"/>
      <c r="M84" s="426"/>
      <c r="N84" s="427"/>
    </row>
    <row r="85" spans="1:14" s="4" customFormat="1" ht="13.5" thickBot="1">
      <c r="A85" s="1004" t="s">
        <v>9</v>
      </c>
      <c r="B85" s="305" t="s">
        <v>11</v>
      </c>
      <c r="C85" s="1861" t="s">
        <v>59</v>
      </c>
      <c r="D85" s="1862"/>
      <c r="E85" s="1862"/>
      <c r="F85" s="1862"/>
      <c r="G85" s="1862"/>
      <c r="H85" s="1871"/>
      <c r="I85" s="1862"/>
      <c r="J85" s="1862"/>
      <c r="K85" s="1862"/>
      <c r="L85" s="1862"/>
      <c r="M85" s="1862"/>
      <c r="N85" s="1863"/>
    </row>
    <row r="86" spans="1:14" s="79" customFormat="1" ht="21" customHeight="1">
      <c r="A86" s="1802" t="s">
        <v>9</v>
      </c>
      <c r="B86" s="1803" t="s">
        <v>11</v>
      </c>
      <c r="C86" s="1890" t="s">
        <v>9</v>
      </c>
      <c r="D86" s="1879" t="s">
        <v>166</v>
      </c>
      <c r="E86" s="1892" t="s">
        <v>210</v>
      </c>
      <c r="F86" s="1867" t="s">
        <v>156</v>
      </c>
      <c r="G86" s="78" t="s">
        <v>13</v>
      </c>
      <c r="H86" s="1508">
        <f>16.5/3.4528*1000</f>
        <v>4778.7303058387397</v>
      </c>
      <c r="I86" s="1509"/>
      <c r="J86" s="1510"/>
      <c r="K86" s="1015" t="s">
        <v>172</v>
      </c>
      <c r="L86" s="1011">
        <v>220</v>
      </c>
      <c r="M86" s="1011"/>
      <c r="N86" s="1013"/>
    </row>
    <row r="87" spans="1:14" s="79" customFormat="1" ht="18" customHeight="1">
      <c r="A87" s="1774"/>
      <c r="B87" s="1811"/>
      <c r="C87" s="1776"/>
      <c r="D87" s="1891"/>
      <c r="E87" s="1893"/>
      <c r="F87" s="1958"/>
      <c r="G87" s="172" t="s">
        <v>15</v>
      </c>
      <c r="H87" s="1511">
        <f>93.1/3.4528*1000</f>
        <v>26963.623725671918</v>
      </c>
      <c r="I87" s="1512"/>
      <c r="J87" s="1513"/>
      <c r="K87" s="873"/>
      <c r="L87" s="962"/>
      <c r="M87" s="276"/>
      <c r="N87" s="433"/>
    </row>
    <row r="88" spans="1:14" s="79" customFormat="1" ht="15" customHeight="1" thickBot="1">
      <c r="A88" s="1788"/>
      <c r="B88" s="1804"/>
      <c r="C88" s="1885"/>
      <c r="D88" s="1881"/>
      <c r="E88" s="1894"/>
      <c r="F88" s="1869"/>
      <c r="G88" s="458" t="s">
        <v>16</v>
      </c>
      <c r="H88" s="1456">
        <f>H87+H86</f>
        <v>31742.354031510658</v>
      </c>
      <c r="I88" s="1482">
        <f t="shared" ref="I88:J88" si="11">I87+I86</f>
        <v>0</v>
      </c>
      <c r="J88" s="1463">
        <f t="shared" si="11"/>
        <v>0</v>
      </c>
      <c r="K88" s="961"/>
      <c r="L88" s="1012"/>
      <c r="M88" s="1012"/>
      <c r="N88" s="1014"/>
    </row>
    <row r="89" spans="1:14" s="4" customFormat="1" ht="24" customHeight="1">
      <c r="A89" s="1774" t="s">
        <v>9</v>
      </c>
      <c r="B89" s="1811" t="s">
        <v>11</v>
      </c>
      <c r="C89" s="1776" t="s">
        <v>10</v>
      </c>
      <c r="D89" s="1886" t="s">
        <v>265</v>
      </c>
      <c r="E89" s="1888"/>
      <c r="F89" s="1868" t="s">
        <v>156</v>
      </c>
      <c r="G89" s="172" t="s">
        <v>15</v>
      </c>
      <c r="H89" s="1440">
        <f>3/3.4528*1000</f>
        <v>868.86005560704359</v>
      </c>
      <c r="I89" s="1506"/>
      <c r="J89" s="1514"/>
      <c r="K89" s="1015" t="s">
        <v>378</v>
      </c>
      <c r="L89" s="1020">
        <v>1</v>
      </c>
      <c r="M89" s="1020"/>
      <c r="N89" s="1019"/>
    </row>
    <row r="90" spans="1:14" s="4" customFormat="1" ht="15" customHeight="1" thickBot="1">
      <c r="A90" s="1788"/>
      <c r="B90" s="1804"/>
      <c r="C90" s="1885"/>
      <c r="D90" s="1887"/>
      <c r="E90" s="1889"/>
      <c r="F90" s="1869"/>
      <c r="G90" s="412" t="s">
        <v>16</v>
      </c>
      <c r="H90" s="1456">
        <f>H89</f>
        <v>868.86005560704359</v>
      </c>
      <c r="I90" s="1515"/>
      <c r="J90" s="1463"/>
      <c r="K90" s="1016"/>
      <c r="L90" s="1012"/>
      <c r="M90" s="1012"/>
      <c r="N90" s="1014"/>
    </row>
    <row r="91" spans="1:14" s="4" customFormat="1" ht="13.5" thickBot="1">
      <c r="A91" s="543" t="s">
        <v>9</v>
      </c>
      <c r="B91" s="77" t="s">
        <v>11</v>
      </c>
      <c r="C91" s="1635" t="s">
        <v>17</v>
      </c>
      <c r="D91" s="1636"/>
      <c r="E91" s="1636"/>
      <c r="F91" s="1636"/>
      <c r="G91" s="1636"/>
      <c r="H91" s="1516">
        <f t="shared" ref="H91:J91" si="12">H90+H88</f>
        <v>32611.214087117703</v>
      </c>
      <c r="I91" s="1517">
        <f t="shared" si="12"/>
        <v>0</v>
      </c>
      <c r="J91" s="1518">
        <f t="shared" si="12"/>
        <v>0</v>
      </c>
      <c r="K91" s="1912"/>
      <c r="L91" s="1913"/>
      <c r="M91" s="1913"/>
      <c r="N91" s="1914"/>
    </row>
    <row r="92" spans="1:14" s="4" customFormat="1" ht="15" customHeight="1" thickBot="1">
      <c r="A92" s="543" t="s">
        <v>9</v>
      </c>
      <c r="B92" s="174" t="s">
        <v>12</v>
      </c>
      <c r="C92" s="1861" t="s">
        <v>167</v>
      </c>
      <c r="D92" s="1862"/>
      <c r="E92" s="1862"/>
      <c r="F92" s="1862"/>
      <c r="G92" s="1862"/>
      <c r="H92" s="1862"/>
      <c r="I92" s="1862"/>
      <c r="J92" s="1862"/>
      <c r="K92" s="1862"/>
      <c r="L92" s="1862"/>
      <c r="M92" s="1862"/>
      <c r="N92" s="1863"/>
    </row>
    <row r="93" spans="1:14" s="4" customFormat="1" ht="38.25">
      <c r="A93" s="1004" t="s">
        <v>9</v>
      </c>
      <c r="B93" s="1006" t="s">
        <v>12</v>
      </c>
      <c r="C93" s="1027" t="s">
        <v>9</v>
      </c>
      <c r="D93" s="593" t="s">
        <v>239</v>
      </c>
      <c r="E93" s="803"/>
      <c r="F93" s="809" t="s">
        <v>156</v>
      </c>
      <c r="G93" s="241" t="s">
        <v>13</v>
      </c>
      <c r="H93" s="1580">
        <f>1061.8/3.4528*1000</f>
        <v>307518.5356811863</v>
      </c>
      <c r="I93" s="1465"/>
      <c r="J93" s="1581"/>
      <c r="K93" s="686"/>
      <c r="L93" s="687"/>
      <c r="M93" s="286"/>
      <c r="N93" s="308"/>
    </row>
    <row r="94" spans="1:14" s="4" customFormat="1" ht="25.5">
      <c r="A94" s="1008"/>
      <c r="B94" s="1009"/>
      <c r="C94" s="1023"/>
      <c r="D94" s="1018" t="s">
        <v>294</v>
      </c>
      <c r="E94" s="804"/>
      <c r="F94" s="810"/>
      <c r="G94" s="703"/>
      <c r="H94" s="1582"/>
      <c r="I94" s="1471"/>
      <c r="J94" s="1472"/>
      <c r="K94" s="747" t="s">
        <v>381</v>
      </c>
      <c r="L94" s="483">
        <v>542.25</v>
      </c>
      <c r="M94" s="748"/>
      <c r="N94" s="484"/>
    </row>
    <row r="95" spans="1:14" s="4" customFormat="1">
      <c r="A95" s="1008"/>
      <c r="B95" s="1009"/>
      <c r="C95" s="1023"/>
      <c r="D95" s="1018" t="s">
        <v>318</v>
      </c>
      <c r="E95" s="804"/>
      <c r="F95" s="810"/>
      <c r="G95" s="703"/>
      <c r="H95" s="1582"/>
      <c r="I95" s="1471"/>
      <c r="J95" s="1472"/>
      <c r="K95" s="278" t="s">
        <v>380</v>
      </c>
      <c r="L95" s="361">
        <v>268</v>
      </c>
      <c r="M95" s="279"/>
      <c r="N95" s="332"/>
    </row>
    <row r="96" spans="1:14" s="4" customFormat="1">
      <c r="A96" s="1008"/>
      <c r="B96" s="1009"/>
      <c r="C96" s="1023"/>
      <c r="D96" s="1017" t="s">
        <v>296</v>
      </c>
      <c r="E96" s="804"/>
      <c r="F96" s="810"/>
      <c r="G96" s="703"/>
      <c r="H96" s="1582"/>
      <c r="I96" s="1471"/>
      <c r="J96" s="1472"/>
      <c r="K96" s="278" t="s">
        <v>382</v>
      </c>
      <c r="L96" s="361">
        <v>691</v>
      </c>
      <c r="M96" s="252"/>
      <c r="N96" s="253"/>
    </row>
    <row r="97" spans="1:14" s="4" customFormat="1">
      <c r="A97" s="1008"/>
      <c r="B97" s="1009"/>
      <c r="C97" s="1023"/>
      <c r="D97" s="1724" t="s">
        <v>295</v>
      </c>
      <c r="E97" s="804"/>
      <c r="F97" s="810"/>
      <c r="G97" s="703"/>
      <c r="H97" s="1519"/>
      <c r="I97" s="1471"/>
      <c r="J97" s="1472"/>
      <c r="K97" s="617" t="s">
        <v>383</v>
      </c>
      <c r="L97" s="704">
        <v>245</v>
      </c>
      <c r="M97" s="252"/>
      <c r="N97" s="253"/>
    </row>
    <row r="98" spans="1:14" s="4" customFormat="1" ht="25.5">
      <c r="A98" s="1008"/>
      <c r="B98" s="1009"/>
      <c r="C98" s="1023"/>
      <c r="D98" s="1778"/>
      <c r="E98" s="804"/>
      <c r="F98" s="810"/>
      <c r="G98" s="703"/>
      <c r="H98" s="1519"/>
      <c r="I98" s="1471"/>
      <c r="J98" s="1472"/>
      <c r="K98" s="679" t="s">
        <v>384</v>
      </c>
      <c r="L98" s="672">
        <v>300</v>
      </c>
      <c r="M98" s="706"/>
      <c r="N98" s="707"/>
    </row>
    <row r="99" spans="1:14" s="4" customFormat="1">
      <c r="A99" s="1008"/>
      <c r="B99" s="1009"/>
      <c r="C99" s="1023"/>
      <c r="D99" s="1725"/>
      <c r="E99" s="804"/>
      <c r="F99" s="810"/>
      <c r="G99" s="703"/>
      <c r="H99" s="1519"/>
      <c r="I99" s="1471"/>
      <c r="J99" s="1472"/>
      <c r="K99" s="747" t="s">
        <v>385</v>
      </c>
      <c r="L99" s="483">
        <v>700</v>
      </c>
      <c r="M99" s="748"/>
      <c r="N99" s="484"/>
    </row>
    <row r="100" spans="1:14" s="4" customFormat="1" ht="38.25">
      <c r="A100" s="1008"/>
      <c r="B100" s="1009"/>
      <c r="C100" s="1023"/>
      <c r="D100" s="744" t="s">
        <v>391</v>
      </c>
      <c r="E100" s="804"/>
      <c r="F100" s="810"/>
      <c r="G100" s="703"/>
      <c r="H100" s="1582"/>
      <c r="I100" s="1471"/>
      <c r="J100" s="1472"/>
      <c r="K100" s="747" t="s">
        <v>386</v>
      </c>
      <c r="L100" s="483">
        <v>431</v>
      </c>
      <c r="M100" s="748"/>
      <c r="N100" s="484"/>
    </row>
    <row r="101" spans="1:14" s="4" customFormat="1" ht="19.5" customHeight="1">
      <c r="A101" s="1008"/>
      <c r="B101" s="1009"/>
      <c r="C101" s="1023"/>
      <c r="D101" s="1866" t="s">
        <v>266</v>
      </c>
      <c r="E101" s="804"/>
      <c r="F101" s="810"/>
      <c r="G101" s="80"/>
      <c r="H101" s="1520"/>
      <c r="I101" s="1473"/>
      <c r="J101" s="1514"/>
      <c r="K101" s="1957" t="s">
        <v>387</v>
      </c>
      <c r="L101" s="896">
        <v>309</v>
      </c>
      <c r="M101" s="252"/>
      <c r="N101" s="253"/>
    </row>
    <row r="102" spans="1:14" s="4" customFormat="1" ht="15.75" customHeight="1" thickBot="1">
      <c r="A102" s="542"/>
      <c r="B102" s="358"/>
      <c r="C102" s="1038"/>
      <c r="D102" s="1818"/>
      <c r="E102" s="1055"/>
      <c r="F102" s="1056"/>
      <c r="G102" s="412" t="s">
        <v>16</v>
      </c>
      <c r="H102" s="1452">
        <f>H93</f>
        <v>307518.5356811863</v>
      </c>
      <c r="I102" s="1446">
        <f>I93</f>
        <v>0</v>
      </c>
      <c r="J102" s="1451">
        <f>J93</f>
        <v>0</v>
      </c>
      <c r="K102" s="1856"/>
      <c r="L102" s="1044"/>
      <c r="M102" s="1044"/>
      <c r="N102" s="1045"/>
    </row>
    <row r="103" spans="1:14" s="4" customFormat="1" ht="12.75" customHeight="1">
      <c r="A103" s="1774" t="s">
        <v>9</v>
      </c>
      <c r="B103" s="1811" t="s">
        <v>12</v>
      </c>
      <c r="C103" s="1776" t="s">
        <v>10</v>
      </c>
      <c r="D103" s="1948" t="s">
        <v>214</v>
      </c>
      <c r="E103" s="1951" t="s">
        <v>177</v>
      </c>
      <c r="F103" s="1953" t="s">
        <v>157</v>
      </c>
      <c r="G103" s="261" t="s">
        <v>13</v>
      </c>
      <c r="H103" s="1499">
        <f>74.9/3.4528*1000</f>
        <v>21692.539388322522</v>
      </c>
      <c r="I103" s="1468">
        <f>16.1/3.4528*1000</f>
        <v>4662.882298424468</v>
      </c>
      <c r="J103" s="1506"/>
      <c r="K103" s="493" t="s">
        <v>254</v>
      </c>
      <c r="L103" s="1120">
        <v>1</v>
      </c>
      <c r="M103" s="1413"/>
      <c r="N103" s="492"/>
    </row>
    <row r="104" spans="1:14" s="4" customFormat="1">
      <c r="A104" s="1774"/>
      <c r="B104" s="1811"/>
      <c r="C104" s="1776"/>
      <c r="D104" s="1949"/>
      <c r="E104" s="1951"/>
      <c r="F104" s="1953"/>
      <c r="G104" s="261" t="s">
        <v>215</v>
      </c>
      <c r="H104" s="1474">
        <f>290.9/3.4528*1000</f>
        <v>84250.463392029662</v>
      </c>
      <c r="I104" s="1521">
        <f>442.3/3.4528*1000</f>
        <v>128098.93419833179</v>
      </c>
      <c r="J104" s="1506"/>
      <c r="K104" s="1955" t="s">
        <v>315</v>
      </c>
      <c r="L104" s="1121">
        <v>40</v>
      </c>
      <c r="M104" s="952">
        <v>100</v>
      </c>
      <c r="N104" s="884"/>
    </row>
    <row r="105" spans="1:14" s="4" customFormat="1" ht="15" customHeight="1" thickBot="1">
      <c r="A105" s="1788"/>
      <c r="B105" s="1804"/>
      <c r="C105" s="1885"/>
      <c r="D105" s="1950"/>
      <c r="E105" s="1952"/>
      <c r="F105" s="1954"/>
      <c r="G105" s="412" t="s">
        <v>16</v>
      </c>
      <c r="H105" s="1463">
        <f>H104+H103</f>
        <v>105943.00278035218</v>
      </c>
      <c r="I105" s="1456">
        <f>I104+I103</f>
        <v>132761.81649675625</v>
      </c>
      <c r="J105" s="1482">
        <f t="shared" ref="J105" si="13">J104+J103</f>
        <v>0</v>
      </c>
      <c r="K105" s="1956"/>
      <c r="L105" s="475"/>
      <c r="M105" s="475"/>
      <c r="N105" s="1414"/>
    </row>
    <row r="106" spans="1:14" s="4" customFormat="1" ht="13.5" thickBot="1">
      <c r="A106" s="543" t="s">
        <v>9</v>
      </c>
      <c r="B106" s="77" t="s">
        <v>12</v>
      </c>
      <c r="C106" s="1635" t="s">
        <v>17</v>
      </c>
      <c r="D106" s="1636"/>
      <c r="E106" s="1636"/>
      <c r="F106" s="1636"/>
      <c r="G106" s="1636"/>
      <c r="H106" s="1522">
        <f>H105+H102</f>
        <v>413461.5384615385</v>
      </c>
      <c r="I106" s="1516">
        <f>I105+I102</f>
        <v>132761.81649675625</v>
      </c>
      <c r="J106" s="1518">
        <f t="shared" ref="J106" si="14">J105+J102</f>
        <v>0</v>
      </c>
      <c r="K106" s="1912"/>
      <c r="L106" s="1913"/>
      <c r="M106" s="1913"/>
      <c r="N106" s="1914"/>
    </row>
    <row r="107" spans="1:14" s="79" customFormat="1" ht="13.5" thickBot="1">
      <c r="A107" s="543" t="s">
        <v>9</v>
      </c>
      <c r="B107" s="1915" t="s">
        <v>19</v>
      </c>
      <c r="C107" s="1916"/>
      <c r="D107" s="1916"/>
      <c r="E107" s="1916"/>
      <c r="F107" s="1916"/>
      <c r="G107" s="1917"/>
      <c r="H107" s="1523">
        <f>H106+H91+H67+H84</f>
        <v>13292371.408711769</v>
      </c>
      <c r="I107" s="1524">
        <f>I106+I91+I67+I84</f>
        <v>12853568.118628358</v>
      </c>
      <c r="J107" s="1525">
        <f>J106+J91+J67+J84</f>
        <v>11684806.533827618</v>
      </c>
      <c r="K107" s="1918"/>
      <c r="L107" s="1919"/>
      <c r="M107" s="1919"/>
      <c r="N107" s="1920"/>
    </row>
    <row r="108" spans="1:14" s="79" customFormat="1" ht="13.5" thickBot="1">
      <c r="A108" s="254" t="s">
        <v>11</v>
      </c>
      <c r="B108" s="1921" t="s">
        <v>18</v>
      </c>
      <c r="C108" s="1921"/>
      <c r="D108" s="1921"/>
      <c r="E108" s="1921"/>
      <c r="F108" s="1921"/>
      <c r="G108" s="1922"/>
      <c r="H108" s="1526">
        <f>H107</f>
        <v>13292371.408711769</v>
      </c>
      <c r="I108" s="1526">
        <f>I107</f>
        <v>12853568.118628358</v>
      </c>
      <c r="J108" s="1527">
        <f t="shared" ref="J108" si="15">J107</f>
        <v>11684806.533827618</v>
      </c>
      <c r="K108" s="1923"/>
      <c r="L108" s="1924"/>
      <c r="M108" s="1924"/>
      <c r="N108" s="1925"/>
    </row>
    <row r="109" spans="1:14" s="260" customFormat="1" ht="26.25" customHeight="1">
      <c r="A109" s="1932"/>
      <c r="B109" s="1932"/>
      <c r="C109" s="1932"/>
      <c r="D109" s="1932"/>
      <c r="E109" s="1932"/>
      <c r="F109" s="1932"/>
      <c r="G109" s="1932"/>
      <c r="H109" s="1932"/>
      <c r="I109" s="1932"/>
      <c r="J109" s="1932"/>
      <c r="K109" s="1932"/>
      <c r="L109" s="1932"/>
      <c r="M109" s="1932"/>
      <c r="N109" s="1932"/>
    </row>
    <row r="110" spans="1:14" s="260" customFormat="1">
      <c r="A110" s="1933"/>
      <c r="B110" s="1933"/>
      <c r="C110" s="1933"/>
      <c r="D110" s="1933"/>
      <c r="E110" s="1933"/>
      <c r="F110" s="1933"/>
      <c r="G110" s="1933"/>
      <c r="H110" s="1933"/>
      <c r="I110" s="1933"/>
      <c r="J110" s="1933"/>
      <c r="K110" s="1933"/>
      <c r="L110" s="1933"/>
      <c r="M110" s="1933"/>
      <c r="N110" s="1933"/>
    </row>
    <row r="111" spans="1:14" s="79" customFormat="1">
      <c r="A111" s="176"/>
      <c r="B111" s="9"/>
      <c r="C111" s="1934" t="s">
        <v>24</v>
      </c>
      <c r="D111" s="1934"/>
      <c r="E111" s="1934"/>
      <c r="F111" s="1934"/>
      <c r="G111" s="1934"/>
      <c r="H111" s="1934"/>
      <c r="I111" s="1934"/>
      <c r="J111" s="1934"/>
      <c r="K111" s="168"/>
      <c r="L111" s="230"/>
      <c r="M111" s="230"/>
      <c r="N111" s="230"/>
    </row>
    <row r="112" spans="1:14" s="79" customFormat="1" ht="13.5" thickBot="1">
      <c r="A112" s="176"/>
      <c r="B112" s="175"/>
      <c r="C112" s="175"/>
      <c r="D112" s="175"/>
      <c r="E112" s="181"/>
      <c r="F112" s="240"/>
      <c r="I112" s="89"/>
      <c r="J112" s="89"/>
      <c r="K112" s="168"/>
      <c r="L112" s="230"/>
      <c r="M112" s="230"/>
      <c r="N112" s="230"/>
    </row>
    <row r="113" spans="1:14" s="79" customFormat="1" ht="57" customHeight="1" thickBot="1">
      <c r="A113" s="4"/>
      <c r="B113" s="4"/>
      <c r="C113" s="1935" t="s">
        <v>20</v>
      </c>
      <c r="D113" s="1936"/>
      <c r="E113" s="1936"/>
      <c r="F113" s="1936"/>
      <c r="G113" s="1937"/>
      <c r="H113" s="1083" t="s">
        <v>325</v>
      </c>
      <c r="I113" s="1084" t="s">
        <v>278</v>
      </c>
      <c r="J113" s="1084" t="s">
        <v>279</v>
      </c>
      <c r="L113" s="230"/>
      <c r="M113" s="230"/>
      <c r="N113" s="230"/>
    </row>
    <row r="114" spans="1:14" s="79" customFormat="1">
      <c r="A114" s="4"/>
      <c r="B114" s="4"/>
      <c r="C114" s="1926" t="s">
        <v>25</v>
      </c>
      <c r="D114" s="1927"/>
      <c r="E114" s="1927"/>
      <c r="F114" s="1927"/>
      <c r="G114" s="1928"/>
      <c r="H114" s="1528">
        <f ca="1">H115+H122</f>
        <v>12971993.744207602</v>
      </c>
      <c r="I114" s="1528">
        <f>I115+I122</f>
        <v>12716780.583873956</v>
      </c>
      <c r="J114" s="1529">
        <f>J115+J122</f>
        <v>11676117.933271548</v>
      </c>
      <c r="K114" s="182"/>
      <c r="L114" s="221"/>
      <c r="M114" s="221"/>
      <c r="N114" s="221"/>
    </row>
    <row r="115" spans="1:14" s="79" customFormat="1">
      <c r="A115" s="4"/>
      <c r="B115" s="4"/>
      <c r="C115" s="1929" t="s">
        <v>33</v>
      </c>
      <c r="D115" s="1930"/>
      <c r="E115" s="1930"/>
      <c r="F115" s="1930"/>
      <c r="G115" s="1931"/>
      <c r="H115" s="1530">
        <f ca="1">H116+H117+H118+H119+H120+H121</f>
        <v>12967939.063948102</v>
      </c>
      <c r="I115" s="1530">
        <f>I116+I117+I118+I119+I120+I121</f>
        <v>12712725.903614456</v>
      </c>
      <c r="J115" s="1531">
        <f>J116+J117+J118+J119+J120+J121</f>
        <v>11674669.833178869</v>
      </c>
      <c r="K115" s="182"/>
      <c r="L115" s="221"/>
      <c r="M115" s="221"/>
      <c r="N115" s="221"/>
    </row>
    <row r="116" spans="1:14" s="79" customFormat="1">
      <c r="A116" s="4"/>
      <c r="B116" s="4"/>
      <c r="C116" s="1900" t="s">
        <v>159</v>
      </c>
      <c r="D116" s="1901"/>
      <c r="E116" s="1901"/>
      <c r="F116" s="1901"/>
      <c r="G116" s="1902"/>
      <c r="H116" s="1532">
        <f>SUMIF(G12:G108,"sb",H12:H108)</f>
        <v>11738588.971269695</v>
      </c>
      <c r="I116" s="1532">
        <f>SUMIF(G12:G108,"sb",I12:I108)</f>
        <v>11671078.544949025</v>
      </c>
      <c r="J116" s="1533">
        <f>SUMIF(G12:G108,"sb",J12:J108)</f>
        <v>10633022.474513438</v>
      </c>
      <c r="K116" s="216"/>
      <c r="L116" s="231"/>
      <c r="M116" s="231"/>
      <c r="N116" s="231"/>
    </row>
    <row r="117" spans="1:14" s="79" customFormat="1">
      <c r="A117" s="4"/>
      <c r="B117" s="4"/>
      <c r="C117" s="1945" t="s">
        <v>234</v>
      </c>
      <c r="D117" s="1946"/>
      <c r="E117" s="1946"/>
      <c r="F117" s="1946"/>
      <c r="G117" s="1947"/>
      <c r="H117" s="1532">
        <f>SUMIF(G12:G108,"sb(VR)",H12:H108)</f>
        <v>23719.879518072292</v>
      </c>
      <c r="I117" s="1532">
        <f>SUMIF(G12:G108,"sb(VR)",I12:I108)</f>
        <v>23459.221501390177</v>
      </c>
      <c r="J117" s="1533">
        <f>SUMIF(G12:G106,"sb(VR)",J12:J106)</f>
        <v>23459.221501390177</v>
      </c>
      <c r="K117" s="216"/>
      <c r="L117" s="231"/>
      <c r="M117" s="231"/>
      <c r="N117" s="231"/>
    </row>
    <row r="118" spans="1:14" s="79" customFormat="1" ht="23.25" customHeight="1">
      <c r="A118" s="4"/>
      <c r="B118" s="4"/>
      <c r="C118" s="1909" t="s">
        <v>152</v>
      </c>
      <c r="D118" s="1910"/>
      <c r="E118" s="1910"/>
      <c r="F118" s="1910"/>
      <c r="G118" s="1911"/>
      <c r="H118" s="1532">
        <f>SUMIF(G13:G109,"sb(Vb)",H13:H109)</f>
        <v>1029946.7099165895</v>
      </c>
      <c r="I118" s="1532">
        <f>SUMIF(G13:G105,"SB(VB)",I13:I105)</f>
        <v>1014828.544949027</v>
      </c>
      <c r="J118" s="1533">
        <f>SUMIF(G13:G105,"SB(VB)",J13:J105)</f>
        <v>1014828.5449490269</v>
      </c>
      <c r="L118" s="230"/>
      <c r="M118" s="230"/>
      <c r="N118" s="230"/>
    </row>
    <row r="119" spans="1:14" s="79" customFormat="1">
      <c r="A119" s="4"/>
      <c r="B119" s="4"/>
      <c r="C119" s="1909" t="s">
        <v>217</v>
      </c>
      <c r="D119" s="1910"/>
      <c r="E119" s="1910"/>
      <c r="F119" s="1910"/>
      <c r="G119" s="1911"/>
      <c r="H119" s="1532">
        <f ca="1">SUMIF(G12:G108,"sb(P)",H12:H106)</f>
        <v>172323.91102873033</v>
      </c>
      <c r="I119" s="1532">
        <f>SUMIF(G12:G108,"sb(P)",I12:I108)</f>
        <v>0</v>
      </c>
      <c r="J119" s="1533">
        <f>SUMIF(G13:G106,"sb(P)",J13:J106)</f>
        <v>0</v>
      </c>
      <c r="K119" s="168"/>
      <c r="L119" s="230"/>
      <c r="M119" s="230"/>
      <c r="N119" s="230"/>
    </row>
    <row r="120" spans="1:14" s="4" customFormat="1">
      <c r="C120" s="1942" t="s">
        <v>163</v>
      </c>
      <c r="D120" s="1943"/>
      <c r="E120" s="1943"/>
      <c r="F120" s="1943"/>
      <c r="G120" s="1944"/>
      <c r="H120" s="1532">
        <f>SUMIF(G12:G108,"SB(SP)",H12:H108)</f>
        <v>3359.5922150139018</v>
      </c>
      <c r="I120" s="1532">
        <f>SUMIF(G13:G105,"SB(SP)",I13:I105)</f>
        <v>3359.5922150139018</v>
      </c>
      <c r="J120" s="1533">
        <f>SUMIF(G13:G105,"SB(sP)",J13:J105)</f>
        <v>3359.5922150139018</v>
      </c>
      <c r="L120" s="223"/>
      <c r="M120" s="223"/>
      <c r="N120" s="223"/>
    </row>
    <row r="121" spans="1:14" s="4" customFormat="1">
      <c r="C121" s="1900" t="s">
        <v>316</v>
      </c>
      <c r="D121" s="1901"/>
      <c r="E121" s="1901"/>
      <c r="F121" s="1901"/>
      <c r="G121" s="1902"/>
      <c r="H121" s="1532">
        <f>SUMIF(G12:G108,"sb(L)",H12:H108)</f>
        <v>0</v>
      </c>
      <c r="I121" s="1532">
        <f>SUMIF(G13:G108,"sb(L)",I13:I108)</f>
        <v>0</v>
      </c>
      <c r="J121" s="1533">
        <f>SUMIF(G13:G106,"SB(L)",J13:J106)</f>
        <v>0</v>
      </c>
      <c r="L121" s="223"/>
      <c r="M121" s="223"/>
      <c r="N121" s="223"/>
    </row>
    <row r="122" spans="1:14" s="4" customFormat="1">
      <c r="C122" s="1903" t="s">
        <v>250</v>
      </c>
      <c r="D122" s="1904"/>
      <c r="E122" s="1904"/>
      <c r="F122" s="1904"/>
      <c r="G122" s="1905"/>
      <c r="H122" s="1530">
        <f>SUMIF(G13:G108,"pf",H13:H108)</f>
        <v>4054.680259499537</v>
      </c>
      <c r="I122" s="1530">
        <f>SUMIF(G13:G105,"pf",I13:I105)</f>
        <v>4054.680259499537</v>
      </c>
      <c r="J122" s="1531">
        <f>SUMIF(G13:G105,"pf",J13:J105)</f>
        <v>1448.1000926784061</v>
      </c>
      <c r="K122" s="90"/>
      <c r="L122" s="223"/>
      <c r="M122" s="223"/>
      <c r="N122" s="223"/>
    </row>
    <row r="123" spans="1:14" s="4" customFormat="1">
      <c r="C123" s="1906" t="s">
        <v>26</v>
      </c>
      <c r="D123" s="1907"/>
      <c r="E123" s="1907"/>
      <c r="F123" s="1907"/>
      <c r="G123" s="1908"/>
      <c r="H123" s="1534">
        <f>SUM(H124:H127)</f>
        <v>320377.66450417053</v>
      </c>
      <c r="I123" s="1534">
        <f>SUM(I124:I127)</f>
        <v>136787.53475440221</v>
      </c>
      <c r="J123" s="1535">
        <f>SUM(J124:J127)</f>
        <v>8688.6005560704343</v>
      </c>
      <c r="K123" s="90"/>
      <c r="L123" s="223"/>
      <c r="M123" s="223"/>
      <c r="N123" s="223"/>
    </row>
    <row r="124" spans="1:14" s="4" customFormat="1">
      <c r="C124" s="1898" t="s">
        <v>160</v>
      </c>
      <c r="D124" s="1899"/>
      <c r="E124" s="1899"/>
      <c r="F124" s="1899"/>
      <c r="G124" s="1899"/>
      <c r="H124" s="1532">
        <f>SUMIF(G12:G108,"es",H12:H108)</f>
        <v>223934.19833178871</v>
      </c>
      <c r="I124" s="1532">
        <f>SUMIF(G13:G105,"es",I13:I105)</f>
        <v>0</v>
      </c>
      <c r="J124" s="1533">
        <f>SUMIF(G13:G105,"es",J13:J105)</f>
        <v>0</v>
      </c>
      <c r="L124" s="223"/>
      <c r="M124" s="223"/>
      <c r="N124" s="223"/>
    </row>
    <row r="125" spans="1:14" s="4" customFormat="1">
      <c r="C125" s="1900" t="s">
        <v>161</v>
      </c>
      <c r="D125" s="1901"/>
      <c r="E125" s="1901"/>
      <c r="F125" s="1901"/>
      <c r="G125" s="1902"/>
      <c r="H125" s="1532">
        <f>SUMIF(G12:G108,"lrvb",H12:H108)</f>
        <v>84858.665430954599</v>
      </c>
      <c r="I125" s="1532">
        <f>SUMIF(G13:G105,"lrvb",I13:I105)</f>
        <v>128098.93419833179</v>
      </c>
      <c r="J125" s="1533">
        <f>SUMIF(G13:G105,"lrvb",J13:J105)</f>
        <v>0</v>
      </c>
      <c r="L125" s="223"/>
      <c r="M125" s="223"/>
      <c r="N125" s="223"/>
    </row>
    <row r="126" spans="1:14" s="4" customFormat="1">
      <c r="C126" s="1909" t="s">
        <v>324</v>
      </c>
      <c r="D126" s="1910"/>
      <c r="E126" s="1910"/>
      <c r="F126" s="1910"/>
      <c r="G126" s="1911"/>
      <c r="H126" s="1532">
        <f>SUMIF(G12:G108,"kt",H12:H108)</f>
        <v>0</v>
      </c>
      <c r="I126" s="1532">
        <f>SUMIF(G13:G105,"kt",I13:I105)</f>
        <v>0</v>
      </c>
      <c r="J126" s="1533">
        <f>SUMIF(G13:G105,"kt",J13:J105)</f>
        <v>0</v>
      </c>
      <c r="K126" s="354"/>
      <c r="L126" s="223"/>
      <c r="M126" s="223"/>
      <c r="N126" s="223"/>
    </row>
    <row r="127" spans="1:14" s="4" customFormat="1">
      <c r="C127" s="1909" t="s">
        <v>149</v>
      </c>
      <c r="D127" s="1910"/>
      <c r="E127" s="1910"/>
      <c r="F127" s="1910"/>
      <c r="G127" s="1911"/>
      <c r="H127" s="1532">
        <f>SUMIF(G13:G109,"kpp",H13:H109)</f>
        <v>11584.800741427249</v>
      </c>
      <c r="I127" s="1532">
        <f>SUMIF(G14:G106,"kpp",I14:I106)</f>
        <v>8688.6005560704343</v>
      </c>
      <c r="J127" s="1533">
        <f>SUMIF(G14:G106,"kpp",J14:J106)</f>
        <v>8688.6005560704343</v>
      </c>
      <c r="K127" s="354"/>
      <c r="L127" s="223"/>
      <c r="M127" s="223"/>
      <c r="N127" s="223"/>
    </row>
    <row r="128" spans="1:14" s="4" customFormat="1" ht="13.5" thickBot="1">
      <c r="C128" s="1895" t="s">
        <v>27</v>
      </c>
      <c r="D128" s="1896"/>
      <c r="E128" s="1896"/>
      <c r="F128" s="1896"/>
      <c r="G128" s="1897"/>
      <c r="H128" s="1536">
        <f ca="1">H114+H123</f>
        <v>13292371.408711772</v>
      </c>
      <c r="I128" s="1536">
        <f>I114+I123</f>
        <v>12853568.118628358</v>
      </c>
      <c r="J128" s="1537">
        <f>J123+J114</f>
        <v>11684806.533827618</v>
      </c>
      <c r="K128" s="354"/>
      <c r="L128" s="223"/>
      <c r="M128" s="223"/>
      <c r="N128" s="223"/>
    </row>
    <row r="129" spans="3:14" ht="12">
      <c r="C129" s="177"/>
      <c r="D129" s="307"/>
      <c r="E129" s="307"/>
      <c r="F129" s="1010"/>
      <c r="G129" s="307"/>
      <c r="H129" s="178"/>
      <c r="I129" s="178"/>
      <c r="J129" s="178"/>
    </row>
    <row r="130" spans="3:14" ht="11.25">
      <c r="D130" s="1"/>
      <c r="E130" s="1"/>
      <c r="F130" s="1"/>
      <c r="H130" s="8"/>
      <c r="J130" s="7"/>
      <c r="L130" s="1"/>
      <c r="M130" s="1"/>
      <c r="N130" s="1"/>
    </row>
    <row r="131" spans="3:14" ht="11.25">
      <c r="D131" s="1"/>
      <c r="E131" s="1"/>
      <c r="F131" s="1"/>
      <c r="G131" s="7"/>
      <c r="H131" s="8"/>
      <c r="I131" s="7"/>
      <c r="J131" s="7"/>
      <c r="L131" s="1"/>
      <c r="M131" s="1"/>
      <c r="N131" s="1"/>
    </row>
    <row r="132" spans="3:14">
      <c r="H132" s="7"/>
    </row>
    <row r="133" spans="3:14">
      <c r="H133" s="7"/>
    </row>
    <row r="134" spans="3:14" ht="11.25">
      <c r="D134" s="1"/>
      <c r="E134" s="1"/>
      <c r="F134" s="1"/>
      <c r="G134" s="6"/>
      <c r="H134" s="5"/>
      <c r="L134" s="1"/>
      <c r="M134" s="1"/>
      <c r="N134" s="1"/>
    </row>
    <row r="135" spans="3:14" ht="11.25">
      <c r="D135" s="1"/>
      <c r="E135" s="1"/>
      <c r="F135" s="1"/>
      <c r="G135" s="7"/>
      <c r="H135" s="8"/>
      <c r="L135" s="1"/>
      <c r="M135" s="1"/>
      <c r="N135" s="1"/>
    </row>
    <row r="136" spans="3:14" ht="11.25">
      <c r="D136" s="1"/>
      <c r="E136" s="1"/>
      <c r="F136" s="1"/>
      <c r="H136" s="8"/>
      <c r="L136" s="1"/>
      <c r="M136" s="1"/>
      <c r="N136" s="1"/>
    </row>
    <row r="137" spans="3:14" ht="11.25">
      <c r="D137" s="1"/>
      <c r="E137" s="1"/>
      <c r="F137" s="1"/>
      <c r="G137" s="7"/>
      <c r="H137" s="8"/>
      <c r="L137" s="1"/>
      <c r="M137" s="1"/>
      <c r="N137" s="1"/>
    </row>
    <row r="139" spans="3:14" ht="11.25">
      <c r="D139" s="1"/>
      <c r="E139" s="1"/>
      <c r="F139" s="1"/>
      <c r="G139" s="6"/>
      <c r="L139" s="1"/>
      <c r="M139" s="1"/>
      <c r="N139" s="1"/>
    </row>
    <row r="140" spans="3:14" ht="11.25">
      <c r="D140" s="1"/>
      <c r="E140" s="1"/>
      <c r="F140" s="1"/>
      <c r="G140" s="7"/>
      <c r="L140" s="1"/>
      <c r="M140" s="1"/>
      <c r="N140" s="1"/>
    </row>
    <row r="142" spans="3:14" ht="11.25">
      <c r="D142" s="1"/>
      <c r="E142" s="1"/>
      <c r="F142" s="1"/>
      <c r="G142" s="7"/>
      <c r="L142" s="1"/>
      <c r="M142" s="1"/>
      <c r="N142" s="1"/>
    </row>
  </sheetData>
  <mergeCells count="169">
    <mergeCell ref="A2:N2"/>
    <mergeCell ref="L4:N4"/>
    <mergeCell ref="C120:G120"/>
    <mergeCell ref="C121:G121"/>
    <mergeCell ref="C118:G118"/>
    <mergeCell ref="C119:G119"/>
    <mergeCell ref="C116:G116"/>
    <mergeCell ref="C117:G117"/>
    <mergeCell ref="C126:G126"/>
    <mergeCell ref="C91:G91"/>
    <mergeCell ref="K91:N91"/>
    <mergeCell ref="C92:N92"/>
    <mergeCell ref="D97:D99"/>
    <mergeCell ref="A103:A105"/>
    <mergeCell ref="B103:B105"/>
    <mergeCell ref="C103:C105"/>
    <mergeCell ref="D103:D105"/>
    <mergeCell ref="E103:E105"/>
    <mergeCell ref="F103:F105"/>
    <mergeCell ref="K104:K105"/>
    <mergeCell ref="K101:K102"/>
    <mergeCell ref="D101:D102"/>
    <mergeCell ref="F86:F88"/>
    <mergeCell ref="A89:A90"/>
    <mergeCell ref="C128:G128"/>
    <mergeCell ref="C124:G124"/>
    <mergeCell ref="C125:G125"/>
    <mergeCell ref="C122:G122"/>
    <mergeCell ref="C123:G123"/>
    <mergeCell ref="C127:G127"/>
    <mergeCell ref="C106:G106"/>
    <mergeCell ref="K106:N106"/>
    <mergeCell ref="B107:G107"/>
    <mergeCell ref="K107:N107"/>
    <mergeCell ref="B108:G108"/>
    <mergeCell ref="K108:N108"/>
    <mergeCell ref="C114:G114"/>
    <mergeCell ref="C115:G115"/>
    <mergeCell ref="A109:N109"/>
    <mergeCell ref="A110:N110"/>
    <mergeCell ref="C111:J111"/>
    <mergeCell ref="C113:G113"/>
    <mergeCell ref="B89:B90"/>
    <mergeCell ref="C89:C90"/>
    <mergeCell ref="D89:D90"/>
    <mergeCell ref="E89:E90"/>
    <mergeCell ref="F89:F90"/>
    <mergeCell ref="A86:A88"/>
    <mergeCell ref="B86:B88"/>
    <mergeCell ref="C86:C88"/>
    <mergeCell ref="D86:D88"/>
    <mergeCell ref="E86:E88"/>
    <mergeCell ref="F81:F83"/>
    <mergeCell ref="K81:K82"/>
    <mergeCell ref="C84:G84"/>
    <mergeCell ref="C85:N85"/>
    <mergeCell ref="A81:A83"/>
    <mergeCell ref="B81:B83"/>
    <mergeCell ref="C81:C83"/>
    <mergeCell ref="D81:D83"/>
    <mergeCell ref="E81:E83"/>
    <mergeCell ref="D78:D80"/>
    <mergeCell ref="E78:E80"/>
    <mergeCell ref="F78:F80"/>
    <mergeCell ref="K78:K79"/>
    <mergeCell ref="D75:D77"/>
    <mergeCell ref="E75:E77"/>
    <mergeCell ref="F75:F77"/>
    <mergeCell ref="K76:K77"/>
    <mergeCell ref="K65:K66"/>
    <mergeCell ref="C67:G67"/>
    <mergeCell ref="C68:N68"/>
    <mergeCell ref="E69:E73"/>
    <mergeCell ref="D73:D74"/>
    <mergeCell ref="D70:D71"/>
    <mergeCell ref="F62:F63"/>
    <mergeCell ref="A64:A66"/>
    <mergeCell ref="B64:B66"/>
    <mergeCell ref="C64:C66"/>
    <mergeCell ref="E64:E66"/>
    <mergeCell ref="F64:F66"/>
    <mergeCell ref="A62:A63"/>
    <mergeCell ref="B62:B63"/>
    <mergeCell ref="C62:C63"/>
    <mergeCell ref="D62:D63"/>
    <mergeCell ref="E62:E63"/>
    <mergeCell ref="D42:D44"/>
    <mergeCell ref="D45:D47"/>
    <mergeCell ref="D48:D49"/>
    <mergeCell ref="D53:D54"/>
    <mergeCell ref="D60:D61"/>
    <mergeCell ref="E60:E61"/>
    <mergeCell ref="A40:A41"/>
    <mergeCell ref="B40:B41"/>
    <mergeCell ref="C40:C41"/>
    <mergeCell ref="D40:D41"/>
    <mergeCell ref="E40:E41"/>
    <mergeCell ref="F40:F41"/>
    <mergeCell ref="F31:F32"/>
    <mergeCell ref="A38:A39"/>
    <mergeCell ref="B38:B39"/>
    <mergeCell ref="C38:C39"/>
    <mergeCell ref="D38:D39"/>
    <mergeCell ref="E38:E39"/>
    <mergeCell ref="F38:F39"/>
    <mergeCell ref="A31:A32"/>
    <mergeCell ref="B31:B32"/>
    <mergeCell ref="C31:C32"/>
    <mergeCell ref="E31:E32"/>
    <mergeCell ref="D36:D37"/>
    <mergeCell ref="E36:E37"/>
    <mergeCell ref="F36:F37"/>
    <mergeCell ref="L29:L30"/>
    <mergeCell ref="M29:M30"/>
    <mergeCell ref="N29:N30"/>
    <mergeCell ref="A29:A30"/>
    <mergeCell ref="B29:B30"/>
    <mergeCell ref="C29:C30"/>
    <mergeCell ref="D29:D30"/>
    <mergeCell ref="E29:E30"/>
    <mergeCell ref="D31:D32"/>
    <mergeCell ref="A27:A28"/>
    <mergeCell ref="B27:B28"/>
    <mergeCell ref="C27:C28"/>
    <mergeCell ref="D27:D28"/>
    <mergeCell ref="E27:E28"/>
    <mergeCell ref="F27:F28"/>
    <mergeCell ref="K27:K28"/>
    <mergeCell ref="F25:F26"/>
    <mergeCell ref="K25:K26"/>
    <mergeCell ref="A25:A26"/>
    <mergeCell ref="B25:B26"/>
    <mergeCell ref="C25:C26"/>
    <mergeCell ref="D25:D26"/>
    <mergeCell ref="E25:E26"/>
    <mergeCell ref="A9:N9"/>
    <mergeCell ref="B10:N10"/>
    <mergeCell ref="C11:N11"/>
    <mergeCell ref="A14:A20"/>
    <mergeCell ref="B14:B20"/>
    <mergeCell ref="C14:C20"/>
    <mergeCell ref="D12:D24"/>
    <mergeCell ref="E12:E24"/>
    <mergeCell ref="F12:F24"/>
    <mergeCell ref="K23:K24"/>
    <mergeCell ref="F60:F61"/>
    <mergeCell ref="F29:F30"/>
    <mergeCell ref="K29:K30"/>
    <mergeCell ref="K38:K39"/>
    <mergeCell ref="D56:D57"/>
    <mergeCell ref="A1:N1"/>
    <mergeCell ref="A3:N3"/>
    <mergeCell ref="A5:A7"/>
    <mergeCell ref="B5:B7"/>
    <mergeCell ref="C5:C7"/>
    <mergeCell ref="D5:D7"/>
    <mergeCell ref="E5:E7"/>
    <mergeCell ref="H5:H7"/>
    <mergeCell ref="K6:K7"/>
    <mergeCell ref="L6:N6"/>
    <mergeCell ref="A8:N8"/>
    <mergeCell ref="I5:I7"/>
    <mergeCell ref="J5:J7"/>
    <mergeCell ref="K5:N5"/>
    <mergeCell ref="N25:N26"/>
    <mergeCell ref="L25:L26"/>
    <mergeCell ref="M25:M26"/>
    <mergeCell ref="F5:F7"/>
    <mergeCell ref="G5:G7"/>
  </mergeCells>
  <pageMargins left="0.78740157480314965" right="0.19685039370078741" top="0.78740157480314965" bottom="0.39370078740157483" header="0" footer="0"/>
  <pageSetup paperSize="9" scale="70" orientation="portrait" r:id="rId1"/>
  <rowBreaks count="1" manualBreakCount="1">
    <brk id="92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72"/>
  <sheetViews>
    <sheetView topLeftCell="A55" zoomScaleNormal="100" zoomScaleSheetLayoutView="100" workbookViewId="0">
      <selection activeCell="AF68" sqref="AF68"/>
    </sheetView>
  </sheetViews>
  <sheetFormatPr defaultRowHeight="12.75"/>
  <cols>
    <col min="1" max="4" width="2.85546875" style="1" customWidth="1"/>
    <col min="5" max="5" width="41.28515625" style="4" customWidth="1"/>
    <col min="6" max="6" width="3.42578125" style="180" customWidth="1"/>
    <col min="7" max="7" width="3" style="1" customWidth="1"/>
    <col min="8" max="8" width="2.85546875" style="10" customWidth="1"/>
    <col min="9" max="9" width="12" style="1" customWidth="1"/>
    <col min="10" max="10" width="8.5703125" style="1" customWidth="1"/>
    <col min="11" max="11" width="7.5703125" style="1" customWidth="1"/>
    <col min="12" max="12" width="7.85546875" style="1" customWidth="1"/>
    <col min="13" max="13" width="8" style="1" customWidth="1"/>
    <col min="14" max="14" width="7.42578125" style="1" customWidth="1"/>
    <col min="15" max="15" width="8" style="1" customWidth="1"/>
    <col min="16" max="16" width="8.42578125" style="1" customWidth="1"/>
    <col min="17" max="17" width="7.85546875" style="1" customWidth="1"/>
    <col min="18" max="18" width="7.5703125" style="1" customWidth="1"/>
    <col min="19" max="19" width="8" style="1" hidden="1" customWidth="1"/>
    <col min="20" max="20" width="7.7109375" style="1" hidden="1" customWidth="1"/>
    <col min="21" max="21" width="8" style="1" hidden="1" customWidth="1"/>
    <col min="22" max="22" width="7.85546875" style="1" hidden="1" customWidth="1"/>
    <col min="23" max="23" width="8.85546875" style="1" customWidth="1"/>
    <col min="24" max="24" width="9.28515625" style="1" customWidth="1"/>
    <col min="25" max="25" width="29.42578125" style="1" customWidth="1"/>
    <col min="26" max="26" width="4.85546875" style="222" customWidth="1"/>
    <col min="27" max="27" width="4.140625" style="222" customWidth="1"/>
    <col min="28" max="28" width="4.7109375" style="222" customWidth="1"/>
    <col min="29" max="29" width="5.28515625" style="1" customWidth="1"/>
    <col min="30" max="16384" width="9.140625" style="1"/>
  </cols>
  <sheetData>
    <row r="1" spans="1:28" s="4" customFormat="1" ht="15">
      <c r="A1" s="1726" t="s">
        <v>277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6"/>
      <c r="Z1" s="1726"/>
      <c r="AA1" s="1726"/>
      <c r="AB1" s="1726"/>
    </row>
    <row r="2" spans="1:28" s="4" customFormat="1" ht="15" customHeight="1">
      <c r="A2" s="318"/>
      <c r="B2" s="318"/>
      <c r="C2" s="318"/>
      <c r="D2" s="318"/>
      <c r="E2" s="318"/>
      <c r="F2" s="318"/>
      <c r="G2" s="318"/>
      <c r="H2" s="318"/>
      <c r="I2" s="318"/>
      <c r="J2" s="1261"/>
      <c r="K2" s="1968" t="s">
        <v>236</v>
      </c>
      <c r="L2" s="1969"/>
      <c r="M2" s="1969"/>
      <c r="N2" s="1969"/>
      <c r="O2" s="1969"/>
      <c r="P2" s="1262"/>
      <c r="Q2" s="1262"/>
      <c r="R2" s="1262"/>
      <c r="S2" s="318"/>
      <c r="T2" s="318"/>
      <c r="U2" s="318"/>
      <c r="V2" s="318"/>
      <c r="W2" s="318"/>
      <c r="X2" s="318"/>
      <c r="Y2" s="318"/>
      <c r="Z2" s="318"/>
      <c r="AA2" s="318"/>
      <c r="AB2" s="318"/>
    </row>
    <row r="3" spans="1:28" s="4" customFormat="1" ht="15">
      <c r="A3" s="1726" t="s">
        <v>162</v>
      </c>
      <c r="B3" s="1726"/>
      <c r="C3" s="1726"/>
      <c r="D3" s="1726"/>
      <c r="E3" s="1726"/>
      <c r="F3" s="1726"/>
      <c r="G3" s="1726"/>
      <c r="H3" s="1726"/>
      <c r="I3" s="1726"/>
      <c r="J3" s="1726"/>
      <c r="K3" s="1726"/>
      <c r="L3" s="1726"/>
      <c r="M3" s="1726"/>
      <c r="N3" s="1726"/>
      <c r="O3" s="1726"/>
      <c r="P3" s="1726"/>
      <c r="Q3" s="1726"/>
      <c r="R3" s="1726"/>
      <c r="S3" s="1726"/>
      <c r="T3" s="1726"/>
      <c r="U3" s="1726"/>
      <c r="V3" s="1726"/>
      <c r="W3" s="1726"/>
      <c r="X3" s="1726"/>
      <c r="Y3" s="1726"/>
      <c r="Z3" s="1726"/>
      <c r="AA3" s="1726"/>
      <c r="AB3" s="1726"/>
    </row>
    <row r="4" spans="1:28" s="4" customFormat="1" ht="13.5" thickBot="1">
      <c r="F4" s="180"/>
      <c r="H4" s="239"/>
      <c r="X4" s="2040" t="s">
        <v>0</v>
      </c>
      <c r="Y4" s="2040"/>
      <c r="Z4" s="2040"/>
      <c r="AA4" s="2040"/>
      <c r="AB4" s="2040"/>
    </row>
    <row r="5" spans="1:28" s="79" customFormat="1" ht="30" customHeight="1">
      <c r="A5" s="1727" t="s">
        <v>269</v>
      </c>
      <c r="B5" s="1730" t="s">
        <v>2</v>
      </c>
      <c r="C5" s="1730" t="s">
        <v>3</v>
      </c>
      <c r="D5" s="1730" t="s">
        <v>270</v>
      </c>
      <c r="E5" s="1733" t="s">
        <v>22</v>
      </c>
      <c r="F5" s="1736" t="s">
        <v>4</v>
      </c>
      <c r="G5" s="1730" t="s">
        <v>271</v>
      </c>
      <c r="H5" s="2041" t="s">
        <v>5</v>
      </c>
      <c r="I5" s="2044" t="s">
        <v>272</v>
      </c>
      <c r="J5" s="1763" t="s">
        <v>6</v>
      </c>
      <c r="K5" s="1753" t="s">
        <v>273</v>
      </c>
      <c r="L5" s="1754"/>
      <c r="M5" s="1754"/>
      <c r="N5" s="1755"/>
      <c r="O5" s="2047" t="s">
        <v>274</v>
      </c>
      <c r="P5" s="2048"/>
      <c r="Q5" s="2048"/>
      <c r="R5" s="2049"/>
      <c r="S5" s="1753" t="s">
        <v>275</v>
      </c>
      <c r="T5" s="1754"/>
      <c r="U5" s="1754"/>
      <c r="V5" s="1755"/>
      <c r="W5" s="1750" t="s">
        <v>185</v>
      </c>
      <c r="X5" s="1750" t="s">
        <v>276</v>
      </c>
      <c r="Y5" s="1753" t="s">
        <v>170</v>
      </c>
      <c r="Z5" s="1754"/>
      <c r="AA5" s="1754"/>
      <c r="AB5" s="1755"/>
    </row>
    <row r="6" spans="1:28" s="79" customFormat="1" ht="14.25" customHeight="1">
      <c r="A6" s="1728"/>
      <c r="B6" s="1731"/>
      <c r="C6" s="1731"/>
      <c r="D6" s="1731"/>
      <c r="E6" s="1734"/>
      <c r="F6" s="1737"/>
      <c r="G6" s="1731"/>
      <c r="H6" s="2042"/>
      <c r="I6" s="2045"/>
      <c r="J6" s="1764"/>
      <c r="K6" s="2028" t="s">
        <v>7</v>
      </c>
      <c r="L6" s="1744" t="s">
        <v>8</v>
      </c>
      <c r="M6" s="2001"/>
      <c r="N6" s="2004" t="s">
        <v>28</v>
      </c>
      <c r="O6" s="2028" t="s">
        <v>7</v>
      </c>
      <c r="P6" s="1744" t="s">
        <v>8</v>
      </c>
      <c r="Q6" s="2001"/>
      <c r="R6" s="2004" t="s">
        <v>28</v>
      </c>
      <c r="S6" s="2028" t="s">
        <v>7</v>
      </c>
      <c r="T6" s="1744" t="s">
        <v>8</v>
      </c>
      <c r="U6" s="2001"/>
      <c r="V6" s="2004" t="s">
        <v>28</v>
      </c>
      <c r="W6" s="1751"/>
      <c r="X6" s="1751"/>
      <c r="Y6" s="1742" t="s">
        <v>22</v>
      </c>
      <c r="Z6" s="1744" t="s">
        <v>364</v>
      </c>
      <c r="AA6" s="1745"/>
      <c r="AB6" s="1746"/>
    </row>
    <row r="7" spans="1:28" s="79" customFormat="1" ht="84.75" customHeight="1" thickBot="1">
      <c r="A7" s="1729"/>
      <c r="B7" s="1732"/>
      <c r="C7" s="1732"/>
      <c r="D7" s="1732"/>
      <c r="E7" s="1735"/>
      <c r="F7" s="1738"/>
      <c r="G7" s="1732"/>
      <c r="H7" s="2043"/>
      <c r="I7" s="2046"/>
      <c r="J7" s="1765"/>
      <c r="K7" s="1729"/>
      <c r="L7" s="874" t="s">
        <v>7</v>
      </c>
      <c r="M7" s="531" t="s">
        <v>23</v>
      </c>
      <c r="N7" s="2005"/>
      <c r="O7" s="1729"/>
      <c r="P7" s="874" t="s">
        <v>7</v>
      </c>
      <c r="Q7" s="531" t="s">
        <v>23</v>
      </c>
      <c r="R7" s="2005"/>
      <c r="S7" s="1729"/>
      <c r="T7" s="874" t="s">
        <v>7</v>
      </c>
      <c r="U7" s="531" t="s">
        <v>23</v>
      </c>
      <c r="V7" s="2005"/>
      <c r="W7" s="1752"/>
      <c r="X7" s="1752"/>
      <c r="Y7" s="1743"/>
      <c r="Z7" s="874" t="s">
        <v>171</v>
      </c>
      <c r="AA7" s="874" t="s">
        <v>208</v>
      </c>
      <c r="AB7" s="875" t="s">
        <v>283</v>
      </c>
    </row>
    <row r="8" spans="1:28" s="4" customFormat="1" ht="15" customHeight="1">
      <c r="A8" s="1747" t="s">
        <v>31</v>
      </c>
      <c r="B8" s="1748"/>
      <c r="C8" s="1748"/>
      <c r="D8" s="1748"/>
      <c r="E8" s="1748"/>
      <c r="F8" s="1748"/>
      <c r="G8" s="1748"/>
      <c r="H8" s="1748"/>
      <c r="I8" s="1748"/>
      <c r="J8" s="1748"/>
      <c r="K8" s="1748"/>
      <c r="L8" s="1748"/>
      <c r="M8" s="1748"/>
      <c r="N8" s="1748"/>
      <c r="O8" s="1748"/>
      <c r="P8" s="1748"/>
      <c r="Q8" s="1748"/>
      <c r="R8" s="1748"/>
      <c r="S8" s="1748"/>
      <c r="T8" s="1748"/>
      <c r="U8" s="1748"/>
      <c r="V8" s="1748"/>
      <c r="W8" s="1748"/>
      <c r="X8" s="1748"/>
      <c r="Y8" s="1748"/>
      <c r="Z8" s="1748"/>
      <c r="AA8" s="1748"/>
      <c r="AB8" s="1749"/>
    </row>
    <row r="9" spans="1:28" s="4" customFormat="1" ht="12.75" customHeight="1">
      <c r="A9" s="1766" t="s">
        <v>165</v>
      </c>
      <c r="B9" s="1767"/>
      <c r="C9" s="1767"/>
      <c r="D9" s="1767"/>
      <c r="E9" s="1767"/>
      <c r="F9" s="1767"/>
      <c r="G9" s="1767"/>
      <c r="H9" s="1767"/>
      <c r="I9" s="1767"/>
      <c r="J9" s="1767"/>
      <c r="K9" s="1767"/>
      <c r="L9" s="1767"/>
      <c r="M9" s="1767"/>
      <c r="N9" s="1767"/>
      <c r="O9" s="1767"/>
      <c r="P9" s="1767"/>
      <c r="Q9" s="1767"/>
      <c r="R9" s="1767"/>
      <c r="S9" s="1767"/>
      <c r="T9" s="1767"/>
      <c r="U9" s="1767"/>
      <c r="V9" s="1767"/>
      <c r="W9" s="1767"/>
      <c r="X9" s="1767"/>
      <c r="Y9" s="1767"/>
      <c r="Z9" s="1767"/>
      <c r="AA9" s="1767"/>
      <c r="AB9" s="1768"/>
    </row>
    <row r="10" spans="1:28" s="4" customFormat="1" ht="13.5" customHeight="1">
      <c r="A10" s="532" t="s">
        <v>9</v>
      </c>
      <c r="B10" s="1769" t="s">
        <v>153</v>
      </c>
      <c r="C10" s="1769"/>
      <c r="D10" s="1769"/>
      <c r="E10" s="1769"/>
      <c r="F10" s="1769"/>
      <c r="G10" s="1769"/>
      <c r="H10" s="1769"/>
      <c r="I10" s="1769"/>
      <c r="J10" s="1769"/>
      <c r="K10" s="1769"/>
      <c r="L10" s="1769"/>
      <c r="M10" s="1769"/>
      <c r="N10" s="1769"/>
      <c r="O10" s="1769"/>
      <c r="P10" s="1769"/>
      <c r="Q10" s="1769"/>
      <c r="R10" s="1769"/>
      <c r="S10" s="1769"/>
      <c r="T10" s="1769"/>
      <c r="U10" s="1769"/>
      <c r="V10" s="1769"/>
      <c r="W10" s="1769"/>
      <c r="X10" s="1769"/>
      <c r="Y10" s="1769"/>
      <c r="Z10" s="1769"/>
      <c r="AA10" s="1769"/>
      <c r="AB10" s="1770"/>
    </row>
    <row r="11" spans="1:28" s="4" customFormat="1" ht="15.75" customHeight="1">
      <c r="A11" s="533" t="s">
        <v>9</v>
      </c>
      <c r="B11" s="374" t="s">
        <v>9</v>
      </c>
      <c r="C11" s="1771" t="s">
        <v>155</v>
      </c>
      <c r="D11" s="1772"/>
      <c r="E11" s="1772"/>
      <c r="F11" s="1772"/>
      <c r="G11" s="1772"/>
      <c r="H11" s="1772"/>
      <c r="I11" s="1772"/>
      <c r="J11" s="1772"/>
      <c r="K11" s="1772"/>
      <c r="L11" s="1772"/>
      <c r="M11" s="1772"/>
      <c r="N11" s="1772"/>
      <c r="O11" s="1772"/>
      <c r="P11" s="1772"/>
      <c r="Q11" s="1772"/>
      <c r="R11" s="1772"/>
      <c r="S11" s="1772"/>
      <c r="T11" s="1772"/>
      <c r="U11" s="1772"/>
      <c r="V11" s="1772"/>
      <c r="W11" s="1772"/>
      <c r="X11" s="1772"/>
      <c r="Y11" s="1772"/>
      <c r="Z11" s="1772"/>
      <c r="AA11" s="1772"/>
      <c r="AB11" s="1773"/>
    </row>
    <row r="12" spans="1:28" s="79" customFormat="1" ht="26.25" customHeight="1">
      <c r="A12" s="534" t="s">
        <v>9</v>
      </c>
      <c r="B12" s="236" t="s">
        <v>9</v>
      </c>
      <c r="C12" s="559" t="s">
        <v>9</v>
      </c>
      <c r="D12" s="529"/>
      <c r="E12" s="1360" t="s">
        <v>183</v>
      </c>
      <c r="F12" s="544"/>
      <c r="G12" s="1360"/>
      <c r="H12" s="544"/>
      <c r="I12" s="568"/>
      <c r="J12" s="461"/>
      <c r="K12" s="205"/>
      <c r="L12" s="206"/>
      <c r="M12" s="206"/>
      <c r="N12" s="207"/>
      <c r="O12" s="1259"/>
      <c r="P12" s="1259"/>
      <c r="Q12" s="1259"/>
      <c r="R12" s="1259"/>
      <c r="S12" s="1259"/>
      <c r="T12" s="1259"/>
      <c r="U12" s="1259"/>
      <c r="V12" s="1260"/>
      <c r="W12" s="545"/>
      <c r="X12" s="1259"/>
      <c r="Y12" s="1342"/>
      <c r="Z12" s="605"/>
      <c r="AA12" s="605"/>
      <c r="AB12" s="603"/>
    </row>
    <row r="13" spans="1:28" s="79" customFormat="1" ht="18.75" customHeight="1">
      <c r="A13" s="535"/>
      <c r="B13" s="289"/>
      <c r="C13" s="560"/>
      <c r="D13" s="529" t="s">
        <v>9</v>
      </c>
      <c r="E13" s="2031" t="s">
        <v>411</v>
      </c>
      <c r="F13" s="1966"/>
      <c r="G13" s="2002" t="s">
        <v>21</v>
      </c>
      <c r="H13" s="2029" t="s">
        <v>156</v>
      </c>
      <c r="I13" s="2050" t="s">
        <v>224</v>
      </c>
      <c r="J13" s="624" t="s">
        <v>13</v>
      </c>
      <c r="K13" s="625">
        <f>L13+N13</f>
        <v>14672.5</v>
      </c>
      <c r="L13" s="626">
        <v>14672.5</v>
      </c>
      <c r="M13" s="626">
        <v>11202.1</v>
      </c>
      <c r="N13" s="627"/>
      <c r="O13" s="1287">
        <f>P13+R13</f>
        <v>15849.6</v>
      </c>
      <c r="P13" s="654">
        <v>15849.6</v>
      </c>
      <c r="Q13" s="654">
        <v>12100.8</v>
      </c>
      <c r="R13" s="627"/>
      <c r="S13" s="655">
        <f>T13+V13</f>
        <v>0</v>
      </c>
      <c r="T13" s="628">
        <v>0</v>
      </c>
      <c r="U13" s="628">
        <v>0</v>
      </c>
      <c r="V13" s="656"/>
      <c r="W13" s="630">
        <v>16100</v>
      </c>
      <c r="X13" s="629">
        <v>16200</v>
      </c>
      <c r="Y13" s="1957" t="s">
        <v>243</v>
      </c>
      <c r="Z13" s="2034">
        <v>439.5</v>
      </c>
      <c r="AA13" s="2034">
        <v>439.5</v>
      </c>
      <c r="AB13" s="2036">
        <v>439.5</v>
      </c>
    </row>
    <row r="14" spans="1:28" s="79" customFormat="1" ht="15.75" customHeight="1">
      <c r="A14" s="534"/>
      <c r="B14" s="236"/>
      <c r="C14" s="559"/>
      <c r="D14" s="1350"/>
      <c r="E14" s="2032"/>
      <c r="F14" s="1967"/>
      <c r="G14" s="2003"/>
      <c r="H14" s="2030"/>
      <c r="I14" s="1990"/>
      <c r="J14" s="631" t="s">
        <v>150</v>
      </c>
      <c r="K14" s="688">
        <f>L14+N14</f>
        <v>2540.9</v>
      </c>
      <c r="L14" s="689">
        <v>2524.9</v>
      </c>
      <c r="M14" s="689">
        <v>1573.6</v>
      </c>
      <c r="N14" s="1156">
        <v>16</v>
      </c>
      <c r="O14" s="1544">
        <f>P14+R14</f>
        <v>2577.1</v>
      </c>
      <c r="P14" s="1428">
        <v>2577.1</v>
      </c>
      <c r="Q14" s="1428">
        <v>1607.6</v>
      </c>
      <c r="R14" s="1404"/>
      <c r="S14" s="1058">
        <f>T14+V14</f>
        <v>0</v>
      </c>
      <c r="T14" s="1157">
        <v>0</v>
      </c>
      <c r="U14" s="1157">
        <v>0</v>
      </c>
      <c r="V14" s="1158">
        <v>0</v>
      </c>
      <c r="W14" s="1159">
        <v>2524</v>
      </c>
      <c r="X14" s="1160">
        <f>+W14</f>
        <v>2524</v>
      </c>
      <c r="Y14" s="2033"/>
      <c r="Z14" s="2035"/>
      <c r="AA14" s="2035"/>
      <c r="AB14" s="2037"/>
    </row>
    <row r="15" spans="1:28" s="79" customFormat="1" ht="18.75" customHeight="1">
      <c r="A15" s="534"/>
      <c r="B15" s="1148"/>
      <c r="C15" s="1149"/>
      <c r="D15" s="1350"/>
      <c r="E15" s="1306" t="s">
        <v>328</v>
      </c>
      <c r="F15" s="1309"/>
      <c r="G15" s="1322"/>
      <c r="H15" s="1341"/>
      <c r="I15" s="2051"/>
      <c r="J15" s="633" t="s">
        <v>13</v>
      </c>
      <c r="K15" s="464"/>
      <c r="L15" s="463"/>
      <c r="M15" s="463"/>
      <c r="N15" s="480"/>
      <c r="O15" s="1150">
        <f>P15</f>
        <v>323.60000000000002</v>
      </c>
      <c r="P15" s="1151">
        <v>323.60000000000002</v>
      </c>
      <c r="Q15" s="1151">
        <v>116.6</v>
      </c>
      <c r="R15" s="657"/>
      <c r="S15" s="386"/>
      <c r="T15" s="378"/>
      <c r="U15" s="378"/>
      <c r="V15" s="636"/>
      <c r="W15" s="316"/>
      <c r="X15" s="1152"/>
      <c r="Y15" s="1343"/>
      <c r="Z15" s="1344"/>
      <c r="AA15" s="1344"/>
      <c r="AB15" s="1345"/>
    </row>
    <row r="16" spans="1:28" s="4" customFormat="1" ht="13.5" customHeight="1">
      <c r="A16" s="1774"/>
      <c r="B16" s="1775"/>
      <c r="C16" s="1965"/>
      <c r="D16" s="529" t="s">
        <v>10</v>
      </c>
      <c r="E16" s="1866" t="s">
        <v>280</v>
      </c>
      <c r="F16" s="1966"/>
      <c r="G16" s="2007" t="s">
        <v>9</v>
      </c>
      <c r="H16" s="2029" t="s">
        <v>156</v>
      </c>
      <c r="I16" s="1346" t="s">
        <v>201</v>
      </c>
      <c r="J16" s="87" t="s">
        <v>13</v>
      </c>
      <c r="K16" s="546">
        <f>+L16+N16</f>
        <v>1684.8</v>
      </c>
      <c r="L16" s="547">
        <f>1655.6-40.5</f>
        <v>1615.1</v>
      </c>
      <c r="M16" s="547"/>
      <c r="N16" s="548">
        <v>69.7</v>
      </c>
      <c r="O16" s="1415">
        <f>+P16+R16</f>
        <v>1685.1</v>
      </c>
      <c r="P16" s="724">
        <v>1639.1</v>
      </c>
      <c r="Q16" s="1435"/>
      <c r="R16" s="1436">
        <v>46</v>
      </c>
      <c r="S16" s="393">
        <f>+T16+V16</f>
        <v>0</v>
      </c>
      <c r="T16" s="394">
        <v>0</v>
      </c>
      <c r="U16" s="394"/>
      <c r="V16" s="830">
        <v>0</v>
      </c>
      <c r="W16" s="832">
        <v>1680</v>
      </c>
      <c r="X16" s="208">
        <v>1680</v>
      </c>
      <c r="Y16" s="523"/>
      <c r="Z16" s="335"/>
      <c r="AA16" s="335"/>
      <c r="AB16" s="336"/>
    </row>
    <row r="17" spans="1:33" s="4" customFormat="1" ht="15" customHeight="1">
      <c r="A17" s="1774"/>
      <c r="B17" s="1775"/>
      <c r="C17" s="1965"/>
      <c r="D17" s="1350"/>
      <c r="E17" s="1792"/>
      <c r="F17" s="1967"/>
      <c r="G17" s="1999"/>
      <c r="H17" s="2030"/>
      <c r="I17" s="1361"/>
      <c r="J17" s="640" t="s">
        <v>164</v>
      </c>
      <c r="K17" s="641">
        <f>L17+N17</f>
        <v>40.5</v>
      </c>
      <c r="L17" s="642">
        <v>40.5</v>
      </c>
      <c r="M17" s="642"/>
      <c r="N17" s="643"/>
      <c r="O17" s="1416">
        <f>P17+R17</f>
        <v>11.6</v>
      </c>
      <c r="P17" s="1417">
        <v>11.6</v>
      </c>
      <c r="Q17" s="659"/>
      <c r="R17" s="660"/>
      <c r="S17" s="646">
        <f>T17+V17</f>
        <v>0</v>
      </c>
      <c r="T17" s="647">
        <v>0</v>
      </c>
      <c r="U17" s="647"/>
      <c r="V17" s="648"/>
      <c r="W17" s="661">
        <v>11.6</v>
      </c>
      <c r="X17" s="661">
        <v>11.6</v>
      </c>
      <c r="Y17" s="622"/>
      <c r="Z17" s="343"/>
      <c r="AA17" s="343"/>
      <c r="AB17" s="344"/>
    </row>
    <row r="18" spans="1:33" s="4" customFormat="1" ht="14.25" customHeight="1">
      <c r="A18" s="1324"/>
      <c r="B18" s="1319"/>
      <c r="C18" s="1308"/>
      <c r="D18" s="1350"/>
      <c r="E18" s="1792"/>
      <c r="F18" s="1309"/>
      <c r="G18" s="1318"/>
      <c r="H18" s="1341"/>
      <c r="I18" s="1361"/>
      <c r="J18" s="640" t="s">
        <v>281</v>
      </c>
      <c r="K18" s="641"/>
      <c r="L18" s="642"/>
      <c r="M18" s="642"/>
      <c r="N18" s="643"/>
      <c r="O18" s="1416"/>
      <c r="P18" s="1417"/>
      <c r="Q18" s="659"/>
      <c r="R18" s="660"/>
      <c r="S18" s="646"/>
      <c r="T18" s="647"/>
      <c r="U18" s="647"/>
      <c r="V18" s="648"/>
      <c r="W18" s="661"/>
      <c r="X18" s="661"/>
      <c r="Y18" s="622"/>
      <c r="Z18" s="343"/>
      <c r="AA18" s="343"/>
      <c r="AB18" s="344"/>
    </row>
    <row r="19" spans="1:33" s="4" customFormat="1" ht="14.25" customHeight="1">
      <c r="A19" s="1324"/>
      <c r="B19" s="1319"/>
      <c r="C19" s="1308"/>
      <c r="D19" s="1350"/>
      <c r="E19" s="1792"/>
      <c r="F19" s="1309"/>
      <c r="G19" s="1318"/>
      <c r="H19" s="1341"/>
      <c r="I19" s="1361"/>
      <c r="J19" s="633" t="s">
        <v>282</v>
      </c>
      <c r="K19" s="464">
        <v>116</v>
      </c>
      <c r="L19" s="463">
        <v>116</v>
      </c>
      <c r="M19" s="463"/>
      <c r="N19" s="480"/>
      <c r="O19" s="1150"/>
      <c r="P19" s="1418"/>
      <c r="Q19" s="291"/>
      <c r="R19" s="657"/>
      <c r="S19" s="377"/>
      <c r="T19" s="378"/>
      <c r="U19" s="378"/>
      <c r="V19" s="636"/>
      <c r="W19" s="823"/>
      <c r="X19" s="658"/>
      <c r="Y19" s="622"/>
      <c r="Z19" s="343"/>
      <c r="AA19" s="343"/>
      <c r="AB19" s="344"/>
    </row>
    <row r="20" spans="1:33" s="4" customFormat="1" ht="21" customHeight="1">
      <c r="A20" s="1324"/>
      <c r="B20" s="1331"/>
      <c r="C20" s="847"/>
      <c r="D20" s="529" t="s">
        <v>11</v>
      </c>
      <c r="E20" s="1348" t="s">
        <v>61</v>
      </c>
      <c r="F20" s="653"/>
      <c r="G20" s="1326" t="s">
        <v>9</v>
      </c>
      <c r="H20" s="1327" t="s">
        <v>156</v>
      </c>
      <c r="I20" s="1346" t="s">
        <v>201</v>
      </c>
      <c r="J20" s="171" t="s">
        <v>13</v>
      </c>
      <c r="K20" s="205">
        <f>+L20+N20</f>
        <v>74.5</v>
      </c>
      <c r="L20" s="206">
        <v>74.5</v>
      </c>
      <c r="M20" s="206"/>
      <c r="N20" s="207"/>
      <c r="O20" s="1419">
        <f>+P20+R20</f>
        <v>95</v>
      </c>
      <c r="P20" s="1420">
        <v>95</v>
      </c>
      <c r="Q20" s="188"/>
      <c r="R20" s="203"/>
      <c r="S20" s="407">
        <f>+T20+V20</f>
        <v>0</v>
      </c>
      <c r="T20" s="408">
        <v>0</v>
      </c>
      <c r="U20" s="408"/>
      <c r="V20" s="447"/>
      <c r="W20" s="202">
        <v>95</v>
      </c>
      <c r="X20" s="190"/>
      <c r="Y20" s="523"/>
      <c r="Z20" s="335"/>
      <c r="AA20" s="335"/>
      <c r="AB20" s="336"/>
    </row>
    <row r="21" spans="1:33" s="4" customFormat="1" ht="40.5" customHeight="1">
      <c r="A21" s="1324"/>
      <c r="B21" s="1331"/>
      <c r="C21" s="847"/>
      <c r="D21" s="1359" t="s">
        <v>12</v>
      </c>
      <c r="E21" s="1335" t="s">
        <v>344</v>
      </c>
      <c r="F21" s="601" t="s">
        <v>213</v>
      </c>
      <c r="G21" s="1358" t="s">
        <v>9</v>
      </c>
      <c r="H21" s="602" t="s">
        <v>156</v>
      </c>
      <c r="I21" s="571" t="s">
        <v>178</v>
      </c>
      <c r="J21" s="171" t="s">
        <v>13</v>
      </c>
      <c r="K21" s="205">
        <f>+L21+N21</f>
        <v>15</v>
      </c>
      <c r="L21" s="206">
        <v>15</v>
      </c>
      <c r="M21" s="206"/>
      <c r="N21" s="207"/>
      <c r="O21" s="1419">
        <f>+P21+R21</f>
        <v>50</v>
      </c>
      <c r="P21" s="684">
        <f>15+28+5+2</f>
        <v>50</v>
      </c>
      <c r="Q21" s="188"/>
      <c r="R21" s="203"/>
      <c r="S21" s="407">
        <f>+T21+V21</f>
        <v>0</v>
      </c>
      <c r="T21" s="408">
        <v>0</v>
      </c>
      <c r="U21" s="408"/>
      <c r="V21" s="447"/>
      <c r="W21" s="202">
        <v>50</v>
      </c>
      <c r="X21" s="190">
        <v>50</v>
      </c>
      <c r="Y21" s="267" t="s">
        <v>394</v>
      </c>
      <c r="Z21" s="226" t="s">
        <v>290</v>
      </c>
      <c r="AA21" s="226" t="s">
        <v>290</v>
      </c>
      <c r="AB21" s="227" t="s">
        <v>291</v>
      </c>
    </row>
    <row r="22" spans="1:33" s="4" customFormat="1" ht="17.25" customHeight="1">
      <c r="A22" s="1774"/>
      <c r="B22" s="1775"/>
      <c r="C22" s="1965"/>
      <c r="D22" s="1350" t="s">
        <v>34</v>
      </c>
      <c r="E22" s="1354" t="s">
        <v>249</v>
      </c>
      <c r="F22" s="2039"/>
      <c r="G22" s="1999" t="s">
        <v>9</v>
      </c>
      <c r="H22" s="2030" t="s">
        <v>156</v>
      </c>
      <c r="I22" s="1990" t="s">
        <v>232</v>
      </c>
      <c r="J22" s="633"/>
      <c r="K22" s="464"/>
      <c r="L22" s="463"/>
      <c r="M22" s="463"/>
      <c r="N22" s="480"/>
      <c r="O22" s="1421"/>
      <c r="P22" s="1151"/>
      <c r="Q22" s="634"/>
      <c r="R22" s="635"/>
      <c r="S22" s="377"/>
      <c r="T22" s="378"/>
      <c r="U22" s="378"/>
      <c r="V22" s="636"/>
      <c r="W22" s="316"/>
      <c r="X22" s="316"/>
      <c r="Y22" s="637"/>
      <c r="Z22" s="638"/>
      <c r="AA22" s="638"/>
      <c r="AB22" s="639"/>
    </row>
    <row r="23" spans="1:33" s="4" customFormat="1" ht="25.5" customHeight="1">
      <c r="A23" s="1774"/>
      <c r="B23" s="1775"/>
      <c r="C23" s="1965"/>
      <c r="D23" s="1350"/>
      <c r="E23" s="632" t="s">
        <v>412</v>
      </c>
      <c r="F23" s="2039"/>
      <c r="G23" s="1999"/>
      <c r="H23" s="2030"/>
      <c r="I23" s="1990"/>
      <c r="J23" s="640" t="s">
        <v>13</v>
      </c>
      <c r="K23" s="641">
        <f>L23+N23</f>
        <v>7</v>
      </c>
      <c r="L23" s="642">
        <v>7</v>
      </c>
      <c r="M23" s="642"/>
      <c r="N23" s="643"/>
      <c r="O23" s="1422">
        <f>P23</f>
        <v>7</v>
      </c>
      <c r="P23" s="1423">
        <v>7</v>
      </c>
      <c r="Q23" s="644"/>
      <c r="R23" s="645"/>
      <c r="S23" s="646">
        <f>T23+V23</f>
        <v>0</v>
      </c>
      <c r="T23" s="647">
        <v>0</v>
      </c>
      <c r="U23" s="647"/>
      <c r="V23" s="648"/>
      <c r="W23" s="649">
        <v>7</v>
      </c>
      <c r="X23" s="649">
        <v>7</v>
      </c>
      <c r="Y23" s="650" t="s">
        <v>286</v>
      </c>
      <c r="Z23" s="651">
        <v>2</v>
      </c>
      <c r="AA23" s="651">
        <v>2</v>
      </c>
      <c r="AB23" s="652">
        <v>2</v>
      </c>
    </row>
    <row r="24" spans="1:33" s="4" customFormat="1" ht="39.75" customHeight="1">
      <c r="A24" s="1774"/>
      <c r="B24" s="1775"/>
      <c r="C24" s="1965"/>
      <c r="D24" s="1350"/>
      <c r="E24" s="632" t="s">
        <v>287</v>
      </c>
      <c r="F24" s="2039"/>
      <c r="G24" s="1999"/>
      <c r="H24" s="2030"/>
      <c r="I24" s="1990"/>
      <c r="J24" s="640" t="s">
        <v>13</v>
      </c>
      <c r="K24" s="641">
        <f t="shared" ref="K24:K29" si="0">L24+N24</f>
        <v>116.6</v>
      </c>
      <c r="L24" s="642">
        <v>116.6</v>
      </c>
      <c r="M24" s="642"/>
      <c r="N24" s="643"/>
      <c r="O24" s="1422">
        <f>P24</f>
        <v>150</v>
      </c>
      <c r="P24" s="1424">
        <v>150</v>
      </c>
      <c r="Q24" s="644"/>
      <c r="R24" s="645"/>
      <c r="S24" s="646"/>
      <c r="T24" s="647"/>
      <c r="U24" s="647"/>
      <c r="V24" s="648"/>
      <c r="W24" s="649">
        <v>116</v>
      </c>
      <c r="X24" s="649">
        <v>116</v>
      </c>
      <c r="Y24" s="970" t="s">
        <v>235</v>
      </c>
      <c r="Z24" s="672">
        <v>150</v>
      </c>
      <c r="AA24" s="672">
        <v>150</v>
      </c>
      <c r="AB24" s="673">
        <v>150</v>
      </c>
      <c r="AG24" s="1172"/>
    </row>
    <row r="25" spans="1:33" s="4" customFormat="1" ht="30" customHeight="1">
      <c r="A25" s="1774"/>
      <c r="B25" s="1775"/>
      <c r="C25" s="1965"/>
      <c r="D25" s="1350"/>
      <c r="E25" s="2052" t="s">
        <v>218</v>
      </c>
      <c r="F25" s="2039"/>
      <c r="G25" s="1999"/>
      <c r="H25" s="2030"/>
      <c r="I25" s="1209"/>
      <c r="J25" s="1210" t="s">
        <v>13</v>
      </c>
      <c r="K25" s="1186">
        <f t="shared" si="0"/>
        <v>95</v>
      </c>
      <c r="L25" s="1187">
        <v>95</v>
      </c>
      <c r="M25" s="1187"/>
      <c r="N25" s="1188"/>
      <c r="O25" s="1425">
        <f>P25</f>
        <v>120</v>
      </c>
      <c r="P25" s="1426">
        <f>60+60</f>
        <v>120</v>
      </c>
      <c r="Q25" s="1187"/>
      <c r="R25" s="1254"/>
      <c r="S25" s="1189"/>
      <c r="T25" s="1190"/>
      <c r="U25" s="1190"/>
      <c r="V25" s="1191"/>
      <c r="W25" s="1214">
        <v>120</v>
      </c>
      <c r="X25" s="1214">
        <v>120</v>
      </c>
      <c r="Y25" s="1200" t="s">
        <v>395</v>
      </c>
      <c r="Z25" s="1154">
        <v>18</v>
      </c>
      <c r="AA25" s="1154">
        <v>18</v>
      </c>
      <c r="AB25" s="1155">
        <v>20</v>
      </c>
    </row>
    <row r="26" spans="1:33" s="4" customFormat="1" ht="15.75" customHeight="1">
      <c r="A26" s="1774"/>
      <c r="B26" s="1775"/>
      <c r="C26" s="1965"/>
      <c r="D26" s="1350"/>
      <c r="E26" s="2053"/>
      <c r="F26" s="2039"/>
      <c r="G26" s="1999"/>
      <c r="H26" s="2030"/>
      <c r="I26" s="1209"/>
      <c r="J26" s="1211"/>
      <c r="K26" s="464"/>
      <c r="L26" s="463"/>
      <c r="M26" s="463"/>
      <c r="N26" s="480"/>
      <c r="O26" s="1421"/>
      <c r="P26" s="1151"/>
      <c r="Q26" s="634"/>
      <c r="R26" s="1213"/>
      <c r="S26" s="377"/>
      <c r="T26" s="378"/>
      <c r="U26" s="378"/>
      <c r="V26" s="636"/>
      <c r="W26" s="1215"/>
      <c r="X26" s="1215"/>
      <c r="Y26" s="1201" t="s">
        <v>329</v>
      </c>
      <c r="Z26" s="1202">
        <v>3</v>
      </c>
      <c r="AA26" s="1154">
        <v>3</v>
      </c>
      <c r="AB26" s="1155">
        <v>3</v>
      </c>
    </row>
    <row r="27" spans="1:33" s="4" customFormat="1" ht="24.75" customHeight="1">
      <c r="A27" s="1774"/>
      <c r="B27" s="1775"/>
      <c r="C27" s="1965"/>
      <c r="D27" s="1350"/>
      <c r="E27" s="2053"/>
      <c r="F27" s="2039"/>
      <c r="G27" s="1999"/>
      <c r="H27" s="2030"/>
      <c r="I27" s="1209"/>
      <c r="J27" s="1211"/>
      <c r="K27" s="464"/>
      <c r="L27" s="463"/>
      <c r="M27" s="463"/>
      <c r="N27" s="480"/>
      <c r="O27" s="1421"/>
      <c r="P27" s="1151"/>
      <c r="Q27" s="634"/>
      <c r="R27" s="1213"/>
      <c r="S27" s="377"/>
      <c r="T27" s="378"/>
      <c r="U27" s="378"/>
      <c r="V27" s="636"/>
      <c r="W27" s="1215"/>
      <c r="X27" s="1215"/>
      <c r="Y27" s="1203" t="s">
        <v>396</v>
      </c>
      <c r="Z27" s="1204">
        <v>300</v>
      </c>
      <c r="AA27" s="1205"/>
      <c r="AB27" s="1206"/>
    </row>
    <row r="28" spans="1:33" s="4" customFormat="1" ht="16.5" customHeight="1">
      <c r="A28" s="1774"/>
      <c r="B28" s="1775"/>
      <c r="C28" s="1965"/>
      <c r="D28" s="1350"/>
      <c r="E28" s="2032"/>
      <c r="F28" s="2039"/>
      <c r="G28" s="1999"/>
      <c r="H28" s="2030"/>
      <c r="I28" s="1209"/>
      <c r="J28" s="1212"/>
      <c r="K28" s="688"/>
      <c r="L28" s="689"/>
      <c r="M28" s="689"/>
      <c r="N28" s="1156"/>
      <c r="O28" s="1427"/>
      <c r="P28" s="1428"/>
      <c r="Q28" s="1162"/>
      <c r="R28" s="1161"/>
      <c r="S28" s="1164"/>
      <c r="T28" s="1157"/>
      <c r="U28" s="1157"/>
      <c r="V28" s="1158"/>
      <c r="W28" s="1216"/>
      <c r="X28" s="1216"/>
      <c r="Y28" s="1203" t="s">
        <v>332</v>
      </c>
      <c r="Z28" s="1204">
        <v>100</v>
      </c>
      <c r="AA28" s="1205">
        <v>30</v>
      </c>
      <c r="AB28" s="1206">
        <v>30</v>
      </c>
    </row>
    <row r="29" spans="1:33" s="4" customFormat="1" ht="36.75" customHeight="1">
      <c r="A29" s="1774"/>
      <c r="B29" s="1775"/>
      <c r="C29" s="1965"/>
      <c r="D29" s="1323"/>
      <c r="E29" s="632" t="s">
        <v>211</v>
      </c>
      <c r="F29" s="2039"/>
      <c r="G29" s="1999"/>
      <c r="H29" s="2030"/>
      <c r="I29" s="1362"/>
      <c r="J29" s="640" t="s">
        <v>13</v>
      </c>
      <c r="K29" s="641">
        <f t="shared" si="0"/>
        <v>50</v>
      </c>
      <c r="L29" s="642">
        <v>50</v>
      </c>
      <c r="M29" s="642"/>
      <c r="N29" s="643"/>
      <c r="O29" s="1422">
        <f>P29</f>
        <v>50</v>
      </c>
      <c r="P29" s="1424">
        <v>50</v>
      </c>
      <c r="Q29" s="644"/>
      <c r="R29" s="645"/>
      <c r="S29" s="646"/>
      <c r="T29" s="647"/>
      <c r="U29" s="647"/>
      <c r="V29" s="648"/>
      <c r="W29" s="649">
        <v>50</v>
      </c>
      <c r="X29" s="649">
        <v>50</v>
      </c>
      <c r="Y29" s="1207" t="s">
        <v>289</v>
      </c>
      <c r="Z29" s="748">
        <v>3</v>
      </c>
      <c r="AA29" s="1167">
        <v>3</v>
      </c>
      <c r="AB29" s="1208">
        <v>3</v>
      </c>
      <c r="AD29" s="90"/>
    </row>
    <row r="30" spans="1:33" s="4" customFormat="1" ht="39" customHeight="1">
      <c r="A30" s="1324"/>
      <c r="B30" s="1319"/>
      <c r="C30" s="1308"/>
      <c r="D30" s="529" t="s">
        <v>36</v>
      </c>
      <c r="E30" s="1360" t="s">
        <v>413</v>
      </c>
      <c r="F30" s="600"/>
      <c r="G30" s="1326" t="s">
        <v>9</v>
      </c>
      <c r="H30" s="1340" t="s">
        <v>156</v>
      </c>
      <c r="I30" s="604" t="s">
        <v>174</v>
      </c>
      <c r="J30" s="87" t="s">
        <v>13</v>
      </c>
      <c r="K30" s="721"/>
      <c r="L30" s="722"/>
      <c r="M30" s="722"/>
      <c r="N30" s="723"/>
      <c r="O30" s="1415">
        <f t="shared" ref="O30:O34" si="1">+P30+R30</f>
        <v>0</v>
      </c>
      <c r="P30" s="724"/>
      <c r="Q30" s="724"/>
      <c r="R30" s="725"/>
      <c r="S30" s="726">
        <f>+T30+V30</f>
        <v>0</v>
      </c>
      <c r="T30" s="727">
        <v>0</v>
      </c>
      <c r="U30" s="727"/>
      <c r="V30" s="985"/>
      <c r="W30" s="728"/>
      <c r="X30" s="729"/>
      <c r="Y30" s="550"/>
      <c r="Z30" s="745"/>
      <c r="AA30" s="745"/>
      <c r="AB30" s="746"/>
    </row>
    <row r="31" spans="1:33" s="4" customFormat="1" ht="26.25" customHeight="1">
      <c r="A31" s="1324"/>
      <c r="B31" s="1319"/>
      <c r="C31" s="1308"/>
      <c r="D31" s="711"/>
      <c r="E31" s="690" t="s">
        <v>299</v>
      </c>
      <c r="F31" s="731"/>
      <c r="G31" s="732"/>
      <c r="H31" s="733"/>
      <c r="I31" s="734"/>
      <c r="J31" s="640" t="s">
        <v>13</v>
      </c>
      <c r="K31" s="678">
        <f>+L31+N31</f>
        <v>100</v>
      </c>
      <c r="L31" s="735">
        <v>100</v>
      </c>
      <c r="M31" s="736"/>
      <c r="N31" s="737"/>
      <c r="O31" s="1429">
        <f t="shared" si="1"/>
        <v>100</v>
      </c>
      <c r="P31" s="1430">
        <v>100</v>
      </c>
      <c r="Q31" s="739"/>
      <c r="R31" s="740"/>
      <c r="S31" s="741"/>
      <c r="T31" s="742"/>
      <c r="U31" s="742"/>
      <c r="V31" s="986"/>
      <c r="W31" s="743">
        <v>100</v>
      </c>
      <c r="X31" s="649">
        <v>100</v>
      </c>
      <c r="Y31" s="622" t="s">
        <v>202</v>
      </c>
      <c r="Z31" s="972">
        <v>130</v>
      </c>
      <c r="AA31" s="972">
        <v>130</v>
      </c>
      <c r="AB31" s="971">
        <v>130</v>
      </c>
    </row>
    <row r="32" spans="1:33" s="4" customFormat="1" ht="15.75" customHeight="1">
      <c r="A32" s="1324"/>
      <c r="B32" s="1319"/>
      <c r="C32" s="1308"/>
      <c r="D32" s="710"/>
      <c r="E32" s="1305" t="s">
        <v>343</v>
      </c>
      <c r="F32" s="1173"/>
      <c r="G32" s="1174"/>
      <c r="H32" s="1175"/>
      <c r="I32" s="1176"/>
      <c r="J32" s="1177" t="s">
        <v>13</v>
      </c>
      <c r="K32" s="1178"/>
      <c r="L32" s="1179"/>
      <c r="M32" s="1180"/>
      <c r="N32" s="1181"/>
      <c r="O32" s="1431">
        <f t="shared" si="1"/>
        <v>1162.4000000000001</v>
      </c>
      <c r="P32" s="1250">
        <f>283.9+21.3+857.2</f>
        <v>1162.4000000000001</v>
      </c>
      <c r="Q32" s="1250"/>
      <c r="R32" s="1251"/>
      <c r="S32" s="1252"/>
      <c r="T32" s="1180"/>
      <c r="U32" s="1180"/>
      <c r="V32" s="1179"/>
      <c r="W32" s="1253">
        <f>149.3+857.2</f>
        <v>1006.5</v>
      </c>
      <c r="X32" s="1182"/>
      <c r="Y32" s="1183" t="s">
        <v>331</v>
      </c>
      <c r="Z32" s="1184">
        <v>2</v>
      </c>
      <c r="AA32" s="1184"/>
      <c r="AB32" s="1185">
        <v>1</v>
      </c>
    </row>
    <row r="33" spans="1:32" s="4" customFormat="1" ht="29.25" customHeight="1">
      <c r="A33" s="1324"/>
      <c r="B33" s="1331"/>
      <c r="C33" s="847"/>
      <c r="D33" s="982" t="s">
        <v>39</v>
      </c>
      <c r="E33" s="709" t="s">
        <v>248</v>
      </c>
      <c r="F33" s="983"/>
      <c r="G33" s="1337" t="s">
        <v>9</v>
      </c>
      <c r="H33" s="1336" t="s">
        <v>156</v>
      </c>
      <c r="I33" s="782" t="s">
        <v>175</v>
      </c>
      <c r="J33" s="80" t="s">
        <v>13</v>
      </c>
      <c r="K33" s="553">
        <f>+L33+N33</f>
        <v>64.3</v>
      </c>
      <c r="L33" s="730">
        <f>6.8+57.5</f>
        <v>64.3</v>
      </c>
      <c r="M33" s="296"/>
      <c r="N33" s="297"/>
      <c r="O33" s="1432">
        <f t="shared" si="1"/>
        <v>64.3</v>
      </c>
      <c r="P33" s="720">
        <v>64.3</v>
      </c>
      <c r="Q33" s="183"/>
      <c r="R33" s="199"/>
      <c r="S33" s="549">
        <f>+T33+V33</f>
        <v>0</v>
      </c>
      <c r="T33" s="445">
        <v>0</v>
      </c>
      <c r="U33" s="445"/>
      <c r="V33" s="984"/>
      <c r="W33" s="272">
        <v>65</v>
      </c>
      <c r="X33" s="272">
        <v>65</v>
      </c>
      <c r="Y33" s="1355" t="s">
        <v>203</v>
      </c>
      <c r="Z33" s="268">
        <v>18</v>
      </c>
      <c r="AA33" s="268">
        <v>18</v>
      </c>
      <c r="AB33" s="258">
        <v>18</v>
      </c>
    </row>
    <row r="34" spans="1:32" s="4" customFormat="1" ht="25.5" customHeight="1">
      <c r="A34" s="1324"/>
      <c r="B34" s="1331"/>
      <c r="C34" s="847"/>
      <c r="D34" s="1350" t="s">
        <v>40</v>
      </c>
      <c r="E34" s="1792" t="s">
        <v>284</v>
      </c>
      <c r="F34" s="1317"/>
      <c r="G34" s="1318" t="s">
        <v>9</v>
      </c>
      <c r="H34" s="1341" t="s">
        <v>156</v>
      </c>
      <c r="I34" s="2050" t="s">
        <v>225</v>
      </c>
      <c r="J34" s="631" t="s">
        <v>13</v>
      </c>
      <c r="K34" s="688">
        <f>+L34+N34</f>
        <v>79.5</v>
      </c>
      <c r="L34" s="1161">
        <v>79.5</v>
      </c>
      <c r="M34" s="689"/>
      <c r="N34" s="1156"/>
      <c r="O34" s="1427">
        <f t="shared" si="1"/>
        <v>63.8</v>
      </c>
      <c r="P34" s="1428">
        <v>63.8</v>
      </c>
      <c r="Q34" s="1162"/>
      <c r="R34" s="1163"/>
      <c r="S34" s="1164">
        <f>+T34+V34</f>
        <v>0</v>
      </c>
      <c r="T34" s="1157">
        <v>0</v>
      </c>
      <c r="U34" s="1157"/>
      <c r="V34" s="1158"/>
      <c r="W34" s="1159">
        <v>63.8</v>
      </c>
      <c r="X34" s="1159">
        <v>63.8</v>
      </c>
      <c r="Y34" s="1165" t="s">
        <v>173</v>
      </c>
      <c r="Z34" s="1166">
        <v>11</v>
      </c>
      <c r="AA34" s="1167">
        <v>11</v>
      </c>
      <c r="AB34" s="1168">
        <v>11</v>
      </c>
      <c r="AD34" s="90"/>
    </row>
    <row r="35" spans="1:32" s="4" customFormat="1" ht="32.25" customHeight="1" thickBot="1">
      <c r="A35" s="540"/>
      <c r="B35" s="1332"/>
      <c r="C35" s="1363"/>
      <c r="D35" s="1351"/>
      <c r="E35" s="1793"/>
      <c r="F35" s="1312"/>
      <c r="G35" s="1311"/>
      <c r="H35" s="1353"/>
      <c r="I35" s="2054"/>
      <c r="J35" s="1364" t="s">
        <v>13</v>
      </c>
      <c r="K35" s="1365"/>
      <c r="L35" s="1366"/>
      <c r="M35" s="1367"/>
      <c r="N35" s="1368"/>
      <c r="O35" s="1433">
        <f t="shared" ref="O35:O40" si="2">P35</f>
        <v>3</v>
      </c>
      <c r="P35" s="1434">
        <v>3</v>
      </c>
      <c r="Q35" s="1369"/>
      <c r="R35" s="1370"/>
      <c r="S35" s="1371">
        <f>T35</f>
        <v>0</v>
      </c>
      <c r="T35" s="1372">
        <v>0</v>
      </c>
      <c r="U35" s="1372"/>
      <c r="V35" s="1373"/>
      <c r="W35" s="1374">
        <v>3</v>
      </c>
      <c r="X35" s="1374">
        <v>3</v>
      </c>
      <c r="Y35" s="1375" t="s">
        <v>285</v>
      </c>
      <c r="Z35" s="1376">
        <v>100</v>
      </c>
      <c r="AA35" s="1310">
        <v>100</v>
      </c>
      <c r="AB35" s="1339">
        <v>100</v>
      </c>
    </row>
    <row r="36" spans="1:32" s="4" customFormat="1" ht="51" customHeight="1">
      <c r="A36" s="1377"/>
      <c r="B36" s="1333"/>
      <c r="C36" s="1349"/>
      <c r="D36" s="1378" t="s">
        <v>41</v>
      </c>
      <c r="E36" s="1379" t="s">
        <v>414</v>
      </c>
      <c r="F36" s="1315"/>
      <c r="G36" s="1357" t="s">
        <v>9</v>
      </c>
      <c r="H36" s="1380" t="s">
        <v>156</v>
      </c>
      <c r="I36" s="1381" t="s">
        <v>253</v>
      </c>
      <c r="J36" s="1382" t="s">
        <v>233</v>
      </c>
      <c r="K36" s="209">
        <f>+L36+N36</f>
        <v>81</v>
      </c>
      <c r="L36" s="210">
        <v>81</v>
      </c>
      <c r="M36" s="210"/>
      <c r="N36" s="245"/>
      <c r="O36" s="680">
        <f t="shared" si="2"/>
        <v>81.900000000000006</v>
      </c>
      <c r="P36" s="681">
        <v>81.900000000000006</v>
      </c>
      <c r="Q36" s="210"/>
      <c r="R36" s="1383"/>
      <c r="S36" s="383">
        <f>+T36+V36</f>
        <v>0</v>
      </c>
      <c r="T36" s="384">
        <v>0</v>
      </c>
      <c r="U36" s="384"/>
      <c r="V36" s="395"/>
      <c r="W36" s="1384">
        <v>81</v>
      </c>
      <c r="X36" s="1384">
        <v>81</v>
      </c>
      <c r="Y36" s="686"/>
      <c r="Z36" s="1385"/>
      <c r="AA36" s="1385"/>
      <c r="AB36" s="1386"/>
    </row>
    <row r="37" spans="1:32" s="4" customFormat="1" ht="31.5" customHeight="1">
      <c r="A37" s="1774"/>
      <c r="B37" s="1775"/>
      <c r="C37" s="1965"/>
      <c r="D37" s="1350" t="s">
        <v>35</v>
      </c>
      <c r="E37" s="1792" t="s">
        <v>415</v>
      </c>
      <c r="F37" s="2039"/>
      <c r="G37" s="1999"/>
      <c r="H37" s="2030"/>
      <c r="I37" s="569" t="s">
        <v>174</v>
      </c>
      <c r="J37" s="170" t="s">
        <v>13</v>
      </c>
      <c r="K37" s="232">
        <f>L37+N37</f>
        <v>72</v>
      </c>
      <c r="L37" s="233">
        <v>72</v>
      </c>
      <c r="M37" s="233"/>
      <c r="N37" s="244"/>
      <c r="O37" s="892">
        <f t="shared" si="2"/>
        <v>140</v>
      </c>
      <c r="P37" s="270">
        <v>140</v>
      </c>
      <c r="Q37" s="183"/>
      <c r="R37" s="273"/>
      <c r="S37" s="375">
        <f>T37+V37</f>
        <v>0</v>
      </c>
      <c r="T37" s="376">
        <v>0</v>
      </c>
      <c r="U37" s="376"/>
      <c r="V37" s="556"/>
      <c r="W37" s="599">
        <v>140</v>
      </c>
      <c r="X37" s="272">
        <v>140</v>
      </c>
      <c r="Y37" s="747" t="s">
        <v>176</v>
      </c>
      <c r="Z37" s="551">
        <v>35</v>
      </c>
      <c r="AA37" s="748">
        <v>35</v>
      </c>
      <c r="AB37" s="484">
        <v>35</v>
      </c>
    </row>
    <row r="38" spans="1:32" s="4" customFormat="1" ht="40.5" customHeight="1">
      <c r="A38" s="1774"/>
      <c r="B38" s="1775"/>
      <c r="C38" s="1965"/>
      <c r="D38" s="1350"/>
      <c r="E38" s="1792"/>
      <c r="F38" s="2039"/>
      <c r="G38" s="1999"/>
      <c r="H38" s="2030"/>
      <c r="I38" s="570" t="s">
        <v>180</v>
      </c>
      <c r="J38" s="87" t="s">
        <v>13</v>
      </c>
      <c r="K38" s="232">
        <f>L38+N38</f>
        <v>25</v>
      </c>
      <c r="L38" s="233">
        <f>16+9</f>
        <v>25</v>
      </c>
      <c r="M38" s="233"/>
      <c r="N38" s="244"/>
      <c r="O38" s="892">
        <f t="shared" si="2"/>
        <v>27</v>
      </c>
      <c r="P38" s="270">
        <v>27</v>
      </c>
      <c r="Q38" s="183"/>
      <c r="R38" s="273"/>
      <c r="S38" s="375">
        <f>T38+V38</f>
        <v>0</v>
      </c>
      <c r="T38" s="376">
        <v>0</v>
      </c>
      <c r="U38" s="376"/>
      <c r="V38" s="556"/>
      <c r="W38" s="931">
        <v>27</v>
      </c>
      <c r="X38" s="316">
        <v>27</v>
      </c>
      <c r="Y38" s="278" t="s">
        <v>252</v>
      </c>
      <c r="Z38" s="277">
        <v>65</v>
      </c>
      <c r="AA38" s="279">
        <v>65</v>
      </c>
      <c r="AB38" s="227">
        <v>65</v>
      </c>
    </row>
    <row r="39" spans="1:32" s="4" customFormat="1" ht="45.75" customHeight="1">
      <c r="A39" s="539"/>
      <c r="B39" s="1331"/>
      <c r="C39" s="1308"/>
      <c r="D39" s="529" t="s">
        <v>42</v>
      </c>
      <c r="E39" s="716" t="s">
        <v>345</v>
      </c>
      <c r="F39" s="2006"/>
      <c r="G39" s="2007" t="s">
        <v>9</v>
      </c>
      <c r="H39" s="2008" t="s">
        <v>156</v>
      </c>
      <c r="I39" s="1192" t="s">
        <v>180</v>
      </c>
      <c r="J39" s="519" t="s">
        <v>13</v>
      </c>
      <c r="K39" s="546">
        <f>+L39+N39</f>
        <v>88.4</v>
      </c>
      <c r="L39" s="547">
        <v>88.4</v>
      </c>
      <c r="M39" s="547"/>
      <c r="N39" s="548"/>
      <c r="O39" s="894">
        <f>P39</f>
        <v>85</v>
      </c>
      <c r="P39" s="895">
        <v>85</v>
      </c>
      <c r="Q39" s="547"/>
      <c r="R39" s="712"/>
      <c r="S39" s="393"/>
      <c r="T39" s="394"/>
      <c r="U39" s="394"/>
      <c r="V39" s="830"/>
      <c r="W39" s="713"/>
      <c r="X39" s="713"/>
      <c r="Y39" s="717" t="s">
        <v>297</v>
      </c>
      <c r="Z39" s="268">
        <v>10</v>
      </c>
      <c r="AA39" s="259">
        <v>10</v>
      </c>
      <c r="AB39" s="258">
        <v>10</v>
      </c>
    </row>
    <row r="40" spans="1:32" s="4" customFormat="1" ht="27.75" customHeight="1">
      <c r="A40" s="539"/>
      <c r="B40" s="1331"/>
      <c r="C40" s="1308"/>
      <c r="D40" s="1350"/>
      <c r="E40" s="1334" t="s">
        <v>222</v>
      </c>
      <c r="F40" s="1998"/>
      <c r="G40" s="1999"/>
      <c r="H40" s="2009"/>
      <c r="I40" s="1314" t="s">
        <v>201</v>
      </c>
      <c r="J40" s="243" t="s">
        <v>13</v>
      </c>
      <c r="K40" s="205">
        <f>L40+N40</f>
        <v>15</v>
      </c>
      <c r="L40" s="206">
        <v>15</v>
      </c>
      <c r="M40" s="206"/>
      <c r="N40" s="207"/>
      <c r="O40" s="683">
        <f t="shared" si="2"/>
        <v>15</v>
      </c>
      <c r="P40" s="684">
        <v>15</v>
      </c>
      <c r="Q40" s="206"/>
      <c r="R40" s="247"/>
      <c r="S40" s="407">
        <f>T40+V40</f>
        <v>0</v>
      </c>
      <c r="T40" s="408">
        <v>0</v>
      </c>
      <c r="U40" s="408"/>
      <c r="V40" s="447"/>
      <c r="W40" s="309">
        <v>15</v>
      </c>
      <c r="X40" s="309">
        <v>15</v>
      </c>
      <c r="Y40" s="617" t="s">
        <v>397</v>
      </c>
      <c r="Z40" s="275">
        <v>2</v>
      </c>
      <c r="AA40" s="343">
        <v>2</v>
      </c>
      <c r="AB40" s="344">
        <v>2</v>
      </c>
    </row>
    <row r="41" spans="1:32" s="4" customFormat="1" ht="39.75" customHeight="1">
      <c r="A41" s="539"/>
      <c r="B41" s="1331"/>
      <c r="C41" s="1308"/>
      <c r="D41" s="529" t="s">
        <v>43</v>
      </c>
      <c r="E41" s="1334" t="s">
        <v>416</v>
      </c>
      <c r="F41" s="1325"/>
      <c r="G41" s="1326" t="s">
        <v>9</v>
      </c>
      <c r="H41" s="1327" t="s">
        <v>156</v>
      </c>
      <c r="I41" s="570" t="s">
        <v>180</v>
      </c>
      <c r="J41" s="461" t="s">
        <v>13</v>
      </c>
      <c r="K41" s="205">
        <f>+L41+N41</f>
        <v>75</v>
      </c>
      <c r="L41" s="206">
        <v>75</v>
      </c>
      <c r="M41" s="206"/>
      <c r="N41" s="207"/>
      <c r="O41" s="683">
        <f>+P41+R41</f>
        <v>172</v>
      </c>
      <c r="P41" s="684">
        <f>217-45</f>
        <v>172</v>
      </c>
      <c r="Q41" s="206"/>
      <c r="R41" s="207"/>
      <c r="S41" s="1259">
        <f>+T41+V41</f>
        <v>0</v>
      </c>
      <c r="T41" s="206">
        <v>0</v>
      </c>
      <c r="U41" s="206"/>
      <c r="V41" s="247"/>
      <c r="W41" s="1286">
        <f>167</f>
        <v>167</v>
      </c>
      <c r="X41" s="309">
        <f>167</f>
        <v>167</v>
      </c>
      <c r="Y41" s="265" t="s">
        <v>365</v>
      </c>
      <c r="Z41" s="718" t="s">
        <v>298</v>
      </c>
      <c r="AA41" s="718" t="s">
        <v>298</v>
      </c>
      <c r="AB41" s="719" t="s">
        <v>298</v>
      </c>
    </row>
    <row r="42" spans="1:32" s="4" customFormat="1" ht="38.25" customHeight="1">
      <c r="A42" s="539"/>
      <c r="B42" s="1331"/>
      <c r="C42" s="1308"/>
      <c r="D42" s="1359" t="s">
        <v>44</v>
      </c>
      <c r="E42" s="1335" t="s">
        <v>251</v>
      </c>
      <c r="F42" s="1316"/>
      <c r="G42" s="1358" t="s">
        <v>9</v>
      </c>
      <c r="H42" s="602" t="s">
        <v>156</v>
      </c>
      <c r="I42" s="623" t="s">
        <v>224</v>
      </c>
      <c r="J42" s="662" t="s">
        <v>13</v>
      </c>
      <c r="K42" s="205">
        <f>L42</f>
        <v>10.8</v>
      </c>
      <c r="L42" s="206">
        <v>10.8</v>
      </c>
      <c r="M42" s="554"/>
      <c r="N42" s="555"/>
      <c r="O42" s="683">
        <f>P42</f>
        <v>16.2</v>
      </c>
      <c r="P42" s="684">
        <v>16.2</v>
      </c>
      <c r="Q42" s="554"/>
      <c r="R42" s="557"/>
      <c r="S42" s="407">
        <f>T42+V42</f>
        <v>0</v>
      </c>
      <c r="T42" s="408">
        <v>0</v>
      </c>
      <c r="U42" s="522"/>
      <c r="V42" s="552"/>
      <c r="W42" s="309">
        <v>10.8</v>
      </c>
      <c r="X42" s="309">
        <v>10.8</v>
      </c>
      <c r="Y42" s="663" t="s">
        <v>398</v>
      </c>
      <c r="Z42" s="277">
        <v>54</v>
      </c>
      <c r="AA42" s="226">
        <v>54</v>
      </c>
      <c r="AB42" s="227">
        <v>54</v>
      </c>
      <c r="AD42" s="90"/>
      <c r="AE42" s="90"/>
      <c r="AF42" s="90"/>
    </row>
    <row r="43" spans="1:32" s="4" customFormat="1" ht="15" customHeight="1" thickBot="1">
      <c r="A43" s="540"/>
      <c r="B43" s="1332"/>
      <c r="C43" s="561"/>
      <c r="D43" s="562"/>
      <c r="E43" s="562"/>
      <c r="F43" s="562"/>
      <c r="G43" s="562"/>
      <c r="H43" s="562"/>
      <c r="I43" s="1983" t="s">
        <v>204</v>
      </c>
      <c r="J43" s="2038"/>
      <c r="K43" s="563">
        <f t="shared" ref="K43:X43" si="3">SUM(K13:K42)</f>
        <v>20023.8</v>
      </c>
      <c r="L43" s="563">
        <f t="shared" si="3"/>
        <v>19938.099999999999</v>
      </c>
      <c r="M43" s="563">
        <f t="shared" si="3"/>
        <v>12775.7</v>
      </c>
      <c r="N43" s="563">
        <f t="shared" si="3"/>
        <v>85.7</v>
      </c>
      <c r="O43" s="1090">
        <f>SUM(O13:O42)</f>
        <v>22849.599999999999</v>
      </c>
      <c r="P43" s="1090">
        <f t="shared" si="3"/>
        <v>22803.599999999999</v>
      </c>
      <c r="Q43" s="563">
        <f t="shared" si="3"/>
        <v>13825</v>
      </c>
      <c r="R43" s="563">
        <f t="shared" si="3"/>
        <v>46</v>
      </c>
      <c r="S43" s="563">
        <f t="shared" si="3"/>
        <v>0</v>
      </c>
      <c r="T43" s="563">
        <f t="shared" si="3"/>
        <v>0</v>
      </c>
      <c r="U43" s="563">
        <f t="shared" si="3"/>
        <v>0</v>
      </c>
      <c r="V43" s="563">
        <f t="shared" si="3"/>
        <v>0</v>
      </c>
      <c r="W43" s="563">
        <f t="shared" si="3"/>
        <v>22432.699999999997</v>
      </c>
      <c r="X43" s="563">
        <f t="shared" si="3"/>
        <v>21431.199999999997</v>
      </c>
      <c r="Y43" s="564"/>
      <c r="Z43" s="565"/>
      <c r="AA43" s="566"/>
      <c r="AB43" s="567"/>
      <c r="AC43" s="90"/>
    </row>
    <row r="44" spans="1:32" s="4" customFormat="1" ht="25.5" customHeight="1">
      <c r="A44" s="1774" t="s">
        <v>9</v>
      </c>
      <c r="B44" s="1775" t="s">
        <v>9</v>
      </c>
      <c r="C44" s="1790" t="s">
        <v>10</v>
      </c>
      <c r="D44" s="1341"/>
      <c r="E44" s="1792" t="s">
        <v>221</v>
      </c>
      <c r="F44" s="1998"/>
      <c r="G44" s="1999" t="s">
        <v>9</v>
      </c>
      <c r="H44" s="2009" t="s">
        <v>156</v>
      </c>
      <c r="I44" s="1977" t="s">
        <v>224</v>
      </c>
      <c r="J44" s="78" t="s">
        <v>13</v>
      </c>
      <c r="K44" s="232">
        <f>L44+N44</f>
        <v>419.9</v>
      </c>
      <c r="L44" s="233">
        <v>419.9</v>
      </c>
      <c r="M44" s="233">
        <v>300.10000000000002</v>
      </c>
      <c r="N44" s="244"/>
      <c r="O44" s="270">
        <f>P44+R44</f>
        <v>449.7</v>
      </c>
      <c r="P44" s="270">
        <v>449.7</v>
      </c>
      <c r="Q44" s="270">
        <v>320.8</v>
      </c>
      <c r="R44" s="244"/>
      <c r="S44" s="383">
        <f>+T44+V44</f>
        <v>0</v>
      </c>
      <c r="T44" s="384">
        <v>0</v>
      </c>
      <c r="U44" s="384">
        <v>0</v>
      </c>
      <c r="V44" s="395"/>
      <c r="W44" s="271">
        <v>450</v>
      </c>
      <c r="X44" s="271">
        <v>450</v>
      </c>
      <c r="Y44" s="1720" t="s">
        <v>246</v>
      </c>
      <c r="Z44" s="1758">
        <v>7</v>
      </c>
      <c r="AA44" s="1758">
        <v>8</v>
      </c>
      <c r="AB44" s="1756">
        <v>9</v>
      </c>
    </row>
    <row r="45" spans="1:32" s="4" customFormat="1" ht="14.25" customHeight="1" thickBot="1">
      <c r="A45" s="1788"/>
      <c r="B45" s="1789"/>
      <c r="C45" s="1791"/>
      <c r="D45" s="1353"/>
      <c r="E45" s="1793"/>
      <c r="F45" s="1980"/>
      <c r="G45" s="1974"/>
      <c r="H45" s="1976"/>
      <c r="I45" s="1978"/>
      <c r="J45" s="414" t="s">
        <v>16</v>
      </c>
      <c r="K45" s="381">
        <f>K44</f>
        <v>419.9</v>
      </c>
      <c r="L45" s="382">
        <f>L44</f>
        <v>419.9</v>
      </c>
      <c r="M45" s="382">
        <f>M44</f>
        <v>300.10000000000002</v>
      </c>
      <c r="N45" s="382">
        <f>N44</f>
        <v>0</v>
      </c>
      <c r="O45" s="440">
        <f t="shared" ref="O45:X45" si="4">O44</f>
        <v>449.7</v>
      </c>
      <c r="P45" s="441">
        <f t="shared" si="4"/>
        <v>449.7</v>
      </c>
      <c r="Q45" s="441">
        <f>Q44</f>
        <v>320.8</v>
      </c>
      <c r="R45" s="382">
        <f t="shared" si="4"/>
        <v>0</v>
      </c>
      <c r="S45" s="381">
        <f t="shared" si="4"/>
        <v>0</v>
      </c>
      <c r="T45" s="382">
        <f t="shared" si="4"/>
        <v>0</v>
      </c>
      <c r="U45" s="382">
        <f t="shared" si="4"/>
        <v>0</v>
      </c>
      <c r="V45" s="987">
        <f t="shared" si="4"/>
        <v>0</v>
      </c>
      <c r="W45" s="415">
        <f t="shared" si="4"/>
        <v>450</v>
      </c>
      <c r="X45" s="415">
        <f t="shared" si="4"/>
        <v>450</v>
      </c>
      <c r="Y45" s="1721"/>
      <c r="Z45" s="1759"/>
      <c r="AA45" s="1759"/>
      <c r="AB45" s="1757"/>
    </row>
    <row r="46" spans="1:32" s="4" customFormat="1" ht="23.25" customHeight="1">
      <c r="A46" s="1774" t="s">
        <v>9</v>
      </c>
      <c r="B46" s="1775" t="s">
        <v>9</v>
      </c>
      <c r="C46" s="1790" t="s">
        <v>11</v>
      </c>
      <c r="D46" s="1341"/>
      <c r="E46" s="1792" t="s">
        <v>151</v>
      </c>
      <c r="F46" s="1998"/>
      <c r="G46" s="1999" t="s">
        <v>9</v>
      </c>
      <c r="H46" s="2009" t="s">
        <v>156</v>
      </c>
      <c r="I46" s="1977" t="s">
        <v>224</v>
      </c>
      <c r="J46" s="80" t="s">
        <v>13</v>
      </c>
      <c r="K46" s="232">
        <f>+L46+N46</f>
        <v>743.1</v>
      </c>
      <c r="L46" s="233">
        <v>743.1</v>
      </c>
      <c r="M46" s="233">
        <v>248.1</v>
      </c>
      <c r="N46" s="244"/>
      <c r="O46" s="269">
        <f>P46</f>
        <v>844.9</v>
      </c>
      <c r="P46" s="270">
        <v>844.9</v>
      </c>
      <c r="Q46" s="270">
        <v>306.89999999999998</v>
      </c>
      <c r="R46" s="199"/>
      <c r="S46" s="375">
        <f>+T46+V46</f>
        <v>0</v>
      </c>
      <c r="T46" s="376">
        <v>0</v>
      </c>
      <c r="U46" s="376">
        <v>0</v>
      </c>
      <c r="V46" s="556"/>
      <c r="W46" s="271">
        <v>844</v>
      </c>
      <c r="X46" s="271">
        <v>844</v>
      </c>
      <c r="Y46" s="1722" t="s">
        <v>245</v>
      </c>
      <c r="Z46" s="1320">
        <v>31</v>
      </c>
      <c r="AA46" s="1320">
        <v>31</v>
      </c>
      <c r="AB46" s="1328">
        <v>31</v>
      </c>
    </row>
    <row r="47" spans="1:32" s="4" customFormat="1" ht="15.75" customHeight="1" thickBot="1">
      <c r="A47" s="1788"/>
      <c r="B47" s="1789"/>
      <c r="C47" s="1791"/>
      <c r="D47" s="1353"/>
      <c r="E47" s="1793"/>
      <c r="F47" s="1980"/>
      <c r="G47" s="1974"/>
      <c r="H47" s="1976"/>
      <c r="I47" s="1978"/>
      <c r="J47" s="414" t="s">
        <v>16</v>
      </c>
      <c r="K47" s="381">
        <f>K46</f>
        <v>743.1</v>
      </c>
      <c r="L47" s="382">
        <f>L46</f>
        <v>743.1</v>
      </c>
      <c r="M47" s="382">
        <f>M46</f>
        <v>248.1</v>
      </c>
      <c r="N47" s="382">
        <f>N46</f>
        <v>0</v>
      </c>
      <c r="O47" s="440">
        <f>O46</f>
        <v>844.9</v>
      </c>
      <c r="P47" s="441">
        <f t="shared" ref="P47:Q47" si="5">P46</f>
        <v>844.9</v>
      </c>
      <c r="Q47" s="441">
        <f t="shared" si="5"/>
        <v>306.89999999999998</v>
      </c>
      <c r="R47" s="441">
        <f t="shared" ref="R47:X47" si="6">R46</f>
        <v>0</v>
      </c>
      <c r="S47" s="381">
        <f>S46</f>
        <v>0</v>
      </c>
      <c r="T47" s="382">
        <f t="shared" si="6"/>
        <v>0</v>
      </c>
      <c r="U47" s="382">
        <f t="shared" si="6"/>
        <v>0</v>
      </c>
      <c r="V47" s="987">
        <f t="shared" si="6"/>
        <v>0</v>
      </c>
      <c r="W47" s="415">
        <f t="shared" si="6"/>
        <v>844</v>
      </c>
      <c r="X47" s="415">
        <f t="shared" si="6"/>
        <v>844</v>
      </c>
      <c r="Y47" s="1797"/>
      <c r="Z47" s="1321"/>
      <c r="AA47" s="1321"/>
      <c r="AB47" s="1329"/>
    </row>
    <row r="48" spans="1:32" s="4" customFormat="1" ht="21.75" customHeight="1">
      <c r="A48" s="1802" t="s">
        <v>9</v>
      </c>
      <c r="B48" s="1803" t="s">
        <v>9</v>
      </c>
      <c r="C48" s="1805" t="s">
        <v>12</v>
      </c>
      <c r="D48" s="1352"/>
      <c r="E48" s="1806" t="s">
        <v>240</v>
      </c>
      <c r="F48" s="1979"/>
      <c r="G48" s="1973" t="s">
        <v>9</v>
      </c>
      <c r="H48" s="1975" t="s">
        <v>156</v>
      </c>
      <c r="I48" s="1977" t="s">
        <v>224</v>
      </c>
      <c r="J48" s="169" t="s">
        <v>13</v>
      </c>
      <c r="K48" s="209">
        <f>+L48+N48</f>
        <v>287.60000000000002</v>
      </c>
      <c r="L48" s="210">
        <v>287.60000000000002</v>
      </c>
      <c r="M48" s="210">
        <v>197.1</v>
      </c>
      <c r="N48" s="245"/>
      <c r="O48" s="681">
        <f>P48+R48</f>
        <v>316.79999999999995</v>
      </c>
      <c r="P48" s="681">
        <v>297.39999999999998</v>
      </c>
      <c r="Q48" s="681">
        <v>220.5</v>
      </c>
      <c r="R48" s="963">
        <v>19.399999999999999</v>
      </c>
      <c r="S48" s="383">
        <f>+T48+V48</f>
        <v>0</v>
      </c>
      <c r="T48" s="384">
        <v>0</v>
      </c>
      <c r="U48" s="384">
        <v>0</v>
      </c>
      <c r="V48" s="395"/>
      <c r="W48" s="333">
        <v>320</v>
      </c>
      <c r="X48" s="333">
        <v>320</v>
      </c>
      <c r="Y48" s="1720" t="s">
        <v>181</v>
      </c>
      <c r="Z48" s="1798">
        <v>7</v>
      </c>
      <c r="AA48" s="1798">
        <v>7</v>
      </c>
      <c r="AB48" s="1800">
        <v>7</v>
      </c>
    </row>
    <row r="49" spans="1:35" s="4" customFormat="1" ht="17.25" customHeight="1" thickBot="1">
      <c r="A49" s="1788"/>
      <c r="B49" s="1804"/>
      <c r="C49" s="1791"/>
      <c r="D49" s="1353"/>
      <c r="E49" s="1793"/>
      <c r="F49" s="1980"/>
      <c r="G49" s="1974"/>
      <c r="H49" s="1976"/>
      <c r="I49" s="1978"/>
      <c r="J49" s="412" t="s">
        <v>16</v>
      </c>
      <c r="K49" s="379">
        <f>K48</f>
        <v>287.60000000000002</v>
      </c>
      <c r="L49" s="380">
        <f>L48</f>
        <v>287.60000000000002</v>
      </c>
      <c r="M49" s="380">
        <f>M48</f>
        <v>197.1</v>
      </c>
      <c r="N49" s="380">
        <f>N48</f>
        <v>0</v>
      </c>
      <c r="O49" s="777">
        <f t="shared" ref="O49:X49" si="7">O48</f>
        <v>316.79999999999995</v>
      </c>
      <c r="P49" s="775">
        <f t="shared" si="7"/>
        <v>297.39999999999998</v>
      </c>
      <c r="Q49" s="775">
        <f t="shared" si="7"/>
        <v>220.5</v>
      </c>
      <c r="R49" s="775">
        <f t="shared" si="7"/>
        <v>19.399999999999999</v>
      </c>
      <c r="S49" s="379">
        <f t="shared" si="7"/>
        <v>0</v>
      </c>
      <c r="T49" s="380">
        <f t="shared" si="7"/>
        <v>0</v>
      </c>
      <c r="U49" s="380">
        <f t="shared" si="7"/>
        <v>0</v>
      </c>
      <c r="V49" s="988">
        <f t="shared" si="7"/>
        <v>0</v>
      </c>
      <c r="W49" s="416">
        <f t="shared" si="7"/>
        <v>320</v>
      </c>
      <c r="X49" s="416">
        <f t="shared" si="7"/>
        <v>320</v>
      </c>
      <c r="Y49" s="1721"/>
      <c r="Z49" s="1799"/>
      <c r="AA49" s="1799"/>
      <c r="AB49" s="1801"/>
    </row>
    <row r="50" spans="1:35" s="4" customFormat="1" ht="21.75" customHeight="1">
      <c r="A50" s="1802" t="s">
        <v>9</v>
      </c>
      <c r="B50" s="1803" t="s">
        <v>9</v>
      </c>
      <c r="C50" s="1805" t="s">
        <v>34</v>
      </c>
      <c r="D50" s="1352"/>
      <c r="E50" s="1806" t="s">
        <v>260</v>
      </c>
      <c r="F50" s="1979"/>
      <c r="G50" s="1973" t="s">
        <v>9</v>
      </c>
      <c r="H50" s="1975" t="s">
        <v>156</v>
      </c>
      <c r="I50" s="1356" t="s">
        <v>201</v>
      </c>
      <c r="J50" s="78" t="s">
        <v>13</v>
      </c>
      <c r="K50" s="209">
        <f>+L50+N50</f>
        <v>28.9</v>
      </c>
      <c r="L50" s="210">
        <v>28.9</v>
      </c>
      <c r="M50" s="210"/>
      <c r="N50" s="245"/>
      <c r="O50" s="1063">
        <f>+P50+R50</f>
        <v>42.4</v>
      </c>
      <c r="P50" s="1064">
        <v>42.4</v>
      </c>
      <c r="Q50" s="681"/>
      <c r="R50" s="1065"/>
      <c r="S50" s="383">
        <f>+T50+V50</f>
        <v>0</v>
      </c>
      <c r="T50" s="384">
        <v>0</v>
      </c>
      <c r="U50" s="384"/>
      <c r="V50" s="395"/>
      <c r="W50" s="271">
        <v>42</v>
      </c>
      <c r="X50" s="271">
        <v>42</v>
      </c>
      <c r="Y50" s="1313"/>
      <c r="Z50" s="1320"/>
      <c r="AA50" s="1320"/>
      <c r="AB50" s="1328"/>
      <c r="AI50" s="1067"/>
    </row>
    <row r="51" spans="1:35" s="4" customFormat="1" ht="14.25" customHeight="1">
      <c r="A51" s="1873"/>
      <c r="B51" s="1876"/>
      <c r="C51" s="1878"/>
      <c r="D51" s="994"/>
      <c r="E51" s="2022"/>
      <c r="F51" s="2020"/>
      <c r="G51" s="2021"/>
      <c r="H51" s="2019"/>
      <c r="I51" s="1347"/>
      <c r="J51" s="1075" t="s">
        <v>16</v>
      </c>
      <c r="K51" s="1076">
        <f>K50</f>
        <v>28.9</v>
      </c>
      <c r="L51" s="1077">
        <f>L50</f>
        <v>28.9</v>
      </c>
      <c r="M51" s="1077">
        <f>M50</f>
        <v>0</v>
      </c>
      <c r="N51" s="1077">
        <f>N50</f>
        <v>0</v>
      </c>
      <c r="O51" s="1078">
        <f t="shared" ref="O51:X51" si="8">SUM(O50:O50)</f>
        <v>42.4</v>
      </c>
      <c r="P51" s="1078">
        <f t="shared" si="8"/>
        <v>42.4</v>
      </c>
      <c r="Q51" s="1078">
        <f t="shared" si="8"/>
        <v>0</v>
      </c>
      <c r="R51" s="1078">
        <f t="shared" si="8"/>
        <v>0</v>
      </c>
      <c r="S51" s="1078">
        <f t="shared" si="8"/>
        <v>0</v>
      </c>
      <c r="T51" s="1078">
        <f t="shared" si="8"/>
        <v>0</v>
      </c>
      <c r="U51" s="1078">
        <f t="shared" si="8"/>
        <v>0</v>
      </c>
      <c r="V51" s="1078">
        <f t="shared" si="8"/>
        <v>0</v>
      </c>
      <c r="W51" s="1078">
        <f t="shared" si="8"/>
        <v>42</v>
      </c>
      <c r="X51" s="1078">
        <f t="shared" si="8"/>
        <v>42</v>
      </c>
      <c r="Y51" s="215"/>
      <c r="Z51" s="1079"/>
      <c r="AA51" s="259"/>
      <c r="AB51" s="258"/>
    </row>
    <row r="52" spans="1:35" s="4" customFormat="1" ht="28.5" customHeight="1">
      <c r="A52" s="1324" t="s">
        <v>9</v>
      </c>
      <c r="B52" s="352" t="s">
        <v>9</v>
      </c>
      <c r="C52" s="572" t="s">
        <v>36</v>
      </c>
      <c r="D52" s="1341"/>
      <c r="E52" s="1354" t="s">
        <v>242</v>
      </c>
      <c r="F52" s="1071"/>
      <c r="G52" s="1072"/>
      <c r="H52" s="1338"/>
      <c r="I52" s="1197"/>
      <c r="J52" s="80" t="s">
        <v>13</v>
      </c>
      <c r="K52" s="232"/>
      <c r="L52" s="233"/>
      <c r="M52" s="233"/>
      <c r="N52" s="244"/>
      <c r="O52" s="705"/>
      <c r="P52" s="270"/>
      <c r="Q52" s="1073"/>
      <c r="R52" s="1074"/>
      <c r="S52" s="375"/>
      <c r="T52" s="376"/>
      <c r="U52" s="376"/>
      <c r="V52" s="556"/>
      <c r="W52" s="272"/>
      <c r="X52" s="272"/>
      <c r="Y52" s="215"/>
      <c r="Z52" s="268"/>
      <c r="AA52" s="259"/>
      <c r="AB52" s="258"/>
    </row>
    <row r="53" spans="1:35" s="4" customFormat="1" ht="40.5" customHeight="1">
      <c r="A53" s="1324"/>
      <c r="B53" s="352"/>
      <c r="C53" s="572"/>
      <c r="D53" s="602" t="s">
        <v>9</v>
      </c>
      <c r="E53" s="1335" t="s">
        <v>223</v>
      </c>
      <c r="F53" s="443"/>
      <c r="G53" s="442" t="s">
        <v>9</v>
      </c>
      <c r="H53" s="444" t="s">
        <v>156</v>
      </c>
      <c r="I53" s="854" t="s">
        <v>224</v>
      </c>
      <c r="J53" s="80" t="s">
        <v>13</v>
      </c>
      <c r="K53" s="295">
        <f>L53+N53</f>
        <v>117</v>
      </c>
      <c r="L53" s="296">
        <v>117</v>
      </c>
      <c r="M53" s="849"/>
      <c r="N53" s="850"/>
      <c r="O53" s="771">
        <f>P53+R53</f>
        <v>117.8</v>
      </c>
      <c r="P53" s="684">
        <v>117.8</v>
      </c>
      <c r="Q53" s="761"/>
      <c r="R53" s="964"/>
      <c r="S53" s="520">
        <f>T53+V53</f>
        <v>0</v>
      </c>
      <c r="T53" s="521">
        <v>0</v>
      </c>
      <c r="U53" s="521"/>
      <c r="V53" s="989"/>
      <c r="W53" s="851">
        <v>117.8</v>
      </c>
      <c r="X53" s="851">
        <v>118</v>
      </c>
      <c r="Y53" s="215" t="s">
        <v>219</v>
      </c>
      <c r="Z53" s="268">
        <v>1</v>
      </c>
      <c r="AA53" s="259">
        <v>1</v>
      </c>
      <c r="AB53" s="258">
        <v>1</v>
      </c>
    </row>
    <row r="54" spans="1:35" s="4" customFormat="1" ht="78.75" customHeight="1">
      <c r="A54" s="1324"/>
      <c r="B54" s="352"/>
      <c r="C54" s="572"/>
      <c r="D54" s="870" t="s">
        <v>10</v>
      </c>
      <c r="E54" s="871" t="s">
        <v>323</v>
      </c>
      <c r="F54" s="858"/>
      <c r="G54" s="859" t="s">
        <v>9</v>
      </c>
      <c r="H54" s="860" t="s">
        <v>157</v>
      </c>
      <c r="I54" s="855" t="s">
        <v>226</v>
      </c>
      <c r="J54" s="861" t="s">
        <v>13</v>
      </c>
      <c r="K54" s="862">
        <f>L54</f>
        <v>77.400000000000006</v>
      </c>
      <c r="L54" s="863">
        <v>77.400000000000006</v>
      </c>
      <c r="M54" s="863"/>
      <c r="N54" s="864"/>
      <c r="O54" s="965">
        <f>P54+R54</f>
        <v>92</v>
      </c>
      <c r="P54" s="654">
        <v>92</v>
      </c>
      <c r="Q54" s="966"/>
      <c r="R54" s="967"/>
      <c r="S54" s="865">
        <f>T54</f>
        <v>0</v>
      </c>
      <c r="T54" s="866"/>
      <c r="U54" s="866"/>
      <c r="V54" s="990"/>
      <c r="W54" s="867">
        <v>92</v>
      </c>
      <c r="X54" s="867">
        <v>92</v>
      </c>
      <c r="Y54" s="868" t="s">
        <v>399</v>
      </c>
      <c r="Z54" s="668">
        <v>7</v>
      </c>
      <c r="AA54" s="791">
        <v>7</v>
      </c>
      <c r="AB54" s="669">
        <v>7</v>
      </c>
    </row>
    <row r="55" spans="1:35" s="4" customFormat="1" ht="43.5" customHeight="1">
      <c r="A55" s="1324"/>
      <c r="B55" s="352"/>
      <c r="C55" s="572"/>
      <c r="D55" s="1336" t="s">
        <v>11</v>
      </c>
      <c r="E55" s="869" t="s">
        <v>310</v>
      </c>
      <c r="F55" s="856"/>
      <c r="G55" s="857"/>
      <c r="H55" s="1336"/>
      <c r="I55" s="853"/>
      <c r="J55" s="300" t="s">
        <v>13</v>
      </c>
      <c r="K55" s="448">
        <f>L55</f>
        <v>20</v>
      </c>
      <c r="L55" s="449">
        <v>20</v>
      </c>
      <c r="M55" s="449"/>
      <c r="N55" s="576"/>
      <c r="O55" s="303">
        <f>P55</f>
        <v>15.8</v>
      </c>
      <c r="P55" s="301">
        <v>15.8</v>
      </c>
      <c r="Q55" s="301"/>
      <c r="R55" s="968"/>
      <c r="S55" s="450">
        <f>T55+V55</f>
        <v>0</v>
      </c>
      <c r="T55" s="451">
        <v>0</v>
      </c>
      <c r="U55" s="451"/>
      <c r="V55" s="991"/>
      <c r="W55" s="355">
        <v>40</v>
      </c>
      <c r="X55" s="355">
        <v>40</v>
      </c>
      <c r="Y55" s="314" t="s">
        <v>366</v>
      </c>
      <c r="Z55" s="470">
        <v>2</v>
      </c>
      <c r="AA55" s="470">
        <v>5</v>
      </c>
      <c r="AB55" s="471">
        <v>5</v>
      </c>
    </row>
    <row r="56" spans="1:35" s="4" customFormat="1" ht="16.5" customHeight="1" thickBot="1">
      <c r="A56" s="1330"/>
      <c r="B56" s="1332"/>
      <c r="C56" s="561"/>
      <c r="D56" s="562"/>
      <c r="E56" s="562"/>
      <c r="F56" s="562"/>
      <c r="G56" s="562"/>
      <c r="H56" s="562"/>
      <c r="I56" s="1983" t="s">
        <v>204</v>
      </c>
      <c r="J56" s="1984"/>
      <c r="K56" s="575">
        <f>SUM(K53:K55)</f>
        <v>214.4</v>
      </c>
      <c r="L56" s="852">
        <f t="shared" ref="L56:X56" si="9">SUM(L53:L55)</f>
        <v>214.4</v>
      </c>
      <c r="M56" s="852">
        <f t="shared" si="9"/>
        <v>0</v>
      </c>
      <c r="N56" s="577">
        <f t="shared" si="9"/>
        <v>0</v>
      </c>
      <c r="O56" s="969">
        <f>SUM(O53:O55)</f>
        <v>225.60000000000002</v>
      </c>
      <c r="P56" s="969">
        <f t="shared" si="9"/>
        <v>225.60000000000002</v>
      </c>
      <c r="Q56" s="969">
        <f t="shared" si="9"/>
        <v>0</v>
      </c>
      <c r="R56" s="969">
        <f t="shared" si="9"/>
        <v>0</v>
      </c>
      <c r="S56" s="575">
        <f t="shared" si="9"/>
        <v>0</v>
      </c>
      <c r="T56" s="852">
        <f t="shared" si="9"/>
        <v>0</v>
      </c>
      <c r="U56" s="852">
        <f t="shared" si="9"/>
        <v>0</v>
      </c>
      <c r="V56" s="992">
        <f t="shared" si="9"/>
        <v>0</v>
      </c>
      <c r="W56" s="573">
        <f t="shared" si="9"/>
        <v>249.8</v>
      </c>
      <c r="X56" s="573">
        <f t="shared" si="9"/>
        <v>250</v>
      </c>
      <c r="Y56" s="589"/>
      <c r="Z56" s="708"/>
      <c r="AA56" s="708"/>
      <c r="AB56" s="590"/>
    </row>
    <row r="57" spans="1:35" s="79" customFormat="1" ht="19.5" customHeight="1">
      <c r="A57" s="1774" t="s">
        <v>9</v>
      </c>
      <c r="B57" s="1811" t="s">
        <v>9</v>
      </c>
      <c r="C57" s="1790" t="s">
        <v>39</v>
      </c>
      <c r="D57" s="237"/>
      <c r="E57" s="1812" t="s">
        <v>29</v>
      </c>
      <c r="F57" s="1963"/>
      <c r="G57" s="1988" t="s">
        <v>9</v>
      </c>
      <c r="H57" s="2027" t="s">
        <v>156</v>
      </c>
      <c r="I57" s="1990" t="s">
        <v>227</v>
      </c>
      <c r="J57" s="282" t="s">
        <v>13</v>
      </c>
      <c r="K57" s="578">
        <f>L57+N57</f>
        <v>14389.3</v>
      </c>
      <c r="L57" s="463">
        <v>4035.5</v>
      </c>
      <c r="M57" s="463"/>
      <c r="N57" s="480">
        <v>10353.799999999999</v>
      </c>
      <c r="O57" s="184">
        <f>P57+R57</f>
        <v>14910</v>
      </c>
      <c r="P57" s="185">
        <v>4373.3</v>
      </c>
      <c r="Q57" s="351"/>
      <c r="R57" s="186">
        <v>10536.7</v>
      </c>
      <c r="S57" s="386">
        <f>T57+V57</f>
        <v>0</v>
      </c>
      <c r="T57" s="378">
        <v>0</v>
      </c>
      <c r="U57" s="378"/>
      <c r="V57" s="636">
        <v>0</v>
      </c>
      <c r="W57" s="670">
        <v>16139.8</v>
      </c>
      <c r="X57" s="671">
        <v>13793.1</v>
      </c>
      <c r="Y57" s="1722" t="s">
        <v>209</v>
      </c>
      <c r="Z57" s="368">
        <v>6</v>
      </c>
      <c r="AA57" s="368">
        <v>7</v>
      </c>
      <c r="AB57" s="370">
        <v>8</v>
      </c>
    </row>
    <row r="58" spans="1:35" s="79" customFormat="1" ht="16.5" customHeight="1" thickBot="1">
      <c r="A58" s="1788"/>
      <c r="B58" s="1804"/>
      <c r="C58" s="1791"/>
      <c r="D58" s="238"/>
      <c r="E58" s="1813"/>
      <c r="F58" s="1964"/>
      <c r="G58" s="1989"/>
      <c r="H58" s="2011"/>
      <c r="I58" s="1991"/>
      <c r="J58" s="452" t="s">
        <v>16</v>
      </c>
      <c r="K58" s="453">
        <f>SUM(K57:K57)</f>
        <v>14389.3</v>
      </c>
      <c r="L58" s="454">
        <f>SUM(L57:L57)</f>
        <v>4035.5</v>
      </c>
      <c r="M58" s="454">
        <f>SUM(M57:M57)</f>
        <v>0</v>
      </c>
      <c r="N58" s="455">
        <f>SUM(N57:N57)</f>
        <v>10353.799999999999</v>
      </c>
      <c r="O58" s="379">
        <f>O57</f>
        <v>14910</v>
      </c>
      <c r="P58" s="380">
        <f>P57</f>
        <v>4373.3</v>
      </c>
      <c r="Q58" s="380">
        <f>Q57</f>
        <v>0</v>
      </c>
      <c r="R58" s="456">
        <f>R57</f>
        <v>10536.7</v>
      </c>
      <c r="S58" s="387">
        <f t="shared" ref="S58:X58" si="10">SUM(S57:S57)</f>
        <v>0</v>
      </c>
      <c r="T58" s="388">
        <f>SUM(T57:T57)</f>
        <v>0</v>
      </c>
      <c r="U58" s="388">
        <f t="shared" si="10"/>
        <v>0</v>
      </c>
      <c r="V58" s="993">
        <f t="shared" si="10"/>
        <v>0</v>
      </c>
      <c r="W58" s="413">
        <f t="shared" si="10"/>
        <v>16139.8</v>
      </c>
      <c r="X58" s="418">
        <f t="shared" si="10"/>
        <v>13793.1</v>
      </c>
      <c r="Y58" s="1723"/>
      <c r="Z58" s="369"/>
      <c r="AA58" s="369"/>
      <c r="AB58" s="371"/>
    </row>
    <row r="59" spans="1:35" s="79" customFormat="1" ht="20.100000000000001" customHeight="1">
      <c r="A59" s="1802" t="s">
        <v>9</v>
      </c>
      <c r="B59" s="1803" t="s">
        <v>9</v>
      </c>
      <c r="C59" s="1790" t="s">
        <v>39</v>
      </c>
      <c r="D59" s="237"/>
      <c r="E59" s="1831" t="s">
        <v>184</v>
      </c>
      <c r="F59" s="1963"/>
      <c r="G59" s="2000" t="s">
        <v>9</v>
      </c>
      <c r="H59" s="2010" t="s">
        <v>156</v>
      </c>
      <c r="I59" s="1986" t="s">
        <v>224</v>
      </c>
      <c r="J59" s="306" t="s">
        <v>13</v>
      </c>
      <c r="K59" s="217">
        <f>L59+N59</f>
        <v>100</v>
      </c>
      <c r="L59" s="218">
        <v>100</v>
      </c>
      <c r="M59" s="218"/>
      <c r="N59" s="246"/>
      <c r="O59" s="290">
        <f>P59+R59</f>
        <v>100</v>
      </c>
      <c r="P59" s="291">
        <v>100</v>
      </c>
      <c r="Q59" s="292"/>
      <c r="R59" s="293"/>
      <c r="S59" s="390">
        <f>T59+V59</f>
        <v>0</v>
      </c>
      <c r="T59" s="391">
        <v>0</v>
      </c>
      <c r="U59" s="391"/>
      <c r="V59" s="399"/>
      <c r="W59" s="204">
        <v>100</v>
      </c>
      <c r="X59" s="211">
        <v>100</v>
      </c>
      <c r="Y59" s="212"/>
      <c r="Z59" s="224"/>
      <c r="AA59" s="224"/>
      <c r="AB59" s="225"/>
    </row>
    <row r="60" spans="1:35" s="79" customFormat="1" ht="20.100000000000001" customHeight="1" thickBot="1">
      <c r="A60" s="1788"/>
      <c r="B60" s="1804"/>
      <c r="C60" s="1791"/>
      <c r="D60" s="238"/>
      <c r="E60" s="1813"/>
      <c r="F60" s="1964"/>
      <c r="G60" s="1989"/>
      <c r="H60" s="2011"/>
      <c r="I60" s="1987"/>
      <c r="J60" s="419" t="s">
        <v>16</v>
      </c>
      <c r="K60" s="392">
        <f>SUM(K59:K59)</f>
        <v>100</v>
      </c>
      <c r="L60" s="388">
        <f>SUM(L59:L59)</f>
        <v>100</v>
      </c>
      <c r="M60" s="388">
        <f>SUM(M59:M59)</f>
        <v>0</v>
      </c>
      <c r="N60" s="389">
        <f>SUM(N59:N59)</f>
        <v>0</v>
      </c>
      <c r="O60" s="392">
        <f>O59</f>
        <v>100</v>
      </c>
      <c r="P60" s="388">
        <f>P59</f>
        <v>100</v>
      </c>
      <c r="Q60" s="388">
        <f>Q59</f>
        <v>0</v>
      </c>
      <c r="R60" s="389">
        <f t="shared" ref="R60:X60" si="11">SUM(R59:R59)</f>
        <v>0</v>
      </c>
      <c r="S60" s="392">
        <f t="shared" si="11"/>
        <v>0</v>
      </c>
      <c r="T60" s="388">
        <f t="shared" si="11"/>
        <v>0</v>
      </c>
      <c r="U60" s="388">
        <f t="shared" si="11"/>
        <v>0</v>
      </c>
      <c r="V60" s="993">
        <f t="shared" si="11"/>
        <v>0</v>
      </c>
      <c r="W60" s="413">
        <f t="shared" si="11"/>
        <v>100</v>
      </c>
      <c r="X60" s="418">
        <f t="shared" si="11"/>
        <v>100</v>
      </c>
      <c r="Y60" s="213"/>
      <c r="Z60" s="228"/>
      <c r="AA60" s="228"/>
      <c r="AB60" s="229"/>
    </row>
    <row r="61" spans="1:35" s="4" customFormat="1" ht="15.75" customHeight="1">
      <c r="A61" s="541" t="s">
        <v>9</v>
      </c>
      <c r="B61" s="235" t="s">
        <v>9</v>
      </c>
      <c r="C61" s="579" t="s">
        <v>41</v>
      </c>
      <c r="D61" s="360"/>
      <c r="E61" s="1823" t="s">
        <v>241</v>
      </c>
      <c r="F61" s="248"/>
      <c r="G61" s="249" t="s">
        <v>9</v>
      </c>
      <c r="H61" s="1147">
        <v>1</v>
      </c>
      <c r="I61" s="1961" t="s">
        <v>228</v>
      </c>
      <c r="J61" s="294" t="s">
        <v>13</v>
      </c>
      <c r="K61" s="209"/>
      <c r="L61" s="210"/>
      <c r="M61" s="210"/>
      <c r="N61" s="245"/>
      <c r="O61" s="1562"/>
      <c r="P61" s="193"/>
      <c r="Q61" s="194"/>
      <c r="R61" s="195"/>
      <c r="S61" s="438"/>
      <c r="T61" s="384"/>
      <c r="U61" s="384"/>
      <c r="V61" s="395"/>
      <c r="W61" s="196"/>
      <c r="X61" s="334"/>
      <c r="Y61" s="472"/>
      <c r="Z61" s="341"/>
      <c r="AA61" s="473"/>
      <c r="AB61" s="1146"/>
    </row>
    <row r="62" spans="1:35" s="4" customFormat="1" ht="17.25" customHeight="1">
      <c r="A62" s="534"/>
      <c r="B62" s="236"/>
      <c r="C62" s="559"/>
      <c r="D62" s="359"/>
      <c r="E62" s="1778"/>
      <c r="F62" s="250"/>
      <c r="G62" s="251"/>
      <c r="H62" s="530"/>
      <c r="I62" s="1962"/>
      <c r="J62" s="171" t="s">
        <v>138</v>
      </c>
      <c r="K62" s="205"/>
      <c r="L62" s="206"/>
      <c r="M62" s="206"/>
      <c r="N62" s="207"/>
      <c r="O62" s="1563"/>
      <c r="P62" s="189"/>
      <c r="Q62" s="825"/>
      <c r="R62" s="203"/>
      <c r="S62" s="439"/>
      <c r="T62" s="408"/>
      <c r="U62" s="408"/>
      <c r="V62" s="447"/>
      <c r="W62" s="191"/>
      <c r="X62" s="190"/>
      <c r="Y62" s="838"/>
      <c r="Z62" s="342"/>
      <c r="AA62" s="824"/>
      <c r="AB62" s="344"/>
    </row>
    <row r="63" spans="1:35" s="4" customFormat="1" ht="18.75" customHeight="1">
      <c r="A63" s="534"/>
      <c r="B63" s="236"/>
      <c r="C63" s="559"/>
      <c r="D63" s="359"/>
      <c r="E63" s="1725"/>
      <c r="F63" s="250"/>
      <c r="G63" s="251"/>
      <c r="H63" s="530"/>
      <c r="I63" s="1962"/>
      <c r="J63" s="633" t="s">
        <v>14</v>
      </c>
      <c r="K63" s="464"/>
      <c r="L63" s="463"/>
      <c r="M63" s="463"/>
      <c r="N63" s="480"/>
      <c r="O63" s="1564"/>
      <c r="P63" s="291"/>
      <c r="Q63" s="820"/>
      <c r="R63" s="821"/>
      <c r="S63" s="386"/>
      <c r="T63" s="378"/>
      <c r="U63" s="378"/>
      <c r="V63" s="636"/>
      <c r="W63" s="822"/>
      <c r="X63" s="823"/>
      <c r="Y63" s="215"/>
      <c r="Z63" s="268"/>
      <c r="AA63" s="280"/>
      <c r="AB63" s="258"/>
    </row>
    <row r="64" spans="1:35" s="4" customFormat="1" ht="26.25" customHeight="1">
      <c r="A64" s="534"/>
      <c r="B64" s="236"/>
      <c r="C64" s="559"/>
      <c r="D64" s="2018" t="s">
        <v>9</v>
      </c>
      <c r="E64" s="1824" t="s">
        <v>417</v>
      </c>
      <c r="F64" s="250"/>
      <c r="G64" s="251"/>
      <c r="H64" s="530"/>
      <c r="I64" s="1962"/>
      <c r="J64" s="87" t="s">
        <v>13</v>
      </c>
      <c r="K64" s="546">
        <f>L64+N64</f>
        <v>120</v>
      </c>
      <c r="L64" s="547">
        <v>120</v>
      </c>
      <c r="M64" s="547"/>
      <c r="N64" s="548"/>
      <c r="O64" s="1565">
        <f>R64+P64</f>
        <v>125.4</v>
      </c>
      <c r="P64" s="827">
        <v>125.4</v>
      </c>
      <c r="Q64" s="828"/>
      <c r="R64" s="829"/>
      <c r="S64" s="1057">
        <f>T64+V64</f>
        <v>0</v>
      </c>
      <c r="T64" s="394">
        <v>0</v>
      </c>
      <c r="U64" s="394"/>
      <c r="V64" s="830"/>
      <c r="W64" s="831">
        <v>313.5</v>
      </c>
      <c r="X64" s="832">
        <v>313.5</v>
      </c>
      <c r="Y64" s="826" t="s">
        <v>400</v>
      </c>
      <c r="Z64" s="342">
        <v>100</v>
      </c>
      <c r="AA64" s="824">
        <v>100</v>
      </c>
      <c r="AB64" s="344">
        <v>100</v>
      </c>
    </row>
    <row r="65" spans="1:31" s="4" customFormat="1" ht="27" customHeight="1">
      <c r="A65" s="534"/>
      <c r="B65" s="236"/>
      <c r="C65" s="559"/>
      <c r="D65" s="1790"/>
      <c r="E65" s="1824"/>
      <c r="F65" s="250"/>
      <c r="G65" s="251"/>
      <c r="H65" s="530"/>
      <c r="I65" s="1962"/>
      <c r="J65" s="640" t="s">
        <v>138</v>
      </c>
      <c r="K65" s="641">
        <f>L65</f>
        <v>100</v>
      </c>
      <c r="L65" s="642">
        <v>100</v>
      </c>
      <c r="M65" s="642"/>
      <c r="N65" s="643"/>
      <c r="O65" s="1566">
        <f>P65+R65</f>
        <v>40</v>
      </c>
      <c r="P65" s="659">
        <v>40</v>
      </c>
      <c r="Q65" s="738"/>
      <c r="R65" s="833"/>
      <c r="S65" s="1555">
        <f>T65+V65</f>
        <v>0</v>
      </c>
      <c r="T65" s="647">
        <v>0</v>
      </c>
      <c r="U65" s="647"/>
      <c r="V65" s="648"/>
      <c r="W65" s="834">
        <v>30</v>
      </c>
      <c r="X65" s="661">
        <v>30</v>
      </c>
      <c r="Y65" s="835" t="s">
        <v>205</v>
      </c>
      <c r="Z65" s="836">
        <v>38</v>
      </c>
      <c r="AA65" s="1107">
        <v>95</v>
      </c>
      <c r="AB65" s="837">
        <v>95</v>
      </c>
    </row>
    <row r="66" spans="1:31" s="4" customFormat="1" ht="13.5" customHeight="1">
      <c r="A66" s="534"/>
      <c r="B66" s="236"/>
      <c r="C66" s="559"/>
      <c r="D66" s="1878"/>
      <c r="E66" s="1824"/>
      <c r="F66" s="250"/>
      <c r="G66" s="251"/>
      <c r="H66" s="530"/>
      <c r="I66" s="1962"/>
      <c r="J66" s="170"/>
      <c r="K66" s="232"/>
      <c r="L66" s="233"/>
      <c r="M66" s="233"/>
      <c r="N66" s="244"/>
      <c r="O66" s="1567"/>
      <c r="P66" s="185"/>
      <c r="Q66" s="198"/>
      <c r="R66" s="199"/>
      <c r="S66" s="411"/>
      <c r="T66" s="376"/>
      <c r="U66" s="376"/>
      <c r="V66" s="556"/>
      <c r="W66" s="200"/>
      <c r="X66" s="187"/>
      <c r="Y66" s="462" t="s">
        <v>301</v>
      </c>
      <c r="Z66" s="342">
        <v>65</v>
      </c>
      <c r="AA66" s="280">
        <v>40</v>
      </c>
      <c r="AB66" s="344">
        <v>40</v>
      </c>
    </row>
    <row r="67" spans="1:31" s="4" customFormat="1" ht="16.5" customHeight="1">
      <c r="A67" s="534"/>
      <c r="B67" s="236"/>
      <c r="C67" s="559"/>
      <c r="D67" s="359" t="s">
        <v>10</v>
      </c>
      <c r="E67" s="1825" t="s">
        <v>154</v>
      </c>
      <c r="F67" s="250"/>
      <c r="G67" s="251"/>
      <c r="H67" s="530"/>
      <c r="I67" s="1962"/>
      <c r="J67" s="666" t="s">
        <v>13</v>
      </c>
      <c r="K67" s="625">
        <f>L67+N67</f>
        <v>142.80000000000001</v>
      </c>
      <c r="L67" s="626">
        <v>142.80000000000001</v>
      </c>
      <c r="M67" s="626"/>
      <c r="N67" s="627"/>
      <c r="O67" s="1568">
        <f>P67+R67</f>
        <v>103.5</v>
      </c>
      <c r="P67" s="626">
        <v>103.5</v>
      </c>
      <c r="Q67" s="626"/>
      <c r="R67" s="627"/>
      <c r="S67" s="655">
        <f t="shared" ref="S67:S74" si="12">T67+V67</f>
        <v>0</v>
      </c>
      <c r="T67" s="628">
        <v>0</v>
      </c>
      <c r="U67" s="628"/>
      <c r="V67" s="656"/>
      <c r="W67" s="664">
        <v>100</v>
      </c>
      <c r="X67" s="665">
        <v>100</v>
      </c>
      <c r="Y67" s="667" t="s">
        <v>371</v>
      </c>
      <c r="Z67" s="668">
        <v>19</v>
      </c>
      <c r="AA67" s="1108">
        <v>12</v>
      </c>
      <c r="AB67" s="669">
        <v>12</v>
      </c>
    </row>
    <row r="68" spans="1:31" s="4" customFormat="1" ht="21.75" customHeight="1">
      <c r="A68" s="534"/>
      <c r="B68" s="236"/>
      <c r="C68" s="559"/>
      <c r="D68" s="359"/>
      <c r="E68" s="1826"/>
      <c r="F68" s="250"/>
      <c r="G68" s="251"/>
      <c r="H68" s="530"/>
      <c r="I68" s="266"/>
      <c r="J68" s="243" t="s">
        <v>282</v>
      </c>
      <c r="K68" s="232">
        <f>L68</f>
        <v>2.7</v>
      </c>
      <c r="L68" s="233">
        <v>2.7</v>
      </c>
      <c r="M68" s="233"/>
      <c r="N68" s="244"/>
      <c r="O68" s="1569"/>
      <c r="P68" s="233"/>
      <c r="Q68" s="233"/>
      <c r="R68" s="244"/>
      <c r="S68" s="411"/>
      <c r="T68" s="376"/>
      <c r="U68" s="376"/>
      <c r="V68" s="556"/>
      <c r="W68" s="786"/>
      <c r="X68" s="787"/>
      <c r="Y68" s="788"/>
      <c r="Z68" s="1109"/>
      <c r="AA68" s="1109"/>
      <c r="AB68" s="1110"/>
    </row>
    <row r="69" spans="1:31" s="4" customFormat="1" ht="39" customHeight="1">
      <c r="A69" s="996"/>
      <c r="B69" s="997"/>
      <c r="C69" s="998"/>
      <c r="D69" s="446" t="s">
        <v>11</v>
      </c>
      <c r="E69" s="1145" t="s">
        <v>182</v>
      </c>
      <c r="F69" s="583"/>
      <c r="G69" s="584"/>
      <c r="H69" s="488"/>
      <c r="I69" s="999"/>
      <c r="J69" s="461" t="s">
        <v>13</v>
      </c>
      <c r="K69" s="205">
        <f>L69+N69</f>
        <v>60.6</v>
      </c>
      <c r="L69" s="206"/>
      <c r="M69" s="206"/>
      <c r="N69" s="207">
        <v>60.6</v>
      </c>
      <c r="O69" s="1259">
        <f>P69+R69</f>
        <v>247</v>
      </c>
      <c r="P69" s="206"/>
      <c r="Q69" s="206"/>
      <c r="R69" s="207">
        <v>247</v>
      </c>
      <c r="S69" s="439">
        <f>T69+V69</f>
        <v>0</v>
      </c>
      <c r="T69" s="408"/>
      <c r="U69" s="408"/>
      <c r="V69" s="447">
        <v>0</v>
      </c>
      <c r="W69" s="784">
        <f>23+281</f>
        <v>304</v>
      </c>
      <c r="X69" s="785">
        <v>240</v>
      </c>
      <c r="Y69" s="872" t="s">
        <v>302</v>
      </c>
      <c r="Z69" s="1111">
        <v>5</v>
      </c>
      <c r="AA69" s="1111">
        <v>7</v>
      </c>
      <c r="AB69" s="1112">
        <v>5</v>
      </c>
    </row>
    <row r="70" spans="1:31" s="4" customFormat="1" ht="42" customHeight="1">
      <c r="A70" s="534"/>
      <c r="B70" s="236"/>
      <c r="C70" s="559"/>
      <c r="D70" s="995" t="s">
        <v>12</v>
      </c>
      <c r="E70" s="744" t="s">
        <v>303</v>
      </c>
      <c r="F70" s="583"/>
      <c r="G70" s="584"/>
      <c r="H70" s="488"/>
      <c r="I70" s="585"/>
      <c r="J70" s="243" t="s">
        <v>13</v>
      </c>
      <c r="K70" s="232">
        <f t="shared" ref="K70:K73" si="13">L70+N70</f>
        <v>5.5</v>
      </c>
      <c r="L70" s="233">
        <v>5.5</v>
      </c>
      <c r="M70" s="233"/>
      <c r="N70" s="244"/>
      <c r="O70" s="1569">
        <f t="shared" ref="O70:O75" si="14">P70+R70</f>
        <v>48</v>
      </c>
      <c r="P70" s="233">
        <v>48</v>
      </c>
      <c r="Q70" s="233"/>
      <c r="R70" s="244"/>
      <c r="S70" s="411">
        <f t="shared" si="12"/>
        <v>0</v>
      </c>
      <c r="T70" s="376">
        <v>0</v>
      </c>
      <c r="U70" s="376"/>
      <c r="V70" s="556"/>
      <c r="W70" s="200">
        <v>10</v>
      </c>
      <c r="X70" s="187">
        <v>10</v>
      </c>
      <c r="Y70" s="262" t="s">
        <v>206</v>
      </c>
      <c r="Z70" s="342">
        <v>48</v>
      </c>
      <c r="AA70" s="1113">
        <v>10</v>
      </c>
      <c r="AB70" s="1114">
        <v>10</v>
      </c>
      <c r="AC70" s="789"/>
      <c r="AE70" s="90"/>
    </row>
    <row r="71" spans="1:31" s="4" customFormat="1" ht="40.5" customHeight="1">
      <c r="A71" s="534"/>
      <c r="B71" s="357"/>
      <c r="C71" s="580"/>
      <c r="D71" s="581" t="s">
        <v>34</v>
      </c>
      <c r="E71" s="582" t="s">
        <v>262</v>
      </c>
      <c r="F71" s="479"/>
      <c r="G71" s="356"/>
      <c r="H71" s="476"/>
      <c r="I71" s="839" t="s">
        <v>228</v>
      </c>
      <c r="J71" s="478" t="s">
        <v>13</v>
      </c>
      <c r="K71" s="205">
        <f t="shared" si="13"/>
        <v>43</v>
      </c>
      <c r="L71" s="206">
        <v>43</v>
      </c>
      <c r="M71" s="206"/>
      <c r="N71" s="207"/>
      <c r="O71" s="1259">
        <f t="shared" si="14"/>
        <v>43</v>
      </c>
      <c r="P71" s="206">
        <v>43</v>
      </c>
      <c r="Q71" s="206"/>
      <c r="R71" s="207"/>
      <c r="S71" s="439">
        <f t="shared" si="12"/>
        <v>0</v>
      </c>
      <c r="T71" s="408">
        <v>0</v>
      </c>
      <c r="U71" s="408"/>
      <c r="V71" s="447"/>
      <c r="W71" s="191">
        <v>43</v>
      </c>
      <c r="X71" s="190">
        <v>43</v>
      </c>
      <c r="Y71" s="262" t="s">
        <v>372</v>
      </c>
      <c r="Z71" s="263">
        <v>116</v>
      </c>
      <c r="AA71" s="762">
        <v>116</v>
      </c>
      <c r="AB71" s="767">
        <v>116</v>
      </c>
      <c r="AC71" s="789"/>
    </row>
    <row r="72" spans="1:31" s="4" customFormat="1" ht="25.5" customHeight="1">
      <c r="A72" s="534"/>
      <c r="B72" s="236"/>
      <c r="C72" s="580"/>
      <c r="D72" s="2012" t="s">
        <v>36</v>
      </c>
      <c r="E72" s="2014" t="s">
        <v>169</v>
      </c>
      <c r="F72" s="479"/>
      <c r="G72" s="356"/>
      <c r="H72" s="476"/>
      <c r="I72" s="481"/>
      <c r="J72" s="666" t="s">
        <v>13</v>
      </c>
      <c r="K72" s="625">
        <f t="shared" si="13"/>
        <v>18</v>
      </c>
      <c r="L72" s="626">
        <v>18</v>
      </c>
      <c r="M72" s="626"/>
      <c r="N72" s="627"/>
      <c r="O72" s="1570">
        <f>P72+R72</f>
        <v>17.100000000000001</v>
      </c>
      <c r="P72" s="797">
        <v>17.100000000000001</v>
      </c>
      <c r="Q72" s="798"/>
      <c r="R72" s="799"/>
      <c r="S72" s="1556">
        <f>T72+V72</f>
        <v>0</v>
      </c>
      <c r="T72" s="800"/>
      <c r="U72" s="800"/>
      <c r="V72" s="801"/>
      <c r="W72" s="802">
        <v>17.100000000000001</v>
      </c>
      <c r="X72" s="802">
        <v>11</v>
      </c>
      <c r="Y72" s="813" t="s">
        <v>304</v>
      </c>
      <c r="Z72" s="1115">
        <v>31</v>
      </c>
      <c r="AA72" s="1115">
        <v>28</v>
      </c>
      <c r="AB72" s="1116">
        <v>20</v>
      </c>
      <c r="AC72" s="789"/>
    </row>
    <row r="73" spans="1:31" s="4" customFormat="1" ht="15.75" customHeight="1">
      <c r="A73" s="534"/>
      <c r="B73" s="236"/>
      <c r="C73" s="580"/>
      <c r="D73" s="2013"/>
      <c r="E73" s="2014"/>
      <c r="F73" s="486"/>
      <c r="G73" s="487"/>
      <c r="H73" s="587"/>
      <c r="I73" s="482"/>
      <c r="J73" s="317" t="s">
        <v>14</v>
      </c>
      <c r="K73" s="232">
        <f t="shared" si="13"/>
        <v>23.5</v>
      </c>
      <c r="L73" s="233">
        <v>23.5</v>
      </c>
      <c r="M73" s="233"/>
      <c r="N73" s="244"/>
      <c r="O73" s="1571">
        <f>P73+R73</f>
        <v>14</v>
      </c>
      <c r="P73" s="792">
        <v>14</v>
      </c>
      <c r="Q73" s="792"/>
      <c r="R73" s="794"/>
      <c r="S73" s="1557">
        <f>T73+V73</f>
        <v>0</v>
      </c>
      <c r="T73" s="795"/>
      <c r="U73" s="795"/>
      <c r="V73" s="796"/>
      <c r="W73" s="793">
        <v>14</v>
      </c>
      <c r="X73" s="793">
        <v>5</v>
      </c>
      <c r="Y73" s="814" t="s">
        <v>305</v>
      </c>
      <c r="Z73" s="1117" t="s">
        <v>85</v>
      </c>
      <c r="AA73" s="1117" t="s">
        <v>85</v>
      </c>
      <c r="AB73" s="1118" t="s">
        <v>35</v>
      </c>
    </row>
    <row r="74" spans="1:31" s="4" customFormat="1" ht="40.5" customHeight="1">
      <c r="A74" s="534"/>
      <c r="B74" s="357"/>
      <c r="C74" s="580"/>
      <c r="D74" s="1070" t="s">
        <v>39</v>
      </c>
      <c r="E74" s="582" t="s">
        <v>389</v>
      </c>
      <c r="F74" s="479"/>
      <c r="G74" s="356"/>
      <c r="H74" s="476"/>
      <c r="I74" s="481"/>
      <c r="J74" s="317" t="s">
        <v>13</v>
      </c>
      <c r="K74" s="232">
        <f>L74+N74</f>
        <v>3.5</v>
      </c>
      <c r="L74" s="233">
        <v>3.5</v>
      </c>
      <c r="M74" s="233"/>
      <c r="N74" s="244"/>
      <c r="O74" s="1569">
        <f t="shared" si="14"/>
        <v>9</v>
      </c>
      <c r="P74" s="233">
        <v>9</v>
      </c>
      <c r="Q74" s="233"/>
      <c r="R74" s="244"/>
      <c r="S74" s="411">
        <f t="shared" si="12"/>
        <v>0</v>
      </c>
      <c r="T74" s="376">
        <v>0</v>
      </c>
      <c r="U74" s="376"/>
      <c r="V74" s="556"/>
      <c r="W74" s="200">
        <v>9</v>
      </c>
      <c r="X74" s="187">
        <v>9</v>
      </c>
      <c r="Y74" s="826" t="s">
        <v>313</v>
      </c>
      <c r="Z74" s="268">
        <v>30</v>
      </c>
      <c r="AA74" s="1113">
        <v>30</v>
      </c>
      <c r="AB74" s="1114">
        <v>30</v>
      </c>
      <c r="AC74" s="90"/>
      <c r="AD74" s="90"/>
    </row>
    <row r="75" spans="1:31" s="4" customFormat="1" ht="28.5" customHeight="1">
      <c r="A75" s="534"/>
      <c r="B75" s="357"/>
      <c r="C75" s="580"/>
      <c r="D75" s="2017" t="s">
        <v>40</v>
      </c>
      <c r="E75" s="1724" t="s">
        <v>307</v>
      </c>
      <c r="F75" s="479"/>
      <c r="G75" s="356"/>
      <c r="H75" s="530"/>
      <c r="I75" s="481"/>
      <c r="J75" s="666" t="s">
        <v>13</v>
      </c>
      <c r="K75" s="625">
        <f>L75+N75</f>
        <v>25</v>
      </c>
      <c r="L75" s="626">
        <v>25</v>
      </c>
      <c r="M75" s="626"/>
      <c r="N75" s="627"/>
      <c r="O75" s="1568">
        <f t="shared" si="14"/>
        <v>32</v>
      </c>
      <c r="P75" s="626">
        <v>32</v>
      </c>
      <c r="Q75" s="626"/>
      <c r="R75" s="627"/>
      <c r="S75" s="655">
        <f>T75</f>
        <v>0</v>
      </c>
      <c r="T75" s="628">
        <v>0</v>
      </c>
      <c r="U75" s="628"/>
      <c r="V75" s="656"/>
      <c r="W75" s="664">
        <v>20</v>
      </c>
      <c r="X75" s="665">
        <v>20</v>
      </c>
      <c r="Y75" s="790" t="s">
        <v>401</v>
      </c>
      <c r="Z75" s="668">
        <v>1</v>
      </c>
      <c r="AA75" s="791"/>
      <c r="AB75" s="669"/>
      <c r="AC75" s="90"/>
    </row>
    <row r="76" spans="1:31" s="4" customFormat="1" ht="37.5" customHeight="1">
      <c r="A76" s="534"/>
      <c r="B76" s="357"/>
      <c r="C76" s="580"/>
      <c r="D76" s="1725"/>
      <c r="E76" s="1725"/>
      <c r="F76" s="486"/>
      <c r="G76" s="487"/>
      <c r="H76" s="587"/>
      <c r="I76" s="482"/>
      <c r="J76" s="317"/>
      <c r="K76" s="232"/>
      <c r="L76" s="233"/>
      <c r="M76" s="233"/>
      <c r="N76" s="244"/>
      <c r="O76" s="1569"/>
      <c r="P76" s="233"/>
      <c r="Q76" s="233"/>
      <c r="R76" s="244"/>
      <c r="S76" s="411"/>
      <c r="T76" s="376"/>
      <c r="U76" s="376"/>
      <c r="V76" s="556"/>
      <c r="W76" s="200"/>
      <c r="X76" s="187"/>
      <c r="Y76" s="262" t="s">
        <v>312</v>
      </c>
      <c r="Z76" s="268">
        <v>1</v>
      </c>
      <c r="AA76" s="259"/>
      <c r="AB76" s="258"/>
      <c r="AC76" s="90"/>
    </row>
    <row r="77" spans="1:31" s="4" customFormat="1" ht="30.75" customHeight="1">
      <c r="A77" s="534"/>
      <c r="B77" s="357"/>
      <c r="C77" s="580"/>
      <c r="D77" s="586" t="s">
        <v>41</v>
      </c>
      <c r="E77" s="783" t="s">
        <v>306</v>
      </c>
      <c r="F77" s="486"/>
      <c r="G77" s="487"/>
      <c r="H77" s="587"/>
      <c r="I77" s="482"/>
      <c r="J77" s="317" t="s">
        <v>13</v>
      </c>
      <c r="K77" s="232"/>
      <c r="L77" s="233"/>
      <c r="M77" s="233"/>
      <c r="N77" s="244"/>
      <c r="O77" s="1569">
        <f>P77+R77</f>
        <v>134.5</v>
      </c>
      <c r="P77" s="233"/>
      <c r="Q77" s="233"/>
      <c r="R77" s="244">
        <v>134.5</v>
      </c>
      <c r="S77" s="411"/>
      <c r="T77" s="376"/>
      <c r="U77" s="376"/>
      <c r="V77" s="556"/>
      <c r="W77" s="200">
        <v>100</v>
      </c>
      <c r="X77" s="187">
        <v>100</v>
      </c>
      <c r="Y77" s="262" t="s">
        <v>402</v>
      </c>
      <c r="Z77" s="268">
        <v>2</v>
      </c>
      <c r="AA77" s="259"/>
      <c r="AB77" s="258"/>
      <c r="AC77" s="90"/>
    </row>
    <row r="78" spans="1:31" s="4" customFormat="1" ht="18.75" customHeight="1">
      <c r="A78" s="534"/>
      <c r="B78" s="357"/>
      <c r="C78" s="580"/>
      <c r="D78" s="586" t="s">
        <v>35</v>
      </c>
      <c r="E78" s="812" t="s">
        <v>309</v>
      </c>
      <c r="F78" s="486"/>
      <c r="G78" s="487"/>
      <c r="H78" s="587"/>
      <c r="I78" s="482"/>
      <c r="J78" s="317" t="s">
        <v>13</v>
      </c>
      <c r="K78" s="232"/>
      <c r="L78" s="233"/>
      <c r="M78" s="233"/>
      <c r="N78" s="244"/>
      <c r="O78" s="1569"/>
      <c r="P78" s="233"/>
      <c r="Q78" s="233"/>
      <c r="R78" s="244"/>
      <c r="S78" s="411"/>
      <c r="T78" s="376"/>
      <c r="U78" s="376"/>
      <c r="V78" s="556"/>
      <c r="W78" s="200">
        <v>350</v>
      </c>
      <c r="X78" s="187"/>
      <c r="Y78" s="262" t="s">
        <v>308</v>
      </c>
      <c r="Z78" s="268"/>
      <c r="AA78" s="259">
        <v>2</v>
      </c>
      <c r="AB78" s="258"/>
      <c r="AC78" s="90"/>
    </row>
    <row r="79" spans="1:31" s="4" customFormat="1" ht="39" customHeight="1">
      <c r="A79" s="534"/>
      <c r="B79" s="357"/>
      <c r="C79" s="580"/>
      <c r="D79" s="815">
        <v>11</v>
      </c>
      <c r="E79" s="812" t="s">
        <v>311</v>
      </c>
      <c r="F79" s="816"/>
      <c r="G79" s="817" t="s">
        <v>9</v>
      </c>
      <c r="H79" s="818">
        <v>1</v>
      </c>
      <c r="I79" s="623" t="s">
        <v>320</v>
      </c>
      <c r="J79" s="317" t="s">
        <v>13</v>
      </c>
      <c r="K79" s="232">
        <f>L79+N79</f>
        <v>54</v>
      </c>
      <c r="L79" s="233">
        <v>54</v>
      </c>
      <c r="M79" s="233"/>
      <c r="N79" s="244"/>
      <c r="O79" s="1569">
        <f>P79+R79</f>
        <v>50</v>
      </c>
      <c r="P79" s="233">
        <v>50</v>
      </c>
      <c r="Q79" s="233"/>
      <c r="R79" s="244"/>
      <c r="S79" s="411">
        <f>T79+V79</f>
        <v>0</v>
      </c>
      <c r="T79" s="376">
        <v>0</v>
      </c>
      <c r="U79" s="376"/>
      <c r="V79" s="556"/>
      <c r="W79" s="819">
        <v>50</v>
      </c>
      <c r="X79" s="819">
        <v>50</v>
      </c>
      <c r="Y79" s="558" t="s">
        <v>403</v>
      </c>
      <c r="Z79" s="817" t="s">
        <v>321</v>
      </c>
      <c r="AA79" s="1088" t="s">
        <v>322</v>
      </c>
      <c r="AB79" s="1119" t="s">
        <v>322</v>
      </c>
      <c r="AC79" s="90"/>
      <c r="AD79" s="90"/>
      <c r="AE79" s="90"/>
    </row>
    <row r="80" spans="1:31" s="4" customFormat="1" ht="15" customHeight="1" thickBot="1">
      <c r="A80" s="542"/>
      <c r="B80" s="358"/>
      <c r="C80" s="562"/>
      <c r="D80" s="562"/>
      <c r="E80" s="562"/>
      <c r="F80" s="562"/>
      <c r="G80" s="562"/>
      <c r="H80" s="562"/>
      <c r="I80" s="1983" t="s">
        <v>204</v>
      </c>
      <c r="J80" s="1984"/>
      <c r="K80" s="1558">
        <f>SUM(K64:K79)</f>
        <v>598.6</v>
      </c>
      <c r="L80" s="1559">
        <f t="shared" ref="L80:V80" si="15">SUM(L64:L79)</f>
        <v>538</v>
      </c>
      <c r="M80" s="1559">
        <f t="shared" si="15"/>
        <v>0</v>
      </c>
      <c r="N80" s="1560">
        <f t="shared" si="15"/>
        <v>60.6</v>
      </c>
      <c r="O80" s="1561">
        <f>SUM(O64:O79)</f>
        <v>863.5</v>
      </c>
      <c r="P80" s="1559">
        <f t="shared" si="15"/>
        <v>482</v>
      </c>
      <c r="Q80" s="1559">
        <f t="shared" si="15"/>
        <v>0</v>
      </c>
      <c r="R80" s="1560">
        <f t="shared" si="15"/>
        <v>381.5</v>
      </c>
      <c r="S80" s="563">
        <f>SUM(S64:S79)</f>
        <v>0</v>
      </c>
      <c r="T80" s="588">
        <f t="shared" si="15"/>
        <v>0</v>
      </c>
      <c r="U80" s="588">
        <f t="shared" si="15"/>
        <v>0</v>
      </c>
      <c r="V80" s="588">
        <f t="shared" si="15"/>
        <v>0</v>
      </c>
      <c r="W80" s="588">
        <f>SUM(W64:W79)</f>
        <v>1360.6</v>
      </c>
      <c r="X80" s="588">
        <f>SUM(X64:X79)</f>
        <v>931.5</v>
      </c>
      <c r="Y80" s="589"/>
      <c r="Z80" s="574"/>
      <c r="AA80" s="574"/>
      <c r="AB80" s="590"/>
    </row>
    <row r="81" spans="1:29" s="4" customFormat="1" ht="21.75" customHeight="1">
      <c r="A81" s="1802" t="s">
        <v>9</v>
      </c>
      <c r="B81" s="1803" t="s">
        <v>9</v>
      </c>
      <c r="C81" s="1805" t="s">
        <v>35</v>
      </c>
      <c r="D81" s="2015"/>
      <c r="E81" s="2023" t="s">
        <v>158</v>
      </c>
      <c r="F81" s="1979"/>
      <c r="G81" s="1973"/>
      <c r="H81" s="1981">
        <v>1</v>
      </c>
      <c r="I81" s="2025" t="s">
        <v>230</v>
      </c>
      <c r="J81" s="241" t="s">
        <v>13</v>
      </c>
      <c r="K81" s="464">
        <f>L81+N81</f>
        <v>30</v>
      </c>
      <c r="L81" s="463">
        <v>30</v>
      </c>
      <c r="M81" s="291"/>
      <c r="N81" s="657"/>
      <c r="O81" s="290">
        <f>P81+R81</f>
        <v>30</v>
      </c>
      <c r="P81" s="291">
        <v>30</v>
      </c>
      <c r="Q81" s="820"/>
      <c r="R81" s="821"/>
      <c r="S81" s="410">
        <f>T81+V81</f>
        <v>0</v>
      </c>
      <c r="T81" s="391">
        <v>0</v>
      </c>
      <c r="U81" s="391"/>
      <c r="V81" s="399"/>
      <c r="W81" s="204">
        <v>30</v>
      </c>
      <c r="X81" s="242">
        <v>30</v>
      </c>
      <c r="Y81" s="428" t="s">
        <v>376</v>
      </c>
      <c r="Z81" s="341">
        <v>5</v>
      </c>
      <c r="AA81" s="525">
        <v>5</v>
      </c>
      <c r="AB81" s="527">
        <v>5</v>
      </c>
    </row>
    <row r="82" spans="1:29" s="4" customFormat="1" ht="30" customHeight="1" thickBot="1">
      <c r="A82" s="1788"/>
      <c r="B82" s="1804"/>
      <c r="C82" s="1791"/>
      <c r="D82" s="2016"/>
      <c r="E82" s="2024"/>
      <c r="F82" s="1980"/>
      <c r="G82" s="1974"/>
      <c r="H82" s="1982"/>
      <c r="I82" s="2026"/>
      <c r="J82" s="458" t="s">
        <v>16</v>
      </c>
      <c r="K82" s="424">
        <f>SUM(K81)</f>
        <v>30</v>
      </c>
      <c r="L82" s="424">
        <f t="shared" ref="L82:V82" si="16">SUM(L81)</f>
        <v>30</v>
      </c>
      <c r="M82" s="424">
        <f t="shared" si="16"/>
        <v>0</v>
      </c>
      <c r="N82" s="457">
        <f t="shared" si="16"/>
        <v>0</v>
      </c>
      <c r="O82" s="379">
        <f t="shared" si="16"/>
        <v>30</v>
      </c>
      <c r="P82" s="424">
        <f t="shared" si="16"/>
        <v>30</v>
      </c>
      <c r="Q82" s="424">
        <f t="shared" si="16"/>
        <v>0</v>
      </c>
      <c r="R82" s="409">
        <f t="shared" si="16"/>
        <v>0</v>
      </c>
      <c r="S82" s="424">
        <f t="shared" si="16"/>
        <v>0</v>
      </c>
      <c r="T82" s="424">
        <f t="shared" si="16"/>
        <v>0</v>
      </c>
      <c r="U82" s="424">
        <f t="shared" si="16"/>
        <v>0</v>
      </c>
      <c r="V82" s="457">
        <f t="shared" si="16"/>
        <v>0</v>
      </c>
      <c r="W82" s="413">
        <f>W81</f>
        <v>30</v>
      </c>
      <c r="X82" s="413">
        <f>X81</f>
        <v>30</v>
      </c>
      <c r="Y82" s="591"/>
      <c r="Z82" s="287"/>
      <c r="AA82" s="526"/>
      <c r="AB82" s="528"/>
    </row>
    <row r="83" spans="1:29" s="173" customFormat="1" ht="22.5" customHeight="1">
      <c r="A83" s="1802" t="s">
        <v>9</v>
      </c>
      <c r="B83" s="1803" t="s">
        <v>9</v>
      </c>
      <c r="C83" s="1834" t="s">
        <v>42</v>
      </c>
      <c r="D83" s="2118"/>
      <c r="E83" s="495" t="s">
        <v>255</v>
      </c>
      <c r="F83" s="1995"/>
      <c r="G83" s="1992" t="s">
        <v>12</v>
      </c>
      <c r="H83" s="1867" t="s">
        <v>157</v>
      </c>
      <c r="I83" s="1977" t="s">
        <v>229</v>
      </c>
      <c r="J83" s="507" t="s">
        <v>150</v>
      </c>
      <c r="K83" s="502">
        <f>L83</f>
        <v>946.1</v>
      </c>
      <c r="L83" s="503">
        <v>946.1</v>
      </c>
      <c r="M83" s="503"/>
      <c r="N83" s="504"/>
      <c r="O83" s="1538">
        <f>P83+R83</f>
        <v>946.1</v>
      </c>
      <c r="P83" s="210">
        <v>946.1</v>
      </c>
      <c r="Q83" s="505"/>
      <c r="R83" s="512"/>
      <c r="S83" s="396">
        <f>V83+T83</f>
        <v>0</v>
      </c>
      <c r="T83" s="397">
        <v>0</v>
      </c>
      <c r="U83" s="397"/>
      <c r="V83" s="398"/>
      <c r="W83" s="373">
        <v>947</v>
      </c>
      <c r="X83" s="372">
        <v>947</v>
      </c>
      <c r="Y83" s="500" t="s">
        <v>259</v>
      </c>
      <c r="Z83" s="497">
        <v>780</v>
      </c>
      <c r="AA83" s="498">
        <v>780</v>
      </c>
      <c r="AB83" s="499">
        <v>780</v>
      </c>
    </row>
    <row r="84" spans="1:29" s="173" customFormat="1" ht="21" customHeight="1">
      <c r="A84" s="1774"/>
      <c r="B84" s="1811"/>
      <c r="C84" s="1835"/>
      <c r="D84" s="2119"/>
      <c r="E84" s="496" t="s">
        <v>257</v>
      </c>
      <c r="F84" s="1996"/>
      <c r="G84" s="1993"/>
      <c r="H84" s="1958"/>
      <c r="I84" s="1985"/>
      <c r="J84" s="519" t="s">
        <v>150</v>
      </c>
      <c r="K84" s="592">
        <f>L84</f>
        <v>33</v>
      </c>
      <c r="L84" s="511">
        <v>33</v>
      </c>
      <c r="M84" s="508"/>
      <c r="N84" s="510"/>
      <c r="O84" s="1539">
        <f>P84+R84</f>
        <v>33</v>
      </c>
      <c r="P84" s="206">
        <v>33</v>
      </c>
      <c r="Q84" s="508"/>
      <c r="R84" s="510"/>
      <c r="S84" s="514">
        <f>T84+V84</f>
        <v>0</v>
      </c>
      <c r="T84" s="513">
        <v>0</v>
      </c>
      <c r="U84" s="509"/>
      <c r="V84" s="515"/>
      <c r="W84" s="517">
        <v>33</v>
      </c>
      <c r="X84" s="516">
        <v>33</v>
      </c>
      <c r="Y84" s="1857" t="s">
        <v>258</v>
      </c>
      <c r="Z84" s="342">
        <v>1</v>
      </c>
      <c r="AA84" s="343">
        <v>1</v>
      </c>
      <c r="AB84" s="344">
        <v>1</v>
      </c>
    </row>
    <row r="85" spans="1:29" s="173" customFormat="1" ht="21" customHeight="1" thickBot="1">
      <c r="A85" s="1788"/>
      <c r="B85" s="1804"/>
      <c r="C85" s="1836"/>
      <c r="D85" s="2057"/>
      <c r="E85" s="506" t="s">
        <v>256</v>
      </c>
      <c r="F85" s="1997"/>
      <c r="G85" s="1994"/>
      <c r="H85" s="1869"/>
      <c r="I85" s="1978"/>
      <c r="J85" s="458" t="s">
        <v>16</v>
      </c>
      <c r="K85" s="518">
        <f>SUM(K83:K84)</f>
        <v>979.1</v>
      </c>
      <c r="L85" s="518">
        <f t="shared" ref="L85:X85" si="17">SUM(L83:L84)</f>
        <v>979.1</v>
      </c>
      <c r="M85" s="518">
        <f t="shared" si="17"/>
        <v>0</v>
      </c>
      <c r="N85" s="518">
        <f t="shared" si="17"/>
        <v>0</v>
      </c>
      <c r="O85" s="518">
        <f>SUM(O83:O84)</f>
        <v>979.1</v>
      </c>
      <c r="P85" s="518">
        <f t="shared" si="17"/>
        <v>979.1</v>
      </c>
      <c r="Q85" s="518">
        <f t="shared" si="17"/>
        <v>0</v>
      </c>
      <c r="R85" s="518">
        <f t="shared" si="17"/>
        <v>0</v>
      </c>
      <c r="S85" s="518">
        <f t="shared" si="17"/>
        <v>0</v>
      </c>
      <c r="T85" s="518">
        <f t="shared" si="17"/>
        <v>0</v>
      </c>
      <c r="U85" s="518">
        <f t="shared" si="17"/>
        <v>0</v>
      </c>
      <c r="V85" s="518">
        <f t="shared" si="17"/>
        <v>0</v>
      </c>
      <c r="W85" s="518">
        <f t="shared" si="17"/>
        <v>980</v>
      </c>
      <c r="X85" s="518">
        <f t="shared" si="17"/>
        <v>980</v>
      </c>
      <c r="Y85" s="1858"/>
      <c r="Z85" s="287"/>
      <c r="AA85" s="429"/>
      <c r="AB85" s="430"/>
    </row>
    <row r="86" spans="1:29" s="4" customFormat="1" ht="14.25" customHeight="1" thickBot="1">
      <c r="A86" s="537" t="s">
        <v>9</v>
      </c>
      <c r="B86" s="494" t="s">
        <v>9</v>
      </c>
      <c r="C86" s="1859" t="s">
        <v>17</v>
      </c>
      <c r="D86" s="1637"/>
      <c r="E86" s="1637"/>
      <c r="F86" s="1637"/>
      <c r="G86" s="1637"/>
      <c r="H86" s="1637"/>
      <c r="I86" s="1637"/>
      <c r="J86" s="1860"/>
      <c r="K86" s="192">
        <f t="shared" ref="K86:X86" si="18">K85+K82+K80+K60+K58+K56+K51+K49+K47+K45+K43</f>
        <v>37814.699999999997</v>
      </c>
      <c r="L86" s="192">
        <f t="shared" si="18"/>
        <v>27314.6</v>
      </c>
      <c r="M86" s="192">
        <f t="shared" si="18"/>
        <v>13521</v>
      </c>
      <c r="N86" s="192">
        <f t="shared" si="18"/>
        <v>10500.1</v>
      </c>
      <c r="O86" s="192">
        <f>O85+O82+O80+O60+O58+O56+O51+O49+O47+O45+O43</f>
        <v>41611.599999999999</v>
      </c>
      <c r="P86" s="192">
        <f t="shared" si="18"/>
        <v>30627.999999999996</v>
      </c>
      <c r="Q86" s="192">
        <f t="shared" si="18"/>
        <v>14673.2</v>
      </c>
      <c r="R86" s="192">
        <f t="shared" si="18"/>
        <v>10983.6</v>
      </c>
      <c r="S86" s="192">
        <f t="shared" si="18"/>
        <v>0</v>
      </c>
      <c r="T86" s="192">
        <f t="shared" si="18"/>
        <v>0</v>
      </c>
      <c r="U86" s="192">
        <f t="shared" si="18"/>
        <v>0</v>
      </c>
      <c r="V86" s="192">
        <f t="shared" si="18"/>
        <v>0</v>
      </c>
      <c r="W86" s="192">
        <f t="shared" si="18"/>
        <v>42948.899999999994</v>
      </c>
      <c r="X86" s="192">
        <f t="shared" si="18"/>
        <v>39171.799999999996</v>
      </c>
      <c r="Y86" s="431"/>
      <c r="Z86" s="501"/>
      <c r="AA86" s="501"/>
      <c r="AB86" s="432"/>
    </row>
    <row r="87" spans="1:29" s="4" customFormat="1" ht="15.75" customHeight="1" thickBot="1">
      <c r="A87" s="543" t="s">
        <v>9</v>
      </c>
      <c r="B87" s="174" t="s">
        <v>10</v>
      </c>
      <c r="C87" s="1861" t="s">
        <v>168</v>
      </c>
      <c r="D87" s="1862"/>
      <c r="E87" s="1862"/>
      <c r="F87" s="1862"/>
      <c r="G87" s="1862"/>
      <c r="H87" s="1862"/>
      <c r="I87" s="1862"/>
      <c r="J87" s="1862"/>
      <c r="K87" s="1862"/>
      <c r="L87" s="1862"/>
      <c r="M87" s="1862"/>
      <c r="N87" s="1862"/>
      <c r="O87" s="1862"/>
      <c r="P87" s="1862"/>
      <c r="Q87" s="1862"/>
      <c r="R87" s="1862"/>
      <c r="S87" s="1862"/>
      <c r="T87" s="1862"/>
      <c r="U87" s="1862"/>
      <c r="V87" s="1862"/>
      <c r="W87" s="1862"/>
      <c r="X87" s="1862"/>
      <c r="Y87" s="1862"/>
      <c r="Z87" s="1862"/>
      <c r="AA87" s="1862"/>
      <c r="AB87" s="1863"/>
    </row>
    <row r="88" spans="1:29" s="4" customFormat="1" ht="29.25" customHeight="1">
      <c r="A88" s="1802" t="s">
        <v>9</v>
      </c>
      <c r="B88" s="1803" t="s">
        <v>10</v>
      </c>
      <c r="C88" s="2055" t="s">
        <v>9</v>
      </c>
      <c r="D88" s="750"/>
      <c r="E88" s="1194" t="s">
        <v>60</v>
      </c>
      <c r="F88" s="1198"/>
      <c r="G88" s="749" t="s">
        <v>9</v>
      </c>
      <c r="H88" s="594" t="s">
        <v>156</v>
      </c>
      <c r="I88" s="1293"/>
      <c r="J88" s="975" t="s">
        <v>13</v>
      </c>
      <c r="K88" s="974">
        <f>L88+N88</f>
        <v>788.7</v>
      </c>
      <c r="L88" s="218">
        <v>568.70000000000005</v>
      </c>
      <c r="M88" s="218"/>
      <c r="N88" s="976">
        <f>10+210</f>
        <v>220</v>
      </c>
      <c r="O88" s="217"/>
      <c r="P88" s="218"/>
      <c r="Q88" s="218"/>
      <c r="R88" s="246"/>
      <c r="S88" s="410">
        <f>T88+V88</f>
        <v>0</v>
      </c>
      <c r="T88" s="391">
        <v>0</v>
      </c>
      <c r="U88" s="391"/>
      <c r="V88" s="399">
        <v>0</v>
      </c>
      <c r="W88" s="465">
        <v>973.5</v>
      </c>
      <c r="X88" s="465">
        <v>1173.5</v>
      </c>
      <c r="Y88" s="1224"/>
      <c r="Z88" s="701"/>
      <c r="AA88" s="701"/>
      <c r="AB88" s="702"/>
    </row>
    <row r="89" spans="1:29" s="4" customFormat="1" ht="30.75" customHeight="1">
      <c r="A89" s="1774"/>
      <c r="B89" s="1811"/>
      <c r="C89" s="1965"/>
      <c r="D89" s="860" t="s">
        <v>9</v>
      </c>
      <c r="E89" s="1242" t="s">
        <v>341</v>
      </c>
      <c r="F89" s="1970" t="s">
        <v>220</v>
      </c>
      <c r="G89" s="1225"/>
      <c r="H89" s="860"/>
      <c r="I89" s="2111" t="s">
        <v>317</v>
      </c>
      <c r="J89" s="1226" t="s">
        <v>13</v>
      </c>
      <c r="K89" s="1227"/>
      <c r="L89" s="712"/>
      <c r="M89" s="712"/>
      <c r="N89" s="712"/>
      <c r="O89" s="546">
        <f>P89+R89</f>
        <v>475</v>
      </c>
      <c r="P89" s="547">
        <v>150</v>
      </c>
      <c r="Q89" s="547"/>
      <c r="R89" s="548">
        <v>325</v>
      </c>
      <c r="S89" s="1057"/>
      <c r="T89" s="394"/>
      <c r="U89" s="394"/>
      <c r="V89" s="830"/>
      <c r="W89" s="1228"/>
      <c r="X89" s="1228"/>
      <c r="Y89" s="1230" t="s">
        <v>267</v>
      </c>
      <c r="Z89" s="704">
        <v>11</v>
      </c>
      <c r="AA89" s="1229"/>
      <c r="AB89" s="1231"/>
    </row>
    <row r="90" spans="1:29" s="4" customFormat="1" ht="15.75" customHeight="1">
      <c r="A90" s="1774"/>
      <c r="B90" s="1811"/>
      <c r="C90" s="1965"/>
      <c r="D90" s="1195"/>
      <c r="E90" s="690" t="s">
        <v>333</v>
      </c>
      <c r="F90" s="1865"/>
      <c r="G90" s="1193"/>
      <c r="H90" s="281"/>
      <c r="I90" s="2112"/>
      <c r="J90" s="1217"/>
      <c r="K90" s="1218"/>
      <c r="L90" s="1213"/>
      <c r="M90" s="1213"/>
      <c r="N90" s="1213"/>
      <c r="O90" s="1239"/>
      <c r="P90" s="1240"/>
      <c r="Q90" s="1240"/>
      <c r="R90" s="1241"/>
      <c r="S90" s="386"/>
      <c r="T90" s="378"/>
      <c r="U90" s="378"/>
      <c r="V90" s="636"/>
      <c r="W90" s="1219"/>
      <c r="X90" s="1219"/>
      <c r="Y90" s="1221" t="s">
        <v>337</v>
      </c>
      <c r="Z90" s="1237">
        <v>125</v>
      </c>
      <c r="AA90" s="1236">
        <v>180</v>
      </c>
      <c r="AB90" s="1238">
        <v>250</v>
      </c>
      <c r="AC90" s="1220"/>
    </row>
    <row r="91" spans="1:29" s="4" customFormat="1" ht="24.75" customHeight="1">
      <c r="A91" s="1774"/>
      <c r="B91" s="1811"/>
      <c r="C91" s="1965"/>
      <c r="D91" s="1195"/>
      <c r="E91" s="690" t="s">
        <v>334</v>
      </c>
      <c r="F91" s="1865"/>
      <c r="G91" s="1193"/>
      <c r="H91" s="281"/>
      <c r="I91" s="2112"/>
      <c r="J91" s="1217"/>
      <c r="K91" s="1218"/>
      <c r="L91" s="1213"/>
      <c r="M91" s="1213"/>
      <c r="N91" s="1213"/>
      <c r="O91" s="1291"/>
      <c r="P91" s="1240"/>
      <c r="Q91" s="1240"/>
      <c r="R91" s="1292"/>
      <c r="S91" s="386"/>
      <c r="T91" s="378"/>
      <c r="U91" s="378"/>
      <c r="V91" s="636"/>
      <c r="W91" s="1219"/>
      <c r="X91" s="1219"/>
      <c r="Y91" s="1171" t="s">
        <v>338</v>
      </c>
      <c r="Z91" s="1237">
        <v>1</v>
      </c>
      <c r="AA91" s="1236"/>
      <c r="AB91" s="1238"/>
      <c r="AC91" s="180"/>
    </row>
    <row r="92" spans="1:29" s="4" customFormat="1" ht="15" customHeight="1">
      <c r="A92" s="1774"/>
      <c r="B92" s="1811"/>
      <c r="C92" s="1965"/>
      <c r="D92" s="1195"/>
      <c r="E92" s="690" t="s">
        <v>335</v>
      </c>
      <c r="F92" s="1865"/>
      <c r="G92" s="1193"/>
      <c r="H92" s="281"/>
      <c r="I92" s="1196"/>
      <c r="J92" s="1217"/>
      <c r="K92" s="1218"/>
      <c r="L92" s="1213"/>
      <c r="M92" s="1213"/>
      <c r="N92" s="1213"/>
      <c r="O92" s="1239"/>
      <c r="P92" s="1240"/>
      <c r="Q92" s="1240"/>
      <c r="R92" s="1241"/>
      <c r="S92" s="386"/>
      <c r="T92" s="378"/>
      <c r="U92" s="378"/>
      <c r="V92" s="636"/>
      <c r="W92" s="1219"/>
      <c r="X92" s="1219"/>
      <c r="Y92" s="1171" t="s">
        <v>339</v>
      </c>
      <c r="Z92" s="1237">
        <v>1</v>
      </c>
      <c r="AA92" s="1236"/>
      <c r="AB92" s="1238"/>
      <c r="AC92" s="180"/>
    </row>
    <row r="93" spans="1:29" s="4" customFormat="1" ht="30" customHeight="1">
      <c r="A93" s="1774"/>
      <c r="B93" s="1811"/>
      <c r="C93" s="1965"/>
      <c r="D93" s="1195"/>
      <c r="E93" s="744" t="s">
        <v>336</v>
      </c>
      <c r="F93" s="1971"/>
      <c r="G93" s="757"/>
      <c r="H93" s="758"/>
      <c r="I93" s="1197"/>
      <c r="J93" s="1244"/>
      <c r="K93" s="1245"/>
      <c r="L93" s="234"/>
      <c r="M93" s="234"/>
      <c r="N93" s="234"/>
      <c r="O93" s="1294"/>
      <c r="P93" s="1295"/>
      <c r="Q93" s="1295"/>
      <c r="R93" s="1296"/>
      <c r="S93" s="411"/>
      <c r="T93" s="376"/>
      <c r="U93" s="376"/>
      <c r="V93" s="556"/>
      <c r="W93" s="1153"/>
      <c r="X93" s="1153"/>
      <c r="Y93" s="1297" t="s">
        <v>247</v>
      </c>
      <c r="Z93" s="1233">
        <v>439</v>
      </c>
      <c r="AA93" s="1234"/>
      <c r="AB93" s="1235"/>
      <c r="AC93" s="180"/>
    </row>
    <row r="94" spans="1:29" s="4" customFormat="1" ht="26.25" customHeight="1">
      <c r="A94" s="1774"/>
      <c r="B94" s="1811"/>
      <c r="C94" s="1965"/>
      <c r="D94" s="860" t="s">
        <v>10</v>
      </c>
      <c r="E94" s="1248" t="s">
        <v>342</v>
      </c>
      <c r="F94" s="1223"/>
      <c r="G94" s="1193"/>
      <c r="H94" s="281"/>
      <c r="I94" s="2111" t="s">
        <v>317</v>
      </c>
      <c r="J94" s="1217" t="s">
        <v>13</v>
      </c>
      <c r="K94" s="1218"/>
      <c r="L94" s="1213"/>
      <c r="M94" s="1213"/>
      <c r="N94" s="1213"/>
      <c r="O94" s="1288">
        <f>P94+R94</f>
        <v>793.3</v>
      </c>
      <c r="P94" s="463">
        <v>793.3</v>
      </c>
      <c r="Q94" s="1289"/>
      <c r="R94" s="1290"/>
      <c r="S94" s="386"/>
      <c r="T94" s="378"/>
      <c r="U94" s="378"/>
      <c r="V94" s="636"/>
      <c r="W94" s="1219"/>
      <c r="X94" s="1219"/>
      <c r="Y94" s="1232"/>
      <c r="Z94" s="704"/>
      <c r="AA94" s="1229"/>
      <c r="AB94" s="1231"/>
      <c r="AC94" s="180"/>
    </row>
    <row r="95" spans="1:29" s="4" customFormat="1" ht="27.75" customHeight="1">
      <c r="A95" s="1774"/>
      <c r="B95" s="1811"/>
      <c r="C95" s="1965"/>
      <c r="D95" s="1195"/>
      <c r="E95" s="690" t="s">
        <v>346</v>
      </c>
      <c r="F95" s="1972" t="s">
        <v>220</v>
      </c>
      <c r="G95" s="1193"/>
      <c r="H95" s="281"/>
      <c r="I95" s="2112"/>
      <c r="J95" s="1217"/>
      <c r="K95" s="1218"/>
      <c r="L95" s="1213"/>
      <c r="M95" s="1213"/>
      <c r="N95" s="1213"/>
      <c r="O95" s="1298"/>
      <c r="P95" s="1301"/>
      <c r="Q95" s="962"/>
      <c r="R95" s="1299"/>
      <c r="S95" s="386"/>
      <c r="T95" s="378"/>
      <c r="U95" s="378"/>
      <c r="V95" s="636"/>
      <c r="W95" s="1219"/>
      <c r="X95" s="1219"/>
      <c r="Y95" s="1171"/>
      <c r="Z95" s="1237"/>
      <c r="AA95" s="1236"/>
      <c r="AB95" s="1238"/>
      <c r="AC95" s="180"/>
    </row>
    <row r="96" spans="1:29" s="4" customFormat="1" ht="27" customHeight="1">
      <c r="A96" s="1774"/>
      <c r="B96" s="1811"/>
      <c r="C96" s="1965"/>
      <c r="D96" s="1195"/>
      <c r="E96" s="690" t="s">
        <v>418</v>
      </c>
      <c r="F96" s="1865"/>
      <c r="G96" s="1193"/>
      <c r="H96" s="281"/>
      <c r="I96" s="2112"/>
      <c r="J96" s="1217"/>
      <c r="K96" s="1218"/>
      <c r="L96" s="1213"/>
      <c r="M96" s="1213"/>
      <c r="N96" s="1213"/>
      <c r="O96" s="1298"/>
      <c r="P96" s="1302"/>
      <c r="Q96" s="962"/>
      <c r="R96" s="1299"/>
      <c r="S96" s="386"/>
      <c r="T96" s="378"/>
      <c r="U96" s="378"/>
      <c r="V96" s="636"/>
      <c r="W96" s="1219"/>
      <c r="X96" s="1219"/>
      <c r="Y96" s="1171"/>
      <c r="Z96" s="1237"/>
      <c r="AA96" s="1236"/>
      <c r="AB96" s="1238"/>
      <c r="AC96" s="180"/>
    </row>
    <row r="97" spans="1:29" s="4" customFormat="1" ht="32.25" customHeight="1">
      <c r="A97" s="1774"/>
      <c r="B97" s="1811"/>
      <c r="C97" s="1965"/>
      <c r="D97" s="1195"/>
      <c r="E97" s="1243" t="s">
        <v>419</v>
      </c>
      <c r="F97" s="1865"/>
      <c r="G97" s="1193"/>
      <c r="H97" s="281"/>
      <c r="I97" s="1196"/>
      <c r="J97" s="1217"/>
      <c r="K97" s="1218"/>
      <c r="L97" s="1213"/>
      <c r="M97" s="1213"/>
      <c r="N97" s="1213"/>
      <c r="O97" s="1298"/>
      <c r="P97" s="1303"/>
      <c r="Q97" s="962"/>
      <c r="R97" s="1299"/>
      <c r="S97" s="386"/>
      <c r="T97" s="378"/>
      <c r="U97" s="378"/>
      <c r="V97" s="636"/>
      <c r="W97" s="1219"/>
      <c r="X97" s="1219"/>
      <c r="Y97" s="1171" t="s">
        <v>340</v>
      </c>
      <c r="Z97" s="1237">
        <v>439</v>
      </c>
      <c r="AA97" s="1236"/>
      <c r="AB97" s="1238"/>
      <c r="AC97" s="180"/>
    </row>
    <row r="98" spans="1:29" s="4" customFormat="1" ht="16.5" customHeight="1">
      <c r="A98" s="1774"/>
      <c r="B98" s="1811"/>
      <c r="C98" s="1965"/>
      <c r="D98" s="1195"/>
      <c r="E98" s="690" t="s">
        <v>293</v>
      </c>
      <c r="F98" s="1865"/>
      <c r="G98" s="1193"/>
      <c r="H98" s="281"/>
      <c r="I98" s="1196"/>
      <c r="J98" s="1217"/>
      <c r="K98" s="1218"/>
      <c r="L98" s="1213"/>
      <c r="M98" s="1213"/>
      <c r="N98" s="1213"/>
      <c r="O98" s="1298"/>
      <c r="P98" s="1303"/>
      <c r="Q98" s="962"/>
      <c r="R98" s="1299"/>
      <c r="S98" s="386"/>
      <c r="T98" s="378"/>
      <c r="U98" s="378"/>
      <c r="V98" s="636"/>
      <c r="W98" s="1219"/>
      <c r="X98" s="1219"/>
      <c r="Y98" s="1171"/>
      <c r="Z98" s="1237"/>
      <c r="AA98" s="1236"/>
      <c r="AB98" s="1238"/>
    </row>
    <row r="99" spans="1:29" s="4" customFormat="1" ht="43.5" customHeight="1">
      <c r="A99" s="1774"/>
      <c r="B99" s="1811"/>
      <c r="C99" s="1965"/>
      <c r="D99" s="1195"/>
      <c r="E99" s="1243" t="s">
        <v>347</v>
      </c>
      <c r="F99" s="1865"/>
      <c r="G99" s="1193"/>
      <c r="H99" s="281"/>
      <c r="I99" s="1196"/>
      <c r="J99" s="1217"/>
      <c r="K99" s="1218"/>
      <c r="L99" s="1213"/>
      <c r="M99" s="1213"/>
      <c r="N99" s="1213"/>
      <c r="O99" s="1298"/>
      <c r="P99" s="1303"/>
      <c r="Q99" s="962"/>
      <c r="R99" s="1299"/>
      <c r="S99" s="386"/>
      <c r="T99" s="378"/>
      <c r="U99" s="378"/>
      <c r="V99" s="636"/>
      <c r="W99" s="1219"/>
      <c r="X99" s="1219"/>
      <c r="Y99" s="1171"/>
      <c r="Z99" s="1237"/>
      <c r="AA99" s="1236"/>
      <c r="AB99" s="1238"/>
    </row>
    <row r="100" spans="1:29" s="4" customFormat="1" ht="40.5" customHeight="1">
      <c r="A100" s="1774"/>
      <c r="B100" s="1811"/>
      <c r="C100" s="1965"/>
      <c r="D100" s="1195"/>
      <c r="E100" s="690" t="s">
        <v>348</v>
      </c>
      <c r="F100" s="1865"/>
      <c r="G100" s="1193"/>
      <c r="H100" s="281"/>
      <c r="I100" s="1196"/>
      <c r="J100" s="1217"/>
      <c r="K100" s="1218"/>
      <c r="L100" s="1213"/>
      <c r="M100" s="1213"/>
      <c r="N100" s="1213"/>
      <c r="O100" s="1298"/>
      <c r="P100" s="1302"/>
      <c r="Q100" s="962"/>
      <c r="R100" s="1299"/>
      <c r="S100" s="386"/>
      <c r="T100" s="378"/>
      <c r="U100" s="378"/>
      <c r="V100" s="636"/>
      <c r="W100" s="1219"/>
      <c r="X100" s="1219"/>
      <c r="Y100" s="1171"/>
      <c r="Z100" s="1237"/>
      <c r="AA100" s="1236"/>
      <c r="AB100" s="1238"/>
    </row>
    <row r="101" spans="1:29" s="4" customFormat="1" ht="25.5" customHeight="1">
      <c r="A101" s="1774"/>
      <c r="B101" s="1811"/>
      <c r="C101" s="1965"/>
      <c r="D101" s="756"/>
      <c r="E101" s="744" t="s">
        <v>292</v>
      </c>
      <c r="F101" s="1199"/>
      <c r="G101" s="757"/>
      <c r="H101" s="758"/>
      <c r="I101" s="1197"/>
      <c r="J101" s="1244"/>
      <c r="K101" s="1245"/>
      <c r="L101" s="234"/>
      <c r="M101" s="234"/>
      <c r="N101" s="234"/>
      <c r="O101" s="1247"/>
      <c r="P101" s="1304"/>
      <c r="Q101" s="1234"/>
      <c r="R101" s="1300"/>
      <c r="S101" s="411"/>
      <c r="T101" s="376"/>
      <c r="U101" s="376"/>
      <c r="V101" s="556"/>
      <c r="W101" s="1153"/>
      <c r="X101" s="1153"/>
      <c r="Y101" s="1246"/>
      <c r="Z101" s="748"/>
      <c r="AA101" s="748"/>
      <c r="AB101" s="484"/>
    </row>
    <row r="102" spans="1:29" s="4" customFormat="1" ht="60.75" customHeight="1">
      <c r="A102" s="1774"/>
      <c r="B102" s="1811"/>
      <c r="C102" s="1965"/>
      <c r="D102" s="1280" t="s">
        <v>11</v>
      </c>
      <c r="E102" s="1249" t="s">
        <v>358</v>
      </c>
      <c r="F102" s="1278" t="s">
        <v>220</v>
      </c>
      <c r="G102" s="1279"/>
      <c r="H102" s="1280"/>
      <c r="I102" s="1281" t="s">
        <v>317</v>
      </c>
      <c r="J102" s="1282"/>
      <c r="K102" s="1260"/>
      <c r="L102" s="247"/>
      <c r="M102" s="247"/>
      <c r="N102" s="247"/>
      <c r="O102" s="205"/>
      <c r="P102" s="206"/>
      <c r="Q102" s="206"/>
      <c r="R102" s="207"/>
      <c r="S102" s="439"/>
      <c r="T102" s="408"/>
      <c r="U102" s="408"/>
      <c r="V102" s="447"/>
      <c r="W102" s="1283"/>
      <c r="X102" s="1283"/>
      <c r="Y102" s="1284"/>
      <c r="Z102" s="279"/>
      <c r="AA102" s="279"/>
      <c r="AB102" s="332"/>
    </row>
    <row r="103" spans="1:29" s="4" customFormat="1" ht="15.75" customHeight="1" thickBot="1">
      <c r="A103" s="1788"/>
      <c r="B103" s="1804"/>
      <c r="C103" s="2056"/>
      <c r="D103" s="562"/>
      <c r="E103" s="562"/>
      <c r="F103" s="973"/>
      <c r="G103" s="562"/>
      <c r="H103" s="562"/>
      <c r="I103" s="1983" t="s">
        <v>204</v>
      </c>
      <c r="J103" s="1984"/>
      <c r="K103" s="588">
        <f>SUM(K88:K102)</f>
        <v>788.7</v>
      </c>
      <c r="L103" s="588">
        <f>SUM(L88:L102)</f>
        <v>568.70000000000005</v>
      </c>
      <c r="M103" s="588">
        <f>SUM(M88:M102)</f>
        <v>0</v>
      </c>
      <c r="N103" s="977">
        <f>SUM(N88:N102)</f>
        <v>220</v>
      </c>
      <c r="O103" s="588">
        <f t="shared" ref="O103:X103" si="19">O94+O89+O88</f>
        <v>1268.3</v>
      </c>
      <c r="P103" s="588">
        <f t="shared" si="19"/>
        <v>943.3</v>
      </c>
      <c r="Q103" s="588">
        <f t="shared" si="19"/>
        <v>0</v>
      </c>
      <c r="R103" s="588">
        <f t="shared" si="19"/>
        <v>325</v>
      </c>
      <c r="S103" s="588">
        <f t="shared" si="19"/>
        <v>0</v>
      </c>
      <c r="T103" s="588">
        <f t="shared" si="19"/>
        <v>0</v>
      </c>
      <c r="U103" s="588">
        <f t="shared" si="19"/>
        <v>0</v>
      </c>
      <c r="V103" s="588">
        <f t="shared" si="19"/>
        <v>0</v>
      </c>
      <c r="W103" s="588">
        <f t="shared" si="19"/>
        <v>973.5</v>
      </c>
      <c r="X103" s="588">
        <f t="shared" si="19"/>
        <v>1173.5</v>
      </c>
      <c r="Y103" s="1222"/>
      <c r="Z103" s="708"/>
      <c r="AA103" s="708"/>
      <c r="AB103" s="590"/>
    </row>
    <row r="104" spans="1:29" s="79" customFormat="1" ht="18" customHeight="1">
      <c r="A104" s="536" t="s">
        <v>9</v>
      </c>
      <c r="B104" s="485" t="s">
        <v>10</v>
      </c>
      <c r="C104" s="311" t="s">
        <v>10</v>
      </c>
      <c r="D104" s="283"/>
      <c r="E104" s="1845" t="s">
        <v>263</v>
      </c>
      <c r="F104" s="1848"/>
      <c r="G104" s="2120" t="s">
        <v>9</v>
      </c>
      <c r="H104" s="1851" t="s">
        <v>157</v>
      </c>
      <c r="I104" s="2097" t="s">
        <v>231</v>
      </c>
      <c r="J104" s="300" t="s">
        <v>13</v>
      </c>
      <c r="K104" s="595">
        <f>L104+N104</f>
        <v>90.5</v>
      </c>
      <c r="L104" s="299">
        <v>90.5</v>
      </c>
      <c r="M104" s="299">
        <v>7.9</v>
      </c>
      <c r="N104" s="674"/>
      <c r="O104" s="676">
        <f>P104+R104</f>
        <v>84.3</v>
      </c>
      <c r="P104" s="1089">
        <v>84.3</v>
      </c>
      <c r="Q104" s="1089">
        <v>5.6</v>
      </c>
      <c r="R104" s="339"/>
      <c r="S104" s="400"/>
      <c r="T104" s="401"/>
      <c r="U104" s="401"/>
      <c r="V104" s="697"/>
      <c r="W104" s="340"/>
      <c r="X104" s="699"/>
      <c r="Y104" s="885" t="s">
        <v>268</v>
      </c>
      <c r="Z104" s="691">
        <v>3</v>
      </c>
      <c r="AA104" s="692"/>
      <c r="AB104" s="693"/>
    </row>
    <row r="105" spans="1:29" s="79" customFormat="1" ht="17.25" customHeight="1">
      <c r="A105" s="536"/>
      <c r="B105" s="366"/>
      <c r="C105" s="311"/>
      <c r="D105" s="283"/>
      <c r="E105" s="1845"/>
      <c r="F105" s="1848"/>
      <c r="G105" s="2120"/>
      <c r="H105" s="1851"/>
      <c r="I105" s="2097"/>
      <c r="J105" s="300" t="s">
        <v>216</v>
      </c>
      <c r="K105" s="595">
        <f>L105+N105</f>
        <v>595</v>
      </c>
      <c r="L105" s="299"/>
      <c r="M105" s="299"/>
      <c r="N105" s="674">
        <v>595</v>
      </c>
      <c r="O105" s="298">
        <f>P105+R105</f>
        <v>595</v>
      </c>
      <c r="P105" s="299"/>
      <c r="Q105" s="299"/>
      <c r="R105" s="330">
        <v>595</v>
      </c>
      <c r="S105" s="400"/>
      <c r="T105" s="401"/>
      <c r="U105" s="401"/>
      <c r="V105" s="697"/>
      <c r="W105" s="331"/>
      <c r="X105" s="699"/>
      <c r="Y105" s="1855" t="s">
        <v>314</v>
      </c>
      <c r="Z105" s="888" t="s">
        <v>156</v>
      </c>
      <c r="AA105" s="886"/>
      <c r="AB105" s="887"/>
    </row>
    <row r="106" spans="1:29" s="79" customFormat="1" ht="18.75" customHeight="1" thickBot="1">
      <c r="A106" s="537"/>
      <c r="B106" s="365"/>
      <c r="C106" s="312"/>
      <c r="D106" s="285"/>
      <c r="E106" s="1846"/>
      <c r="F106" s="1849"/>
      <c r="G106" s="2110"/>
      <c r="H106" s="1852"/>
      <c r="I106" s="2098"/>
      <c r="J106" s="596" t="s">
        <v>16</v>
      </c>
      <c r="K106" s="402">
        <f>K105+K104</f>
        <v>685.5</v>
      </c>
      <c r="L106" s="402">
        <f t="shared" ref="L106:X106" si="20">L105+L104</f>
        <v>90.5</v>
      </c>
      <c r="M106" s="402">
        <f t="shared" si="20"/>
        <v>7.9</v>
      </c>
      <c r="N106" s="675">
        <f t="shared" si="20"/>
        <v>595</v>
      </c>
      <c r="O106" s="460">
        <f>O105+O104</f>
        <v>679.3</v>
      </c>
      <c r="P106" s="402">
        <f t="shared" si="20"/>
        <v>84.3</v>
      </c>
      <c r="Q106" s="402">
        <f t="shared" si="20"/>
        <v>5.6</v>
      </c>
      <c r="R106" s="677">
        <f t="shared" si="20"/>
        <v>595</v>
      </c>
      <c r="S106" s="402">
        <f t="shared" si="20"/>
        <v>0</v>
      </c>
      <c r="T106" s="402">
        <f t="shared" si="20"/>
        <v>0</v>
      </c>
      <c r="U106" s="402">
        <f t="shared" si="20"/>
        <v>0</v>
      </c>
      <c r="V106" s="675">
        <f t="shared" si="20"/>
        <v>0</v>
      </c>
      <c r="W106" s="423">
        <f t="shared" si="20"/>
        <v>0</v>
      </c>
      <c r="X106" s="402">
        <f t="shared" si="20"/>
        <v>0</v>
      </c>
      <c r="Y106" s="1856"/>
      <c r="Z106" s="694"/>
      <c r="AA106" s="695"/>
      <c r="AB106" s="696"/>
    </row>
    <row r="107" spans="1:29" s="79" customFormat="1" ht="18.75" customHeight="1">
      <c r="A107" s="538" t="s">
        <v>9</v>
      </c>
      <c r="B107" s="364" t="s">
        <v>10</v>
      </c>
      <c r="C107" s="310" t="s">
        <v>11</v>
      </c>
      <c r="D107" s="284"/>
      <c r="E107" s="1844" t="s">
        <v>264</v>
      </c>
      <c r="F107" s="1847" t="s">
        <v>212</v>
      </c>
      <c r="G107" s="2108" t="s">
        <v>9</v>
      </c>
      <c r="H107" s="1850" t="s">
        <v>156</v>
      </c>
      <c r="I107" s="2121" t="s">
        <v>232</v>
      </c>
      <c r="J107" s="274" t="s">
        <v>215</v>
      </c>
      <c r="K107" s="337"/>
      <c r="L107" s="321"/>
      <c r="M107" s="321"/>
      <c r="N107" s="322"/>
      <c r="O107" s="294">
        <f>+P107+R107</f>
        <v>2.1</v>
      </c>
      <c r="P107" s="759">
        <v>2.1</v>
      </c>
      <c r="Q107" s="759">
        <v>1.6</v>
      </c>
      <c r="R107" s="766"/>
      <c r="S107" s="405"/>
      <c r="T107" s="406"/>
      <c r="U107" s="406"/>
      <c r="V107" s="698"/>
      <c r="W107" s="340"/>
      <c r="X107" s="700"/>
      <c r="Y107" s="1853" t="s">
        <v>244</v>
      </c>
      <c r="Z107" s="489">
        <v>30</v>
      </c>
      <c r="AA107" s="490"/>
      <c r="AB107" s="491"/>
    </row>
    <row r="108" spans="1:29" s="79" customFormat="1" ht="17.25" customHeight="1">
      <c r="A108" s="536"/>
      <c r="B108" s="366"/>
      <c r="C108" s="311"/>
      <c r="D108" s="283"/>
      <c r="E108" s="1845"/>
      <c r="F108" s="1848"/>
      <c r="G108" s="2109"/>
      <c r="H108" s="1851"/>
      <c r="I108" s="2097"/>
      <c r="J108" s="300" t="s">
        <v>15</v>
      </c>
      <c r="K108" s="303"/>
      <c r="L108" s="301"/>
      <c r="M108" s="301"/>
      <c r="N108" s="302"/>
      <c r="O108" s="760">
        <f>+P108+R108</f>
        <v>12</v>
      </c>
      <c r="P108" s="761">
        <v>12</v>
      </c>
      <c r="Q108" s="762">
        <v>9.1999999999999993</v>
      </c>
      <c r="R108" s="767"/>
      <c r="S108" s="400"/>
      <c r="T108" s="401"/>
      <c r="U108" s="401"/>
      <c r="V108" s="697"/>
      <c r="W108" s="304"/>
      <c r="X108" s="699"/>
      <c r="Y108" s="1854"/>
      <c r="Z108" s="953"/>
      <c r="AA108" s="954"/>
      <c r="AB108" s="955"/>
    </row>
    <row r="109" spans="1:29" s="79" customFormat="1" ht="19.5" customHeight="1" thickBot="1">
      <c r="A109" s="537"/>
      <c r="B109" s="365"/>
      <c r="C109" s="312"/>
      <c r="D109" s="285"/>
      <c r="E109" s="1846"/>
      <c r="F109" s="1849"/>
      <c r="G109" s="2110"/>
      <c r="H109" s="1852"/>
      <c r="I109" s="2098"/>
      <c r="J109" s="420" t="s">
        <v>16</v>
      </c>
      <c r="K109" s="402">
        <f>SUM(K107)</f>
        <v>0</v>
      </c>
      <c r="L109" s="403">
        <f t="shared" ref="L109:N109" si="21">SUM(L107)</f>
        <v>0</v>
      </c>
      <c r="M109" s="403">
        <f t="shared" si="21"/>
        <v>0</v>
      </c>
      <c r="N109" s="459">
        <f t="shared" si="21"/>
        <v>0</v>
      </c>
      <c r="O109" s="422">
        <f>O108+O107</f>
        <v>14.1</v>
      </c>
      <c r="P109" s="403">
        <f t="shared" ref="P109:R109" si="22">P108+P107</f>
        <v>14.1</v>
      </c>
      <c r="Q109" s="403">
        <f t="shared" si="22"/>
        <v>10.799999999999999</v>
      </c>
      <c r="R109" s="404">
        <f t="shared" si="22"/>
        <v>0</v>
      </c>
      <c r="S109" s="402">
        <f t="shared" ref="S109:X109" si="23">SUM(S107)</f>
        <v>0</v>
      </c>
      <c r="T109" s="403">
        <f t="shared" si="23"/>
        <v>0</v>
      </c>
      <c r="U109" s="403">
        <f t="shared" si="23"/>
        <v>0</v>
      </c>
      <c r="V109" s="459">
        <f t="shared" si="23"/>
        <v>0</v>
      </c>
      <c r="W109" s="421">
        <f t="shared" si="23"/>
        <v>0</v>
      </c>
      <c r="X109" s="677">
        <f t="shared" si="23"/>
        <v>0</v>
      </c>
      <c r="Y109" s="957"/>
      <c r="Z109" s="694"/>
      <c r="AA109" s="695"/>
      <c r="AB109" s="958"/>
    </row>
    <row r="110" spans="1:29" s="4" customFormat="1" ht="24.75" customHeight="1">
      <c r="A110" s="1872" t="s">
        <v>9</v>
      </c>
      <c r="B110" s="1875" t="s">
        <v>10</v>
      </c>
      <c r="C110" s="1834" t="s">
        <v>12</v>
      </c>
      <c r="D110" s="2062"/>
      <c r="E110" s="1879" t="s">
        <v>30</v>
      </c>
      <c r="F110" s="1882" t="s">
        <v>237</v>
      </c>
      <c r="G110" s="2118" t="s">
        <v>9</v>
      </c>
      <c r="H110" s="1867" t="s">
        <v>156</v>
      </c>
      <c r="I110" s="2025" t="s">
        <v>232</v>
      </c>
      <c r="J110" s="78" t="s">
        <v>13</v>
      </c>
      <c r="K110" s="768"/>
      <c r="L110" s="720"/>
      <c r="M110" s="720"/>
      <c r="N110" s="769"/>
      <c r="O110" s="770">
        <v>117.3</v>
      </c>
      <c r="P110" s="759">
        <v>42.3</v>
      </c>
      <c r="Q110" s="759">
        <v>3</v>
      </c>
      <c r="R110" s="766">
        <v>75</v>
      </c>
      <c r="S110" s="900"/>
      <c r="T110" s="901"/>
      <c r="U110" s="901"/>
      <c r="V110" s="902"/>
      <c r="W110" s="271"/>
      <c r="X110" s="315"/>
      <c r="Y110" s="1853" t="s">
        <v>300</v>
      </c>
      <c r="Z110" s="489">
        <v>1</v>
      </c>
      <c r="AA110" s="753"/>
      <c r="AB110" s="755"/>
    </row>
    <row r="111" spans="1:29" s="4" customFormat="1" ht="32.25" customHeight="1">
      <c r="A111" s="1873"/>
      <c r="B111" s="1876"/>
      <c r="C111" s="1878"/>
      <c r="D111" s="2030"/>
      <c r="E111" s="1880"/>
      <c r="F111" s="1883"/>
      <c r="G111" s="2021"/>
      <c r="H111" s="1868"/>
      <c r="I111" s="2058"/>
      <c r="J111" s="86" t="s">
        <v>15</v>
      </c>
      <c r="K111" s="771"/>
      <c r="L111" s="684"/>
      <c r="M111" s="684"/>
      <c r="N111" s="772"/>
      <c r="O111" s="773">
        <v>665.1</v>
      </c>
      <c r="P111" s="762">
        <v>240.1</v>
      </c>
      <c r="Q111" s="762">
        <v>22.7</v>
      </c>
      <c r="R111" s="767">
        <v>425</v>
      </c>
      <c r="S111" s="903"/>
      <c r="T111" s="904"/>
      <c r="U111" s="904"/>
      <c r="V111" s="905"/>
      <c r="W111" s="906"/>
      <c r="X111" s="907"/>
      <c r="Y111" s="1870"/>
      <c r="Z111" s="956"/>
      <c r="AA111" s="343"/>
      <c r="AB111" s="344"/>
    </row>
    <row r="112" spans="1:29" s="4" customFormat="1" ht="27" customHeight="1" thickBot="1">
      <c r="A112" s="1874"/>
      <c r="B112" s="1877"/>
      <c r="C112" s="1836"/>
      <c r="D112" s="2063"/>
      <c r="E112" s="1881"/>
      <c r="F112" s="1884"/>
      <c r="G112" s="2057"/>
      <c r="H112" s="1869"/>
      <c r="I112" s="2026"/>
      <c r="J112" s="597" t="s">
        <v>16</v>
      </c>
      <c r="K112" s="774">
        <f>SUM(K110:K111)</f>
        <v>0</v>
      </c>
      <c r="L112" s="775">
        <f t="shared" ref="L112:V112" si="24">SUM(L110:L111)</f>
        <v>0</v>
      </c>
      <c r="M112" s="775">
        <f t="shared" si="24"/>
        <v>0</v>
      </c>
      <c r="N112" s="776">
        <f t="shared" si="24"/>
        <v>0</v>
      </c>
      <c r="O112" s="777">
        <f>SUM(O110:O111)</f>
        <v>782.4</v>
      </c>
      <c r="P112" s="778">
        <f t="shared" si="24"/>
        <v>282.39999999999998</v>
      </c>
      <c r="Q112" s="778">
        <f t="shared" si="24"/>
        <v>25.7</v>
      </c>
      <c r="R112" s="779">
        <f t="shared" si="24"/>
        <v>500</v>
      </c>
      <c r="S112" s="778">
        <f t="shared" si="24"/>
        <v>0</v>
      </c>
      <c r="T112" s="778">
        <f t="shared" si="24"/>
        <v>0</v>
      </c>
      <c r="U112" s="778">
        <f t="shared" si="24"/>
        <v>0</v>
      </c>
      <c r="V112" s="776">
        <f t="shared" si="24"/>
        <v>0</v>
      </c>
      <c r="W112" s="416"/>
      <c r="X112" s="778"/>
      <c r="Y112" s="959"/>
      <c r="Z112" s="879"/>
      <c r="AA112" s="879"/>
      <c r="AB112" s="960"/>
    </row>
    <row r="113" spans="1:28" s="4" customFormat="1" ht="16.5" customHeight="1" thickBot="1">
      <c r="A113" s="543" t="s">
        <v>9</v>
      </c>
      <c r="B113" s="77" t="s">
        <v>10</v>
      </c>
      <c r="C113" s="1635" t="s">
        <v>17</v>
      </c>
      <c r="D113" s="1636"/>
      <c r="E113" s="1636"/>
      <c r="F113" s="1636"/>
      <c r="G113" s="1636"/>
      <c r="H113" s="1636"/>
      <c r="I113" s="1637"/>
      <c r="J113" s="1637"/>
      <c r="K113" s="197">
        <f>K112+K109+K106+K103</f>
        <v>1474.2</v>
      </c>
      <c r="L113" s="197">
        <f t="shared" ref="L113:X113" si="25">L112+L103+L106+L109</f>
        <v>659.2</v>
      </c>
      <c r="M113" s="197">
        <f t="shared" si="25"/>
        <v>7.9</v>
      </c>
      <c r="N113" s="197">
        <f t="shared" si="25"/>
        <v>815</v>
      </c>
      <c r="O113" s="197">
        <f>O112+O103+O106+O109</f>
        <v>2744.1</v>
      </c>
      <c r="P113" s="197">
        <f t="shared" si="25"/>
        <v>1324.0999999999997</v>
      </c>
      <c r="Q113" s="197">
        <f t="shared" si="25"/>
        <v>42.099999999999994</v>
      </c>
      <c r="R113" s="197">
        <f t="shared" si="25"/>
        <v>1420</v>
      </c>
      <c r="S113" s="197">
        <f t="shared" si="25"/>
        <v>0</v>
      </c>
      <c r="T113" s="197">
        <f t="shared" si="25"/>
        <v>0</v>
      </c>
      <c r="U113" s="197">
        <f t="shared" si="25"/>
        <v>0</v>
      </c>
      <c r="V113" s="763">
        <f t="shared" si="25"/>
        <v>0</v>
      </c>
      <c r="W113" s="765">
        <f t="shared" si="25"/>
        <v>973.5</v>
      </c>
      <c r="X113" s="764">
        <f t="shared" si="25"/>
        <v>1173.5</v>
      </c>
      <c r="Y113" s="425"/>
      <c r="Z113" s="426"/>
      <c r="AA113" s="426"/>
      <c r="AB113" s="427"/>
    </row>
    <row r="114" spans="1:28" s="4" customFormat="1" ht="15" customHeight="1" thickBot="1">
      <c r="A114" s="538" t="s">
        <v>9</v>
      </c>
      <c r="B114" s="305" t="s">
        <v>11</v>
      </c>
      <c r="C114" s="1861" t="s">
        <v>59</v>
      </c>
      <c r="D114" s="1862"/>
      <c r="E114" s="1862"/>
      <c r="F114" s="1862"/>
      <c r="G114" s="1862"/>
      <c r="H114" s="1862"/>
      <c r="I114" s="1862"/>
      <c r="J114" s="1862"/>
      <c r="K114" s="1862"/>
      <c r="L114" s="1862"/>
      <c r="M114" s="1862"/>
      <c r="N114" s="1862"/>
      <c r="O114" s="1871"/>
      <c r="P114" s="1871"/>
      <c r="Q114" s="1871"/>
      <c r="R114" s="1871"/>
      <c r="S114" s="1871"/>
      <c r="T114" s="1871"/>
      <c r="U114" s="1871"/>
      <c r="V114" s="1871"/>
      <c r="W114" s="1862"/>
      <c r="X114" s="1862"/>
      <c r="Y114" s="1862"/>
      <c r="Z114" s="1862"/>
      <c r="AA114" s="1862"/>
      <c r="AB114" s="1863"/>
    </row>
    <row r="115" spans="1:28" s="79" customFormat="1" ht="26.25" customHeight="1">
      <c r="A115" s="1802" t="s">
        <v>9</v>
      </c>
      <c r="B115" s="1803" t="s">
        <v>11</v>
      </c>
      <c r="C115" s="1890" t="s">
        <v>9</v>
      </c>
      <c r="D115" s="752"/>
      <c r="E115" s="1879" t="s">
        <v>166</v>
      </c>
      <c r="F115" s="1892" t="s">
        <v>210</v>
      </c>
      <c r="G115" s="2059" t="s">
        <v>9</v>
      </c>
      <c r="H115" s="1867" t="s">
        <v>156</v>
      </c>
      <c r="I115" s="2025" t="s">
        <v>178</v>
      </c>
      <c r="J115" s="78" t="s">
        <v>13</v>
      </c>
      <c r="K115" s="680">
        <f>L115+N115</f>
        <v>39.9</v>
      </c>
      <c r="L115" s="681">
        <v>39.9</v>
      </c>
      <c r="M115" s="681">
        <v>4.0999999999999996</v>
      </c>
      <c r="N115" s="682"/>
      <c r="O115" s="676">
        <f>P115+R115</f>
        <v>16.5</v>
      </c>
      <c r="P115" s="338">
        <v>16.5</v>
      </c>
      <c r="Q115" s="889"/>
      <c r="R115" s="908"/>
      <c r="S115" s="909"/>
      <c r="T115" s="910"/>
      <c r="U115" s="910"/>
      <c r="V115" s="911"/>
      <c r="W115" s="912"/>
      <c r="X115" s="913"/>
      <c r="Y115" s="876" t="s">
        <v>172</v>
      </c>
      <c r="Z115" s="880">
        <v>220</v>
      </c>
      <c r="AA115" s="880"/>
      <c r="AB115" s="882"/>
    </row>
    <row r="116" spans="1:28" s="79" customFormat="1" ht="21" customHeight="1">
      <c r="A116" s="1774"/>
      <c r="B116" s="1811"/>
      <c r="C116" s="1776"/>
      <c r="D116" s="751"/>
      <c r="E116" s="1891"/>
      <c r="F116" s="1893"/>
      <c r="G116" s="2060"/>
      <c r="H116" s="1958"/>
      <c r="I116" s="2058"/>
      <c r="J116" s="172" t="s">
        <v>15</v>
      </c>
      <c r="K116" s="683">
        <f>L116</f>
        <v>206.1</v>
      </c>
      <c r="L116" s="684">
        <v>206.1</v>
      </c>
      <c r="M116" s="684">
        <v>9.9</v>
      </c>
      <c r="N116" s="685"/>
      <c r="O116" s="298">
        <f>P116+R116</f>
        <v>93.1</v>
      </c>
      <c r="P116" s="299">
        <v>93.1</v>
      </c>
      <c r="Q116" s="890"/>
      <c r="R116" s="914"/>
      <c r="S116" s="915"/>
      <c r="T116" s="916"/>
      <c r="U116" s="916"/>
      <c r="V116" s="917"/>
      <c r="W116" s="918"/>
      <c r="X116" s="919"/>
      <c r="Y116" s="873"/>
      <c r="Z116" s="962"/>
      <c r="AA116" s="276"/>
      <c r="AB116" s="433"/>
    </row>
    <row r="117" spans="1:28" s="79" customFormat="1" ht="21" customHeight="1" thickBot="1">
      <c r="A117" s="1788"/>
      <c r="B117" s="1804"/>
      <c r="C117" s="1885"/>
      <c r="D117" s="754"/>
      <c r="E117" s="1881"/>
      <c r="F117" s="1894"/>
      <c r="G117" s="2061"/>
      <c r="H117" s="1869"/>
      <c r="I117" s="2026"/>
      <c r="J117" s="458" t="s">
        <v>16</v>
      </c>
      <c r="K117" s="778">
        <f t="shared" ref="K117:N117" si="26">K116+K115</f>
        <v>246</v>
      </c>
      <c r="L117" s="775">
        <f t="shared" si="26"/>
        <v>246</v>
      </c>
      <c r="M117" s="775">
        <f t="shared" si="26"/>
        <v>14</v>
      </c>
      <c r="N117" s="891">
        <f t="shared" si="26"/>
        <v>0</v>
      </c>
      <c r="O117" s="777">
        <f>O116+O115</f>
        <v>109.6</v>
      </c>
      <c r="P117" s="775">
        <f>P116+P115</f>
        <v>109.6</v>
      </c>
      <c r="Q117" s="775">
        <f t="shared" ref="Q117:X117" si="27">Q116+Q115</f>
        <v>0</v>
      </c>
      <c r="R117" s="891">
        <f t="shared" si="27"/>
        <v>0</v>
      </c>
      <c r="S117" s="778">
        <f t="shared" si="27"/>
        <v>0</v>
      </c>
      <c r="T117" s="775">
        <f t="shared" si="27"/>
        <v>0</v>
      </c>
      <c r="U117" s="775">
        <f t="shared" si="27"/>
        <v>0</v>
      </c>
      <c r="V117" s="891">
        <f t="shared" si="27"/>
        <v>0</v>
      </c>
      <c r="W117" s="778">
        <f t="shared" si="27"/>
        <v>0</v>
      </c>
      <c r="X117" s="774">
        <f t="shared" si="27"/>
        <v>0</v>
      </c>
      <c r="Y117" s="961"/>
      <c r="Z117" s="881"/>
      <c r="AA117" s="881"/>
      <c r="AB117" s="883"/>
    </row>
    <row r="118" spans="1:28" s="4" customFormat="1" ht="27.75" customHeight="1">
      <c r="A118" s="1774" t="s">
        <v>9</v>
      </c>
      <c r="B118" s="1811" t="s">
        <v>11</v>
      </c>
      <c r="C118" s="1776" t="s">
        <v>10</v>
      </c>
      <c r="D118" s="524"/>
      <c r="E118" s="1886" t="s">
        <v>265</v>
      </c>
      <c r="F118" s="1888"/>
      <c r="G118" s="2021" t="s">
        <v>9</v>
      </c>
      <c r="H118" s="1868" t="s">
        <v>156</v>
      </c>
      <c r="I118" s="2058" t="s">
        <v>179</v>
      </c>
      <c r="J118" s="172" t="s">
        <v>15</v>
      </c>
      <c r="K118" s="894">
        <f>L118+N118</f>
        <v>4</v>
      </c>
      <c r="L118" s="895">
        <v>4</v>
      </c>
      <c r="M118" s="896"/>
      <c r="N118" s="897"/>
      <c r="O118" s="898">
        <f>P118+R118</f>
        <v>3</v>
      </c>
      <c r="P118" s="899">
        <v>3</v>
      </c>
      <c r="Q118" s="762"/>
      <c r="R118" s="767"/>
      <c r="S118" s="923">
        <f>T118</f>
        <v>0</v>
      </c>
      <c r="T118" s="924">
        <v>0</v>
      </c>
      <c r="U118" s="921"/>
      <c r="V118" s="922"/>
      <c r="W118" s="315"/>
      <c r="X118" s="599"/>
      <c r="Y118" s="876" t="s">
        <v>378</v>
      </c>
      <c r="Z118" s="878">
        <v>1</v>
      </c>
      <c r="AA118" s="878"/>
      <c r="AB118" s="877"/>
    </row>
    <row r="119" spans="1:28" s="4" customFormat="1" ht="25.5" customHeight="1" thickBot="1">
      <c r="A119" s="1788"/>
      <c r="B119" s="1804"/>
      <c r="C119" s="1885"/>
      <c r="D119" s="363"/>
      <c r="E119" s="1887"/>
      <c r="F119" s="1889"/>
      <c r="G119" s="2057"/>
      <c r="H119" s="1869"/>
      <c r="I119" s="2026"/>
      <c r="J119" s="412" t="s">
        <v>16</v>
      </c>
      <c r="K119" s="778">
        <f>L119+N119</f>
        <v>4</v>
      </c>
      <c r="L119" s="775">
        <f>L118</f>
        <v>4</v>
      </c>
      <c r="M119" s="775"/>
      <c r="N119" s="891"/>
      <c r="O119" s="777">
        <f>P119+R119</f>
        <v>3</v>
      </c>
      <c r="P119" s="775">
        <f>P118</f>
        <v>3</v>
      </c>
      <c r="Q119" s="775"/>
      <c r="R119" s="891"/>
      <c r="S119" s="778">
        <f>T119+V119</f>
        <v>0</v>
      </c>
      <c r="T119" s="775">
        <f>T118</f>
        <v>0</v>
      </c>
      <c r="U119" s="775"/>
      <c r="V119" s="891"/>
      <c r="W119" s="776"/>
      <c r="X119" s="774"/>
      <c r="Y119" s="615"/>
      <c r="Z119" s="614"/>
      <c r="AA119" s="881"/>
      <c r="AB119" s="883"/>
    </row>
    <row r="120" spans="1:28" s="4" customFormat="1" ht="13.5" thickBot="1">
      <c r="A120" s="543" t="s">
        <v>9</v>
      </c>
      <c r="B120" s="77" t="s">
        <v>11</v>
      </c>
      <c r="C120" s="1635" t="s">
        <v>17</v>
      </c>
      <c r="D120" s="1636"/>
      <c r="E120" s="1636"/>
      <c r="F120" s="1636"/>
      <c r="G120" s="1636"/>
      <c r="H120" s="1636"/>
      <c r="I120" s="1636"/>
      <c r="J120" s="1636"/>
      <c r="K120" s="197">
        <f t="shared" ref="K120:X120" si="28">K119+K117</f>
        <v>250</v>
      </c>
      <c r="L120" s="197">
        <f t="shared" si="28"/>
        <v>250</v>
      </c>
      <c r="M120" s="197">
        <f t="shared" si="28"/>
        <v>14</v>
      </c>
      <c r="N120" s="197">
        <f t="shared" si="28"/>
        <v>0</v>
      </c>
      <c r="O120" s="197">
        <f t="shared" si="28"/>
        <v>112.6</v>
      </c>
      <c r="P120" s="197">
        <f t="shared" si="28"/>
        <v>112.6</v>
      </c>
      <c r="Q120" s="197">
        <f t="shared" si="28"/>
        <v>0</v>
      </c>
      <c r="R120" s="197">
        <f t="shared" si="28"/>
        <v>0</v>
      </c>
      <c r="S120" s="197">
        <f t="shared" si="28"/>
        <v>0</v>
      </c>
      <c r="T120" s="197">
        <f t="shared" si="28"/>
        <v>0</v>
      </c>
      <c r="U120" s="197">
        <f t="shared" si="28"/>
        <v>0</v>
      </c>
      <c r="V120" s="197">
        <f t="shared" si="28"/>
        <v>0</v>
      </c>
      <c r="W120" s="197">
        <f t="shared" si="28"/>
        <v>0</v>
      </c>
      <c r="X120" s="197">
        <f t="shared" si="28"/>
        <v>0</v>
      </c>
      <c r="Y120" s="1912"/>
      <c r="Z120" s="1913"/>
      <c r="AA120" s="1913"/>
      <c r="AB120" s="1914"/>
    </row>
    <row r="121" spans="1:28" s="4" customFormat="1" ht="15.75" customHeight="1" thickBot="1">
      <c r="A121" s="543" t="s">
        <v>9</v>
      </c>
      <c r="B121" s="174" t="s">
        <v>12</v>
      </c>
      <c r="C121" s="1861" t="s">
        <v>167</v>
      </c>
      <c r="D121" s="1862"/>
      <c r="E121" s="1862"/>
      <c r="F121" s="1862"/>
      <c r="G121" s="1862"/>
      <c r="H121" s="1862"/>
      <c r="I121" s="1862"/>
      <c r="J121" s="1862"/>
      <c r="K121" s="2117"/>
      <c r="L121" s="2117"/>
      <c r="M121" s="2117"/>
      <c r="N121" s="2117"/>
      <c r="O121" s="2117"/>
      <c r="P121" s="2117"/>
      <c r="Q121" s="2117"/>
      <c r="R121" s="2117"/>
      <c r="S121" s="2117"/>
      <c r="T121" s="2117"/>
      <c r="U121" s="2117"/>
      <c r="V121" s="2117"/>
      <c r="W121" s="1862"/>
      <c r="X121" s="1862"/>
      <c r="Y121" s="1862"/>
      <c r="Z121" s="1862"/>
      <c r="AA121" s="1862"/>
      <c r="AB121" s="1863"/>
    </row>
    <row r="122" spans="1:28" s="4" customFormat="1" ht="41.25" customHeight="1">
      <c r="A122" s="845" t="s">
        <v>9</v>
      </c>
      <c r="B122" s="843" t="s">
        <v>12</v>
      </c>
      <c r="C122" s="846" t="s">
        <v>9</v>
      </c>
      <c r="D122" s="613"/>
      <c r="E122" s="593" t="s">
        <v>239</v>
      </c>
      <c r="F122" s="803"/>
      <c r="G122" s="806" t="s">
        <v>9</v>
      </c>
      <c r="H122" s="809" t="s">
        <v>156</v>
      </c>
      <c r="I122" s="781" t="s">
        <v>238</v>
      </c>
      <c r="J122" s="294" t="s">
        <v>13</v>
      </c>
      <c r="K122" s="209"/>
      <c r="L122" s="210"/>
      <c r="M122" s="210"/>
      <c r="N122" s="245"/>
      <c r="O122" s="1094"/>
      <c r="P122" s="345"/>
      <c r="Q122" s="346"/>
      <c r="R122" s="347"/>
      <c r="S122" s="438"/>
      <c r="T122" s="384"/>
      <c r="U122" s="384"/>
      <c r="V122" s="385"/>
      <c r="W122" s="313"/>
      <c r="X122" s="201"/>
      <c r="Y122" s="686"/>
      <c r="Z122" s="687"/>
      <c r="AA122" s="286"/>
      <c r="AB122" s="308"/>
    </row>
    <row r="123" spans="1:28" s="4" customFormat="1" ht="26.25" customHeight="1">
      <c r="A123" s="842"/>
      <c r="B123" s="844"/>
      <c r="C123" s="847"/>
      <c r="D123" s="612" t="s">
        <v>9</v>
      </c>
      <c r="E123" s="608" t="s">
        <v>294</v>
      </c>
      <c r="F123" s="804"/>
      <c r="G123" s="807"/>
      <c r="H123" s="810"/>
      <c r="I123" s="780"/>
      <c r="J123" s="170" t="s">
        <v>13</v>
      </c>
      <c r="K123" s="771">
        <f>L123</f>
        <v>516.9</v>
      </c>
      <c r="L123" s="684">
        <v>516.9</v>
      </c>
      <c r="M123" s="684"/>
      <c r="N123" s="685"/>
      <c r="O123" s="1255">
        <f>P123</f>
        <v>408.3</v>
      </c>
      <c r="P123" s="1256">
        <v>408.3</v>
      </c>
      <c r="Q123" s="1257"/>
      <c r="R123" s="1258"/>
      <c r="S123" s="920">
        <f>T123</f>
        <v>0</v>
      </c>
      <c r="T123" s="921">
        <v>0</v>
      </c>
      <c r="U123" s="921"/>
      <c r="V123" s="922"/>
      <c r="W123" s="925"/>
      <c r="X123" s="599"/>
      <c r="Y123" s="616" t="s">
        <v>381</v>
      </c>
      <c r="Z123" s="483">
        <v>542.25</v>
      </c>
      <c r="AA123" s="619"/>
      <c r="AB123" s="484"/>
    </row>
    <row r="124" spans="1:28" s="4" customFormat="1" ht="27.75" customHeight="1">
      <c r="A124" s="1060"/>
      <c r="B124" s="1061"/>
      <c r="C124" s="1069"/>
      <c r="D124" s="367" t="s">
        <v>10</v>
      </c>
      <c r="E124" s="1062" t="s">
        <v>318</v>
      </c>
      <c r="F124" s="805"/>
      <c r="G124" s="808"/>
      <c r="H124" s="811"/>
      <c r="I124" s="782"/>
      <c r="J124" s="170" t="s">
        <v>13</v>
      </c>
      <c r="K124" s="771">
        <f>L124+N124</f>
        <v>159.1</v>
      </c>
      <c r="L124" s="684">
        <v>159.1</v>
      </c>
      <c r="M124" s="684"/>
      <c r="N124" s="685"/>
      <c r="O124" s="1255">
        <f>P124+R124</f>
        <v>181</v>
      </c>
      <c r="P124" s="1256"/>
      <c r="Q124" s="1257"/>
      <c r="R124" s="1258">
        <v>181</v>
      </c>
      <c r="S124" s="920">
        <f>T124+V124</f>
        <v>0</v>
      </c>
      <c r="T124" s="921">
        <v>0</v>
      </c>
      <c r="U124" s="921"/>
      <c r="V124" s="922"/>
      <c r="W124" s="925"/>
      <c r="X124" s="599"/>
      <c r="Y124" s="278" t="s">
        <v>404</v>
      </c>
      <c r="Z124" s="361">
        <v>268</v>
      </c>
      <c r="AA124" s="279"/>
      <c r="AB124" s="332"/>
    </row>
    <row r="125" spans="1:28" s="4" customFormat="1" ht="22.5" customHeight="1">
      <c r="A125" s="842"/>
      <c r="B125" s="844"/>
      <c r="C125" s="847"/>
      <c r="D125" s="1059" t="s">
        <v>11</v>
      </c>
      <c r="E125" s="1068" t="s">
        <v>296</v>
      </c>
      <c r="F125" s="804"/>
      <c r="G125" s="807"/>
      <c r="H125" s="810"/>
      <c r="I125" s="780"/>
      <c r="J125" s="170" t="s">
        <v>13</v>
      </c>
      <c r="K125" s="771"/>
      <c r="L125" s="684"/>
      <c r="M125" s="684"/>
      <c r="N125" s="685"/>
      <c r="O125" s="1095">
        <f>R125</f>
        <v>286.5</v>
      </c>
      <c r="P125" s="348"/>
      <c r="Q125" s="349"/>
      <c r="R125" s="350">
        <v>286.5</v>
      </c>
      <c r="S125" s="920"/>
      <c r="T125" s="921"/>
      <c r="U125" s="921"/>
      <c r="V125" s="922"/>
      <c r="W125" s="925"/>
      <c r="X125" s="599"/>
      <c r="Y125" s="747" t="s">
        <v>405</v>
      </c>
      <c r="Z125" s="483">
        <v>691</v>
      </c>
      <c r="AA125" s="276"/>
      <c r="AB125" s="433"/>
    </row>
    <row r="126" spans="1:28" s="4" customFormat="1" ht="24.75" customHeight="1">
      <c r="A126" s="842"/>
      <c r="B126" s="844"/>
      <c r="C126" s="847"/>
      <c r="D126" s="840" t="s">
        <v>12</v>
      </c>
      <c r="E126" s="1724" t="s">
        <v>295</v>
      </c>
      <c r="F126" s="804"/>
      <c r="G126" s="807"/>
      <c r="H126" s="810"/>
      <c r="I126" s="841"/>
      <c r="J126" s="633" t="s">
        <v>13</v>
      </c>
      <c r="K126" s="771"/>
      <c r="L126" s="684"/>
      <c r="M126" s="684"/>
      <c r="N126" s="685"/>
      <c r="O126" s="683">
        <f t="shared" ref="O126:O128" si="29">+P126+R126</f>
        <v>12</v>
      </c>
      <c r="P126" s="684">
        <v>12</v>
      </c>
      <c r="Q126" s="349"/>
      <c r="R126" s="350"/>
      <c r="S126" s="927"/>
      <c r="T126" s="928"/>
      <c r="U126" s="928"/>
      <c r="V126" s="929"/>
      <c r="W126" s="930"/>
      <c r="X126" s="931"/>
      <c r="Y126" s="617" t="s">
        <v>406</v>
      </c>
      <c r="Z126" s="704">
        <v>245</v>
      </c>
      <c r="AA126" s="252"/>
      <c r="AB126" s="253"/>
    </row>
    <row r="127" spans="1:28" s="4" customFormat="1" ht="27.75" customHeight="1">
      <c r="A127" s="842"/>
      <c r="B127" s="844"/>
      <c r="C127" s="847"/>
      <c r="D127" s="840"/>
      <c r="E127" s="1778"/>
      <c r="F127" s="804"/>
      <c r="G127" s="807"/>
      <c r="H127" s="810"/>
      <c r="I127" s="841"/>
      <c r="J127" s="640" t="s">
        <v>13</v>
      </c>
      <c r="K127" s="771"/>
      <c r="L127" s="684"/>
      <c r="M127" s="684"/>
      <c r="N127" s="685"/>
      <c r="O127" s="683">
        <f t="shared" si="29"/>
        <v>21</v>
      </c>
      <c r="P127" s="684">
        <v>21</v>
      </c>
      <c r="Q127" s="349"/>
      <c r="R127" s="350"/>
      <c r="S127" s="932"/>
      <c r="T127" s="933"/>
      <c r="U127" s="933"/>
      <c r="V127" s="934"/>
      <c r="W127" s="935"/>
      <c r="X127" s="743"/>
      <c r="Y127" s="679" t="s">
        <v>407</v>
      </c>
      <c r="Z127" s="672">
        <v>300</v>
      </c>
      <c r="AA127" s="706"/>
      <c r="AB127" s="707"/>
    </row>
    <row r="128" spans="1:28" s="4" customFormat="1" ht="25.5" customHeight="1">
      <c r="A128" s="979"/>
      <c r="B128" s="981"/>
      <c r="C128" s="847"/>
      <c r="D128" s="367"/>
      <c r="E128" s="1725"/>
      <c r="F128" s="804"/>
      <c r="G128" s="807"/>
      <c r="H128" s="810"/>
      <c r="I128" s="980"/>
      <c r="J128" s="170" t="s">
        <v>13</v>
      </c>
      <c r="K128" s="771"/>
      <c r="L128" s="684"/>
      <c r="M128" s="684"/>
      <c r="N128" s="685"/>
      <c r="O128" s="683">
        <f t="shared" si="29"/>
        <v>36</v>
      </c>
      <c r="P128" s="684">
        <f>30+6</f>
        <v>36</v>
      </c>
      <c r="Q128" s="349"/>
      <c r="R128" s="350"/>
      <c r="S128" s="920"/>
      <c r="T128" s="921"/>
      <c r="U128" s="921"/>
      <c r="V128" s="922"/>
      <c r="W128" s="925"/>
      <c r="X128" s="599"/>
      <c r="Y128" s="747" t="s">
        <v>408</v>
      </c>
      <c r="Z128" s="483">
        <v>700</v>
      </c>
      <c r="AA128" s="748"/>
      <c r="AB128" s="484"/>
    </row>
    <row r="129" spans="1:28" s="4" customFormat="1" ht="38.25" customHeight="1">
      <c r="A129" s="842"/>
      <c r="B129" s="844"/>
      <c r="C129" s="847"/>
      <c r="D129" s="848" t="s">
        <v>34</v>
      </c>
      <c r="E129" s="1307" t="s">
        <v>349</v>
      </c>
      <c r="F129" s="804"/>
      <c r="G129" s="807"/>
      <c r="H129" s="810"/>
      <c r="I129" s="780"/>
      <c r="J129" s="170" t="s">
        <v>13</v>
      </c>
      <c r="K129" s="771"/>
      <c r="L129" s="684"/>
      <c r="M129" s="684"/>
      <c r="N129" s="685"/>
      <c r="O129" s="1095">
        <f>P129</f>
        <v>47.3</v>
      </c>
      <c r="P129" s="348">
        <v>47.3</v>
      </c>
      <c r="Q129" s="349"/>
      <c r="R129" s="350"/>
      <c r="S129" s="920"/>
      <c r="T129" s="921"/>
      <c r="U129" s="921"/>
      <c r="V129" s="922"/>
      <c r="W129" s="925"/>
      <c r="X129" s="599"/>
      <c r="Y129" s="747" t="s">
        <v>409</v>
      </c>
      <c r="Z129" s="483">
        <v>431</v>
      </c>
      <c r="AA129" s="748"/>
      <c r="AB129" s="484"/>
    </row>
    <row r="130" spans="1:28" s="4" customFormat="1" ht="40.5" customHeight="1">
      <c r="A130" s="842"/>
      <c r="B130" s="844"/>
      <c r="C130" s="847"/>
      <c r="D130" s="367" t="s">
        <v>36</v>
      </c>
      <c r="E130" s="709" t="s">
        <v>350</v>
      </c>
      <c r="F130" s="805"/>
      <c r="G130" s="808"/>
      <c r="H130" s="811"/>
      <c r="I130" s="782"/>
      <c r="J130" s="170" t="s">
        <v>13</v>
      </c>
      <c r="K130" s="771">
        <f>L130</f>
        <v>38.6</v>
      </c>
      <c r="L130" s="684">
        <v>38.6</v>
      </c>
      <c r="M130" s="684"/>
      <c r="N130" s="685"/>
      <c r="O130" s="1095">
        <f>P130+R130</f>
        <v>69.7</v>
      </c>
      <c r="P130" s="348">
        <v>0</v>
      </c>
      <c r="Q130" s="349"/>
      <c r="R130" s="350">
        <v>69.7</v>
      </c>
      <c r="S130" s="903">
        <f>T130</f>
        <v>0</v>
      </c>
      <c r="T130" s="904">
        <v>0</v>
      </c>
      <c r="U130" s="904"/>
      <c r="V130" s="926"/>
      <c r="W130" s="925"/>
      <c r="X130" s="599"/>
      <c r="Y130" s="747" t="s">
        <v>410</v>
      </c>
      <c r="Z130" s="483">
        <v>309</v>
      </c>
      <c r="AA130" s="748"/>
      <c r="AB130" s="484"/>
    </row>
    <row r="131" spans="1:28" s="4" customFormat="1" ht="15" customHeight="1" thickBot="1">
      <c r="A131" s="542"/>
      <c r="B131" s="358"/>
      <c r="C131" s="562"/>
      <c r="D131" s="562"/>
      <c r="E131" s="562"/>
      <c r="F131" s="562"/>
      <c r="G131" s="562"/>
      <c r="H131" s="562"/>
      <c r="I131" s="1983"/>
      <c r="J131" s="1984"/>
      <c r="K131" s="1091">
        <f t="shared" ref="K131:X131" si="30">SUM(K123:K130)</f>
        <v>714.6</v>
      </c>
      <c r="L131" s="1092">
        <f t="shared" si="30"/>
        <v>714.6</v>
      </c>
      <c r="M131" s="1092">
        <f t="shared" si="30"/>
        <v>0</v>
      </c>
      <c r="N131" s="1093">
        <f t="shared" si="30"/>
        <v>0</v>
      </c>
      <c r="O131" s="1096">
        <f t="shared" si="30"/>
        <v>1061.8</v>
      </c>
      <c r="P131" s="1092">
        <f t="shared" si="30"/>
        <v>524.6</v>
      </c>
      <c r="Q131" s="1092">
        <f t="shared" si="30"/>
        <v>0</v>
      </c>
      <c r="R131" s="1093">
        <f t="shared" si="30"/>
        <v>537.20000000000005</v>
      </c>
      <c r="S131" s="1090">
        <f t="shared" si="30"/>
        <v>0</v>
      </c>
      <c r="T131" s="936">
        <f t="shared" si="30"/>
        <v>0</v>
      </c>
      <c r="U131" s="936">
        <f t="shared" si="30"/>
        <v>0</v>
      </c>
      <c r="V131" s="936">
        <f t="shared" si="30"/>
        <v>0</v>
      </c>
      <c r="W131" s="936">
        <f t="shared" si="30"/>
        <v>0</v>
      </c>
      <c r="X131" s="936">
        <f t="shared" si="30"/>
        <v>0</v>
      </c>
      <c r="Y131" s="589"/>
      <c r="Z131" s="708"/>
      <c r="AA131" s="708"/>
      <c r="AB131" s="590"/>
    </row>
    <row r="132" spans="1:28" s="4" customFormat="1" ht="20.25" customHeight="1">
      <c r="A132" s="1774" t="s">
        <v>9</v>
      </c>
      <c r="B132" s="1811" t="s">
        <v>12</v>
      </c>
      <c r="C132" s="1776" t="s">
        <v>10</v>
      </c>
      <c r="D132" s="466"/>
      <c r="E132" s="1948" t="s">
        <v>214</v>
      </c>
      <c r="F132" s="1951" t="s">
        <v>177</v>
      </c>
      <c r="G132" s="1999" t="s">
        <v>9</v>
      </c>
      <c r="H132" s="1953" t="s">
        <v>157</v>
      </c>
      <c r="I132" s="1990" t="s">
        <v>231</v>
      </c>
      <c r="J132" s="261" t="s">
        <v>13</v>
      </c>
      <c r="K132" s="892">
        <f>L132+N132</f>
        <v>74.900000000000006</v>
      </c>
      <c r="L132" s="270"/>
      <c r="M132" s="270"/>
      <c r="N132" s="937">
        <v>74.900000000000006</v>
      </c>
      <c r="O132" s="705">
        <f>P132+R132</f>
        <v>74.900000000000006</v>
      </c>
      <c r="P132" s="270"/>
      <c r="Q132" s="270"/>
      <c r="R132" s="893">
        <v>74.900000000000006</v>
      </c>
      <c r="S132" s="920">
        <f>T132+V132</f>
        <v>0</v>
      </c>
      <c r="T132" s="921"/>
      <c r="U132" s="921"/>
      <c r="V132" s="938">
        <v>0</v>
      </c>
      <c r="W132" s="939">
        <v>16.100000000000001</v>
      </c>
      <c r="X132" s="315"/>
      <c r="Y132" s="493" t="s">
        <v>254</v>
      </c>
      <c r="Z132" s="1120">
        <v>1</v>
      </c>
      <c r="AA132" s="1085"/>
      <c r="AB132" s="492"/>
    </row>
    <row r="133" spans="1:28" s="4" customFormat="1" ht="16.5" customHeight="1">
      <c r="A133" s="1774"/>
      <c r="B133" s="1811"/>
      <c r="C133" s="1776"/>
      <c r="D133" s="362"/>
      <c r="E133" s="1949"/>
      <c r="F133" s="1951"/>
      <c r="G133" s="1999"/>
      <c r="H133" s="1953"/>
      <c r="I133" s="1990"/>
      <c r="J133" s="261" t="s">
        <v>215</v>
      </c>
      <c r="K133" s="892">
        <f>L133+N133</f>
        <v>290.89999999999998</v>
      </c>
      <c r="L133" s="270"/>
      <c r="M133" s="270"/>
      <c r="N133" s="937">
        <v>290.89999999999998</v>
      </c>
      <c r="O133" s="705">
        <f>P133+R133</f>
        <v>290.89999999999998</v>
      </c>
      <c r="P133" s="270"/>
      <c r="Q133" s="270"/>
      <c r="R133" s="893">
        <v>290.89999999999998</v>
      </c>
      <c r="S133" s="920">
        <f>T133+V133</f>
        <v>0</v>
      </c>
      <c r="T133" s="921"/>
      <c r="U133" s="921"/>
      <c r="V133" s="938"/>
      <c r="W133" s="940">
        <v>442.3</v>
      </c>
      <c r="X133" s="315"/>
      <c r="Y133" s="1955" t="s">
        <v>315</v>
      </c>
      <c r="Z133" s="1121">
        <v>40</v>
      </c>
      <c r="AA133" s="952">
        <v>100</v>
      </c>
      <c r="AB133" s="884"/>
    </row>
    <row r="134" spans="1:28" s="4" customFormat="1" ht="17.25" customHeight="1" thickBot="1">
      <c r="A134" s="1788"/>
      <c r="B134" s="1804"/>
      <c r="C134" s="1885"/>
      <c r="D134" s="363"/>
      <c r="E134" s="1950"/>
      <c r="F134" s="1952"/>
      <c r="G134" s="1974"/>
      <c r="H134" s="1954"/>
      <c r="I134" s="1991"/>
      <c r="J134" s="412" t="s">
        <v>16</v>
      </c>
      <c r="K134" s="778">
        <f>K133+K132</f>
        <v>365.79999999999995</v>
      </c>
      <c r="L134" s="778">
        <f t="shared" ref="L134:X134" si="31">L133+L132</f>
        <v>0</v>
      </c>
      <c r="M134" s="778">
        <f t="shared" si="31"/>
        <v>0</v>
      </c>
      <c r="N134" s="776">
        <f t="shared" si="31"/>
        <v>365.79999999999995</v>
      </c>
      <c r="O134" s="777">
        <f>O133+O132</f>
        <v>365.79999999999995</v>
      </c>
      <c r="P134" s="778">
        <f t="shared" si="31"/>
        <v>0</v>
      </c>
      <c r="Q134" s="778">
        <f t="shared" si="31"/>
        <v>0</v>
      </c>
      <c r="R134" s="779">
        <f t="shared" si="31"/>
        <v>365.79999999999995</v>
      </c>
      <c r="S134" s="778">
        <f t="shared" si="31"/>
        <v>0</v>
      </c>
      <c r="T134" s="778">
        <f t="shared" si="31"/>
        <v>0</v>
      </c>
      <c r="U134" s="778">
        <f t="shared" si="31"/>
        <v>0</v>
      </c>
      <c r="V134" s="776">
        <f t="shared" si="31"/>
        <v>0</v>
      </c>
      <c r="W134" s="416">
        <f>W133+W132</f>
        <v>458.40000000000003</v>
      </c>
      <c r="X134" s="778">
        <f t="shared" si="31"/>
        <v>0</v>
      </c>
      <c r="Y134" s="1956"/>
      <c r="Z134" s="475"/>
      <c r="AA134" s="475"/>
      <c r="AB134" s="477"/>
    </row>
    <row r="135" spans="1:28" s="4" customFormat="1" ht="15.75" customHeight="1">
      <c r="A135" s="1802" t="s">
        <v>9</v>
      </c>
      <c r="B135" s="1803" t="s">
        <v>12</v>
      </c>
      <c r="C135" s="1805" t="s">
        <v>11</v>
      </c>
      <c r="D135" s="613"/>
      <c r="E135" s="1948" t="s">
        <v>207</v>
      </c>
      <c r="F135" s="2103"/>
      <c r="G135" s="1973" t="s">
        <v>9</v>
      </c>
      <c r="H135" s="2104" t="s">
        <v>157</v>
      </c>
      <c r="I135" s="2105" t="s">
        <v>231</v>
      </c>
      <c r="J135" s="78" t="s">
        <v>13</v>
      </c>
      <c r="K135" s="680">
        <f>L135+N135</f>
        <v>4.0999999999999996</v>
      </c>
      <c r="L135" s="681">
        <v>2.7</v>
      </c>
      <c r="M135" s="681">
        <v>0.5</v>
      </c>
      <c r="N135" s="682">
        <v>1.4</v>
      </c>
      <c r="O135" s="319"/>
      <c r="P135" s="320"/>
      <c r="Q135" s="321"/>
      <c r="R135" s="322"/>
      <c r="S135" s="941"/>
      <c r="T135" s="901"/>
      <c r="U135" s="901"/>
      <c r="V135" s="942"/>
      <c r="W135" s="1000"/>
      <c r="X135" s="599"/>
      <c r="Y135" s="474"/>
      <c r="Z135" s="467"/>
      <c r="AA135" s="468"/>
      <c r="AB135" s="469"/>
    </row>
    <row r="136" spans="1:28" s="4" customFormat="1" ht="15" customHeight="1">
      <c r="A136" s="1774"/>
      <c r="B136" s="1811"/>
      <c r="C136" s="1790"/>
      <c r="D136" s="610"/>
      <c r="E136" s="1949"/>
      <c r="F136" s="1951"/>
      <c r="G136" s="1999"/>
      <c r="H136" s="1953"/>
      <c r="I136" s="1990"/>
      <c r="J136" s="80" t="s">
        <v>15</v>
      </c>
      <c r="K136" s="683">
        <f>L136+N136</f>
        <v>36.299999999999997</v>
      </c>
      <c r="L136" s="684">
        <v>23.7</v>
      </c>
      <c r="M136" s="684">
        <v>4.3</v>
      </c>
      <c r="N136" s="685">
        <v>12.6</v>
      </c>
      <c r="O136" s="323"/>
      <c r="P136" s="324"/>
      <c r="Q136" s="325"/>
      <c r="R136" s="326"/>
      <c r="S136" s="943"/>
      <c r="T136" s="904"/>
      <c r="U136" s="904"/>
      <c r="V136" s="926"/>
      <c r="W136" s="1000"/>
      <c r="X136" s="599"/>
      <c r="Y136" s="2106"/>
      <c r="Z136" s="2099"/>
      <c r="AA136" s="2101"/>
      <c r="AB136" s="2115"/>
    </row>
    <row r="137" spans="1:28" s="4" customFormat="1" ht="16.5" customHeight="1" thickBot="1">
      <c r="A137" s="606"/>
      <c r="B137" s="607"/>
      <c r="C137" s="611"/>
      <c r="D137" s="610"/>
      <c r="E137" s="1949"/>
      <c r="F137" s="620"/>
      <c r="G137" s="609"/>
      <c r="H137" s="621"/>
      <c r="I137" s="618"/>
      <c r="J137" s="598" t="s">
        <v>16</v>
      </c>
      <c r="K137" s="944">
        <f>SUM(K135:K136)</f>
        <v>40.4</v>
      </c>
      <c r="L137" s="945">
        <f t="shared" ref="L137:N137" si="32">SUM(L135:L136)</f>
        <v>26.4</v>
      </c>
      <c r="M137" s="945">
        <f t="shared" si="32"/>
        <v>4.8</v>
      </c>
      <c r="N137" s="946">
        <f t="shared" si="32"/>
        <v>14</v>
      </c>
      <c r="O137" s="944"/>
      <c r="P137" s="945"/>
      <c r="Q137" s="945"/>
      <c r="R137" s="947"/>
      <c r="S137" s="948"/>
      <c r="T137" s="945"/>
      <c r="U137" s="945"/>
      <c r="V137" s="946"/>
      <c r="W137" s="1001"/>
      <c r="X137" s="948"/>
      <c r="Y137" s="2107"/>
      <c r="Z137" s="2100"/>
      <c r="AA137" s="2102"/>
      <c r="AB137" s="2116"/>
    </row>
    <row r="138" spans="1:28" s="4" customFormat="1" ht="15.75" customHeight="1" thickBot="1">
      <c r="A138" s="543" t="s">
        <v>9</v>
      </c>
      <c r="B138" s="77" t="s">
        <v>12</v>
      </c>
      <c r="C138" s="1635" t="s">
        <v>17</v>
      </c>
      <c r="D138" s="1636"/>
      <c r="E138" s="1636"/>
      <c r="F138" s="1636"/>
      <c r="G138" s="1636"/>
      <c r="H138" s="1636"/>
      <c r="I138" s="1636"/>
      <c r="J138" s="1636"/>
      <c r="K138" s="83">
        <f>K137+K134+K131</f>
        <v>1120.8</v>
      </c>
      <c r="L138" s="83">
        <f t="shared" ref="L138:V138" si="33">L137+L134+L131</f>
        <v>741</v>
      </c>
      <c r="M138" s="83">
        <f t="shared" si="33"/>
        <v>4.8</v>
      </c>
      <c r="N138" s="83">
        <f t="shared" si="33"/>
        <v>379.79999999999995</v>
      </c>
      <c r="O138" s="83">
        <f t="shared" si="33"/>
        <v>1427.6</v>
      </c>
      <c r="P138" s="83">
        <f t="shared" si="33"/>
        <v>524.6</v>
      </c>
      <c r="Q138" s="83">
        <f t="shared" si="33"/>
        <v>0</v>
      </c>
      <c r="R138" s="83">
        <f t="shared" si="33"/>
        <v>903</v>
      </c>
      <c r="S138" s="83">
        <f t="shared" si="33"/>
        <v>0</v>
      </c>
      <c r="T138" s="83">
        <f t="shared" si="33"/>
        <v>0</v>
      </c>
      <c r="U138" s="83">
        <f t="shared" si="33"/>
        <v>0</v>
      </c>
      <c r="V138" s="83">
        <f t="shared" si="33"/>
        <v>0</v>
      </c>
      <c r="W138" s="1002">
        <f>W137+W134+W131</f>
        <v>458.40000000000003</v>
      </c>
      <c r="X138" s="83">
        <f>X137+X134+X131</f>
        <v>0</v>
      </c>
      <c r="Y138" s="1912"/>
      <c r="Z138" s="1913"/>
      <c r="AA138" s="1913"/>
      <c r="AB138" s="1914"/>
    </row>
    <row r="139" spans="1:28" s="79" customFormat="1" ht="15.75" customHeight="1" thickBot="1">
      <c r="A139" s="543" t="s">
        <v>9</v>
      </c>
      <c r="B139" s="1915" t="s">
        <v>19</v>
      </c>
      <c r="C139" s="1916"/>
      <c r="D139" s="1916"/>
      <c r="E139" s="1916"/>
      <c r="F139" s="1916"/>
      <c r="G139" s="1916"/>
      <c r="H139" s="1916"/>
      <c r="I139" s="1916"/>
      <c r="J139" s="1917"/>
      <c r="K139" s="949">
        <f t="shared" ref="K139:X139" si="34">K138+K120+K113+K86</f>
        <v>40659.699999999997</v>
      </c>
      <c r="L139" s="949">
        <f t="shared" si="34"/>
        <v>28964.799999999999</v>
      </c>
      <c r="M139" s="949">
        <f t="shared" si="34"/>
        <v>13547.7</v>
      </c>
      <c r="N139" s="949">
        <f t="shared" si="34"/>
        <v>11694.9</v>
      </c>
      <c r="O139" s="949">
        <f t="shared" si="34"/>
        <v>45895.899999999994</v>
      </c>
      <c r="P139" s="949">
        <f t="shared" si="34"/>
        <v>32589.299999999996</v>
      </c>
      <c r="Q139" s="949">
        <f t="shared" si="34"/>
        <v>14715.300000000001</v>
      </c>
      <c r="R139" s="949">
        <f t="shared" si="34"/>
        <v>13306.6</v>
      </c>
      <c r="S139" s="949">
        <f t="shared" si="34"/>
        <v>0</v>
      </c>
      <c r="T139" s="949">
        <f t="shared" si="34"/>
        <v>0</v>
      </c>
      <c r="U139" s="949">
        <f t="shared" si="34"/>
        <v>0</v>
      </c>
      <c r="V139" s="949">
        <f t="shared" si="34"/>
        <v>0</v>
      </c>
      <c r="W139" s="1003">
        <f t="shared" si="34"/>
        <v>44380.799999999996</v>
      </c>
      <c r="X139" s="949">
        <f t="shared" si="34"/>
        <v>40345.299999999996</v>
      </c>
      <c r="Y139" s="1918"/>
      <c r="Z139" s="1919"/>
      <c r="AA139" s="1919"/>
      <c r="AB139" s="1920"/>
    </row>
    <row r="140" spans="1:28" s="79" customFormat="1" ht="15.75" customHeight="1" thickBot="1">
      <c r="A140" s="254" t="s">
        <v>11</v>
      </c>
      <c r="B140" s="1921" t="s">
        <v>18</v>
      </c>
      <c r="C140" s="1921"/>
      <c r="D140" s="1921"/>
      <c r="E140" s="1921"/>
      <c r="F140" s="1921"/>
      <c r="G140" s="1921"/>
      <c r="H140" s="1921"/>
      <c r="I140" s="1921"/>
      <c r="J140" s="1922"/>
      <c r="K140" s="950">
        <f t="shared" ref="K140:N140" si="35">K139</f>
        <v>40659.699999999997</v>
      </c>
      <c r="L140" s="950">
        <f t="shared" si="35"/>
        <v>28964.799999999999</v>
      </c>
      <c r="M140" s="950">
        <f t="shared" si="35"/>
        <v>13547.7</v>
      </c>
      <c r="N140" s="951">
        <f t="shared" si="35"/>
        <v>11694.9</v>
      </c>
      <c r="O140" s="950">
        <f t="shared" ref="O140:X140" si="36">O139</f>
        <v>45895.899999999994</v>
      </c>
      <c r="P140" s="950">
        <f t="shared" si="36"/>
        <v>32589.299999999996</v>
      </c>
      <c r="Q140" s="950">
        <f t="shared" si="36"/>
        <v>14715.300000000001</v>
      </c>
      <c r="R140" s="951">
        <f t="shared" si="36"/>
        <v>13306.6</v>
      </c>
      <c r="S140" s="950">
        <f t="shared" si="36"/>
        <v>0</v>
      </c>
      <c r="T140" s="950">
        <f t="shared" si="36"/>
        <v>0</v>
      </c>
      <c r="U140" s="950">
        <f t="shared" si="36"/>
        <v>0</v>
      </c>
      <c r="V140" s="950">
        <f t="shared" si="36"/>
        <v>0</v>
      </c>
      <c r="W140" s="951">
        <f>W139</f>
        <v>44380.799999999996</v>
      </c>
      <c r="X140" s="950">
        <f t="shared" si="36"/>
        <v>40345.299999999996</v>
      </c>
      <c r="Y140" s="1923"/>
      <c r="Z140" s="1924"/>
      <c r="AA140" s="1924"/>
      <c r="AB140" s="1925"/>
    </row>
    <row r="141" spans="1:28" s="260" customFormat="1" ht="29.25" customHeight="1">
      <c r="A141" s="1932" t="s">
        <v>392</v>
      </c>
      <c r="B141" s="1932"/>
      <c r="C141" s="1932"/>
      <c r="D141" s="1932"/>
      <c r="E141" s="1932"/>
      <c r="F141" s="1932"/>
      <c r="G141" s="1932"/>
      <c r="H141" s="1932"/>
      <c r="I141" s="1932"/>
      <c r="J141" s="1932"/>
      <c r="K141" s="1932"/>
      <c r="L141" s="1932"/>
      <c r="M141" s="1932"/>
      <c r="N141" s="1932"/>
      <c r="O141" s="1932"/>
      <c r="P141" s="1932"/>
      <c r="Q141" s="1932"/>
      <c r="R141" s="1932"/>
      <c r="S141" s="1932"/>
      <c r="T141" s="1932"/>
      <c r="U141" s="1932"/>
      <c r="V141" s="1932"/>
      <c r="W141" s="1932"/>
      <c r="X141" s="1932"/>
      <c r="Y141" s="1932"/>
      <c r="Z141" s="1932"/>
      <c r="AA141" s="1932"/>
      <c r="AB141" s="1932"/>
    </row>
    <row r="142" spans="1:28" s="260" customFormat="1" ht="14.25" customHeight="1">
      <c r="A142" s="1933"/>
      <c r="B142" s="1933"/>
      <c r="C142" s="1933"/>
      <c r="D142" s="1933"/>
      <c r="E142" s="1933"/>
      <c r="F142" s="1933"/>
      <c r="G142" s="1933"/>
      <c r="H142" s="1933"/>
      <c r="I142" s="1933"/>
      <c r="J142" s="1933"/>
      <c r="K142" s="1933"/>
      <c r="L142" s="1933"/>
      <c r="M142" s="1933"/>
      <c r="N142" s="1933"/>
      <c r="O142" s="1933"/>
      <c r="P142" s="1933"/>
      <c r="Q142" s="1933"/>
      <c r="R142" s="1933"/>
      <c r="S142" s="1933"/>
      <c r="T142" s="1933"/>
      <c r="U142" s="1933"/>
      <c r="V142" s="1933"/>
      <c r="W142" s="1933"/>
      <c r="X142" s="1933"/>
      <c r="Y142" s="1933"/>
      <c r="Z142" s="1933"/>
      <c r="AA142" s="1933"/>
      <c r="AB142" s="1933"/>
    </row>
    <row r="143" spans="1:28" s="79" customFormat="1" ht="15.75" customHeight="1">
      <c r="A143" s="176"/>
      <c r="B143" s="9"/>
      <c r="C143" s="1934" t="s">
        <v>24</v>
      </c>
      <c r="D143" s="1934"/>
      <c r="E143" s="1934"/>
      <c r="F143" s="1934"/>
      <c r="G143" s="1934"/>
      <c r="H143" s="1934"/>
      <c r="I143" s="1934"/>
      <c r="J143" s="1934"/>
      <c r="K143" s="1934"/>
      <c r="L143" s="1934"/>
      <c r="M143" s="1934"/>
      <c r="N143" s="1934"/>
      <c r="O143" s="1934"/>
      <c r="P143" s="1934"/>
      <c r="Q143" s="1934"/>
      <c r="R143" s="1934"/>
      <c r="S143" s="1934"/>
      <c r="T143" s="1934"/>
      <c r="U143" s="1934"/>
      <c r="V143" s="1934"/>
      <c r="W143" s="1934"/>
      <c r="X143" s="1934"/>
      <c r="Y143" s="168"/>
      <c r="Z143" s="230"/>
      <c r="AA143" s="230"/>
      <c r="AB143" s="230"/>
    </row>
    <row r="144" spans="1:28" s="79" customFormat="1" ht="13.5" thickBot="1">
      <c r="A144" s="176"/>
      <c r="B144" s="175"/>
      <c r="C144" s="175"/>
      <c r="D144" s="175"/>
      <c r="E144" s="175"/>
      <c r="F144" s="181"/>
      <c r="G144" s="175"/>
      <c r="H144" s="240"/>
      <c r="I144" s="175"/>
      <c r="P144" s="168"/>
      <c r="S144" s="2093"/>
      <c r="T144" s="2093"/>
      <c r="U144" s="2093"/>
      <c r="V144" s="2093"/>
      <c r="W144" s="89"/>
      <c r="X144" s="89"/>
      <c r="Y144" s="168"/>
      <c r="Z144" s="230"/>
      <c r="AA144" s="230"/>
      <c r="AB144" s="230"/>
    </row>
    <row r="145" spans="1:28" s="79" customFormat="1" ht="42.75" customHeight="1" thickBot="1">
      <c r="A145" s="4"/>
      <c r="B145" s="4"/>
      <c r="C145" s="1935" t="s">
        <v>20</v>
      </c>
      <c r="D145" s="1936"/>
      <c r="E145" s="1936"/>
      <c r="F145" s="1936"/>
      <c r="G145" s="1936"/>
      <c r="H145" s="1936"/>
      <c r="I145" s="1936"/>
      <c r="J145" s="1937"/>
      <c r="K145" s="2073" t="s">
        <v>273</v>
      </c>
      <c r="L145" s="2074"/>
      <c r="M145" s="2074"/>
      <c r="N145" s="2075"/>
      <c r="O145" s="2073" t="s">
        <v>274</v>
      </c>
      <c r="P145" s="2074"/>
      <c r="Q145" s="2074"/>
      <c r="R145" s="2075"/>
      <c r="S145" s="2073" t="s">
        <v>275</v>
      </c>
      <c r="T145" s="2074"/>
      <c r="U145" s="2074"/>
      <c r="V145" s="2075"/>
      <c r="W145" s="219" t="s">
        <v>278</v>
      </c>
      <c r="X145" s="219" t="s">
        <v>279</v>
      </c>
      <c r="Z145" s="230"/>
      <c r="AA145" s="230"/>
      <c r="AB145" s="230"/>
    </row>
    <row r="146" spans="1:28" s="79" customFormat="1">
      <c r="A146" s="4"/>
      <c r="B146" s="4"/>
      <c r="C146" s="1926" t="s">
        <v>25</v>
      </c>
      <c r="D146" s="2076"/>
      <c r="E146" s="1927"/>
      <c r="F146" s="1927"/>
      <c r="G146" s="1927"/>
      <c r="H146" s="1927"/>
      <c r="I146" s="1928"/>
      <c r="J146" s="1928"/>
      <c r="K146" s="2077">
        <f>K147+K154</f>
        <v>40022.399999999994</v>
      </c>
      <c r="L146" s="2078"/>
      <c r="M146" s="2078"/>
      <c r="N146" s="2079"/>
      <c r="O146" s="2077">
        <f>O147+O154</f>
        <v>44789.700000000012</v>
      </c>
      <c r="P146" s="2078"/>
      <c r="Q146" s="2078"/>
      <c r="R146" s="2079"/>
      <c r="S146" s="2077">
        <f>S147+S154</f>
        <v>0</v>
      </c>
      <c r="T146" s="2078"/>
      <c r="U146" s="2078"/>
      <c r="V146" s="2078"/>
      <c r="W146" s="329">
        <f>W147+W154</f>
        <v>43908.499999999993</v>
      </c>
      <c r="X146" s="288">
        <f>X147+X154</f>
        <v>40315.299999999996</v>
      </c>
      <c r="Y146" s="182"/>
      <c r="Z146" s="221"/>
      <c r="AA146" s="221"/>
      <c r="AB146" s="221"/>
    </row>
    <row r="147" spans="1:28" s="79" customFormat="1">
      <c r="A147" s="4"/>
      <c r="B147" s="4"/>
      <c r="C147" s="1929" t="s">
        <v>33</v>
      </c>
      <c r="D147" s="1930"/>
      <c r="E147" s="1930"/>
      <c r="F147" s="1930"/>
      <c r="G147" s="1930"/>
      <c r="H147" s="1930"/>
      <c r="I147" s="1930"/>
      <c r="J147" s="1931"/>
      <c r="K147" s="2080">
        <f>SUM(K148:N153)</f>
        <v>39998.899999999994</v>
      </c>
      <c r="L147" s="2081"/>
      <c r="M147" s="2081"/>
      <c r="N147" s="2082"/>
      <c r="O147" s="2080">
        <f>SUM(O148:R153)</f>
        <v>44775.700000000012</v>
      </c>
      <c r="P147" s="2081"/>
      <c r="Q147" s="2081"/>
      <c r="R147" s="2082"/>
      <c r="S147" s="2080">
        <f t="shared" ref="S147" si="37">SUM(S148:V153)</f>
        <v>0</v>
      </c>
      <c r="T147" s="2081"/>
      <c r="U147" s="2081"/>
      <c r="V147" s="2082"/>
      <c r="W147" s="978">
        <f>W148+W149+W150+W151+W152+W153</f>
        <v>43894.499999999993</v>
      </c>
      <c r="X147" s="435">
        <f>X148+X149+X150+X151+X152+X153</f>
        <v>40310.299999999996</v>
      </c>
      <c r="Y147" s="182"/>
      <c r="Z147" s="221"/>
      <c r="AA147" s="221"/>
      <c r="AB147" s="221"/>
    </row>
    <row r="148" spans="1:28" s="79" customFormat="1">
      <c r="A148" s="4"/>
      <c r="B148" s="4"/>
      <c r="C148" s="1900" t="s">
        <v>159</v>
      </c>
      <c r="D148" s="2083"/>
      <c r="E148" s="1901"/>
      <c r="F148" s="1901"/>
      <c r="G148" s="1901"/>
      <c r="H148" s="1901"/>
      <c r="I148" s="1902"/>
      <c r="J148" s="1902"/>
      <c r="K148" s="2070">
        <f>SUMIF(J11:J140,"SB",K11:K140)</f>
        <v>35643.699999999997</v>
      </c>
      <c r="L148" s="2071"/>
      <c r="M148" s="2071"/>
      <c r="N148" s="2072"/>
      <c r="O148" s="2070">
        <f>SUMIF(J12:J140,"SB",O12:O140)</f>
        <v>40531.000000000015</v>
      </c>
      <c r="P148" s="2071"/>
      <c r="Q148" s="2071"/>
      <c r="R148" s="2072"/>
      <c r="S148" s="2070">
        <f>SUMIF(J12:J140,"SB",S12:S140)</f>
        <v>0</v>
      </c>
      <c r="T148" s="2071"/>
      <c r="U148" s="2071"/>
      <c r="V148" s="2071"/>
      <c r="W148" s="328">
        <f>SUMIF(J13:J134,"sb",W13:W134)</f>
        <v>40297.899999999994</v>
      </c>
      <c r="X148" s="220">
        <f>SUMIF(J13:J134,"sb",X13:X134)</f>
        <v>36713.699999999997</v>
      </c>
      <c r="Y148" s="216"/>
      <c r="Z148" s="231"/>
      <c r="AA148" s="231"/>
      <c r="AB148" s="231"/>
    </row>
    <row r="149" spans="1:28" s="79" customFormat="1" ht="14.25" customHeight="1">
      <c r="A149" s="4"/>
      <c r="B149" s="4"/>
      <c r="C149" s="1945" t="s">
        <v>234</v>
      </c>
      <c r="D149" s="1946"/>
      <c r="E149" s="1946"/>
      <c r="F149" s="1946"/>
      <c r="G149" s="1946"/>
      <c r="H149" s="1946"/>
      <c r="I149" s="1946"/>
      <c r="J149" s="1947"/>
      <c r="K149" s="2070">
        <f>SUMIF(J11:J141,"SB(VR)",K11:K141)</f>
        <v>81</v>
      </c>
      <c r="L149" s="2071"/>
      <c r="M149" s="2071"/>
      <c r="N149" s="2072"/>
      <c r="O149" s="2070">
        <f>SUMIF(J12:J141,"SB(VR)",O12:O141)</f>
        <v>81.900000000000006</v>
      </c>
      <c r="P149" s="2071"/>
      <c r="Q149" s="2071"/>
      <c r="R149" s="2072"/>
      <c r="S149" s="2070">
        <f>SUMIF(J11:J141,"SB(VR)",S11:S141)</f>
        <v>0</v>
      </c>
      <c r="T149" s="2071"/>
      <c r="U149" s="2071"/>
      <c r="V149" s="2072"/>
      <c r="W149" s="328">
        <f>SUMIF(J12:J138,"sb(VR)",W12:W138)</f>
        <v>81</v>
      </c>
      <c r="X149" s="220">
        <f>SUMIF(J12:J138,"sb(VR)",X12:X138)</f>
        <v>81</v>
      </c>
      <c r="Y149" s="216"/>
      <c r="Z149" s="231"/>
      <c r="AA149" s="231"/>
      <c r="AB149" s="231"/>
    </row>
    <row r="150" spans="1:28" s="79" customFormat="1">
      <c r="A150" s="4"/>
      <c r="B150" s="4"/>
      <c r="C150" s="1909" t="s">
        <v>152</v>
      </c>
      <c r="D150" s="1910"/>
      <c r="E150" s="1910"/>
      <c r="F150" s="1910"/>
      <c r="G150" s="1910"/>
      <c r="H150" s="1910"/>
      <c r="I150" s="1910"/>
      <c r="J150" s="1911"/>
      <c r="K150" s="2067">
        <f>SUMIF(J11:J140,"SB(VB)",K11:K140)</f>
        <v>3520</v>
      </c>
      <c r="L150" s="2068"/>
      <c r="M150" s="2068"/>
      <c r="N150" s="2069"/>
      <c r="O150" s="2067">
        <f>SUMIF(J11:J140,"SB(VB)",O11:O140)</f>
        <v>3556.2</v>
      </c>
      <c r="P150" s="2068"/>
      <c r="Q150" s="2068"/>
      <c r="R150" s="2069"/>
      <c r="S150" s="2067">
        <f>SUMIF(J11:J140,"SB(VB)",S11:S140)</f>
        <v>0</v>
      </c>
      <c r="T150" s="2068"/>
      <c r="U150" s="2068"/>
      <c r="V150" s="2068"/>
      <c r="W150" s="328">
        <f>SUMIF(J13:J134,J14,W13:W134)</f>
        <v>3504</v>
      </c>
      <c r="X150" s="220">
        <f>SUMIF(J13:J134,J14,X13:X134)</f>
        <v>3504</v>
      </c>
      <c r="Z150" s="230"/>
      <c r="AA150" s="230"/>
      <c r="AB150" s="230"/>
    </row>
    <row r="151" spans="1:28" s="79" customFormat="1">
      <c r="A151" s="4"/>
      <c r="B151" s="4"/>
      <c r="C151" s="1909" t="s">
        <v>217</v>
      </c>
      <c r="D151" s="1910"/>
      <c r="E151" s="1910"/>
      <c r="F151" s="1910"/>
      <c r="G151" s="1910"/>
      <c r="H151" s="1910"/>
      <c r="I151" s="1910"/>
      <c r="J151" s="1911"/>
      <c r="K151" s="2067">
        <f>SUMIF(J13:J140,"SB(P)",K13:K140)</f>
        <v>595</v>
      </c>
      <c r="L151" s="2068"/>
      <c r="M151" s="2068"/>
      <c r="N151" s="2069"/>
      <c r="O151" s="2067">
        <f>SUMIF(J11:J140,"SB(P)",O11:O140)</f>
        <v>595</v>
      </c>
      <c r="P151" s="2068"/>
      <c r="Q151" s="2068"/>
      <c r="R151" s="2069"/>
      <c r="S151" s="2067">
        <f>SUMIF(J13:J140,"SB(P)",S13:S140)</f>
        <v>0</v>
      </c>
      <c r="T151" s="2068"/>
      <c r="U151" s="2068"/>
      <c r="V151" s="2069"/>
      <c r="W151" s="328">
        <f>SUMIF(J14:J138,"sb(P)",W14:W138)</f>
        <v>0</v>
      </c>
      <c r="X151" s="220">
        <f>SUMIF(J14:J138,"sb(P)",X14:X138)</f>
        <v>0</v>
      </c>
      <c r="Y151" s="168"/>
      <c r="Z151" s="230"/>
      <c r="AA151" s="230"/>
      <c r="AB151" s="230"/>
    </row>
    <row r="152" spans="1:28" s="4" customFormat="1">
      <c r="C152" s="1942" t="s">
        <v>163</v>
      </c>
      <c r="D152" s="2092"/>
      <c r="E152" s="1943"/>
      <c r="F152" s="1943"/>
      <c r="G152" s="1943"/>
      <c r="H152" s="1943"/>
      <c r="I152" s="1944"/>
      <c r="J152" s="1944"/>
      <c r="K152" s="2070">
        <f>SUMIF(J13:J140,"SB(SP)",K13:K140)</f>
        <v>40.5</v>
      </c>
      <c r="L152" s="2071"/>
      <c r="M152" s="2071"/>
      <c r="N152" s="2072"/>
      <c r="O152" s="2070">
        <f>SUMIF(J12:J140,"SB(SP)",O12:O140)</f>
        <v>11.6</v>
      </c>
      <c r="P152" s="2071"/>
      <c r="Q152" s="2071"/>
      <c r="R152" s="2072"/>
      <c r="S152" s="2070">
        <f>SUMIF(J11:J140,"SB(SP)",S11:S140)</f>
        <v>0</v>
      </c>
      <c r="T152" s="2071"/>
      <c r="U152" s="2071"/>
      <c r="V152" s="2071"/>
      <c r="W152" s="328">
        <f>SUMIF(J13:J134,J17,W13:W134)</f>
        <v>11.6</v>
      </c>
      <c r="X152" s="220">
        <f>SUMIF(J13:J134,J17,X13:X134)</f>
        <v>11.6</v>
      </c>
      <c r="Z152" s="223"/>
      <c r="AA152" s="223"/>
      <c r="AB152" s="223"/>
    </row>
    <row r="153" spans="1:28" s="4" customFormat="1">
      <c r="C153" s="1900" t="s">
        <v>316</v>
      </c>
      <c r="D153" s="2083"/>
      <c r="E153" s="1901"/>
      <c r="F153" s="1901"/>
      <c r="G153" s="1901"/>
      <c r="H153" s="1901"/>
      <c r="I153" s="1902"/>
      <c r="J153" s="1902"/>
      <c r="K153" s="2070">
        <f>SUMIF(J14:J141,"SB(L)",K14:K141)</f>
        <v>118.7</v>
      </c>
      <c r="L153" s="2071"/>
      <c r="M153" s="2071"/>
      <c r="N153" s="2072"/>
      <c r="O153" s="2067">
        <f>SUMIF(J13:J140,"SB(L)",O13:O140)</f>
        <v>0</v>
      </c>
      <c r="P153" s="2068"/>
      <c r="Q153" s="2068"/>
      <c r="R153" s="2069"/>
      <c r="S153" s="2067">
        <f>SUMIF(J13:J140,"SB(VIP)",S13:S140)</f>
        <v>0</v>
      </c>
      <c r="T153" s="2068"/>
      <c r="U153" s="2068"/>
      <c r="V153" s="2069"/>
      <c r="W153" s="328">
        <f>SUMIF(J13:J140,"sb(L)",W13:W140)</f>
        <v>0</v>
      </c>
      <c r="X153" s="220">
        <f>SUMIF(J13:J138,"SB(L)",X13:X138)</f>
        <v>0</v>
      </c>
      <c r="Z153" s="223"/>
      <c r="AA153" s="223"/>
      <c r="AB153" s="223"/>
    </row>
    <row r="154" spans="1:28" s="4" customFormat="1">
      <c r="C154" s="1903" t="s">
        <v>250</v>
      </c>
      <c r="D154" s="2084"/>
      <c r="E154" s="1904"/>
      <c r="F154" s="1904"/>
      <c r="G154" s="1904"/>
      <c r="H154" s="1904"/>
      <c r="I154" s="1905"/>
      <c r="J154" s="1905"/>
      <c r="K154" s="2064">
        <f>SUMIF(J11:J140,"PF",K11:K140)</f>
        <v>23.5</v>
      </c>
      <c r="L154" s="2065"/>
      <c r="M154" s="2065"/>
      <c r="N154" s="2066"/>
      <c r="O154" s="2064">
        <f>SUMIF(J11:J140,"PF",O11:O140)</f>
        <v>14</v>
      </c>
      <c r="P154" s="2065"/>
      <c r="Q154" s="2065"/>
      <c r="R154" s="2066"/>
      <c r="S154" s="2064">
        <f>SUMIF(J11:J140,"PF",S11:S140)</f>
        <v>0</v>
      </c>
      <c r="T154" s="2065"/>
      <c r="U154" s="2065"/>
      <c r="V154" s="2065"/>
      <c r="W154" s="434">
        <f>SUMIF(J13:J134,"pf",W13:W134)</f>
        <v>14</v>
      </c>
      <c r="X154" s="435">
        <f>SUMIF(J13:J134,"pf",X13:X134)</f>
        <v>5</v>
      </c>
      <c r="Y154" s="90"/>
      <c r="Z154" s="223"/>
      <c r="AA154" s="223"/>
      <c r="AB154" s="223"/>
    </row>
    <row r="155" spans="1:28" s="4" customFormat="1">
      <c r="C155" s="1906" t="s">
        <v>26</v>
      </c>
      <c r="D155" s="2085"/>
      <c r="E155" s="1907"/>
      <c r="F155" s="1907"/>
      <c r="G155" s="1907"/>
      <c r="H155" s="1907"/>
      <c r="I155" s="1908"/>
      <c r="J155" s="1908"/>
      <c r="K155" s="2086">
        <f>K156+K157+K159</f>
        <v>637.29999999999995</v>
      </c>
      <c r="L155" s="2087"/>
      <c r="M155" s="2087"/>
      <c r="N155" s="2088"/>
      <c r="O155" s="2086">
        <f>O156+O157+O159+O158</f>
        <v>1106.2</v>
      </c>
      <c r="P155" s="2087"/>
      <c r="Q155" s="2087"/>
      <c r="R155" s="2088"/>
      <c r="S155" s="2086">
        <f>S156+S157+S159</f>
        <v>0</v>
      </c>
      <c r="T155" s="2087"/>
      <c r="U155" s="2087"/>
      <c r="V155" s="2087"/>
      <c r="W155" s="327">
        <f>W156+W157+W158+W159</f>
        <v>472.3</v>
      </c>
      <c r="X155" s="1122">
        <f>SUM(X156:X159)</f>
        <v>30</v>
      </c>
      <c r="Y155" s="90"/>
      <c r="Z155" s="223"/>
      <c r="AA155" s="223"/>
      <c r="AB155" s="223"/>
    </row>
    <row r="156" spans="1:28" s="4" customFormat="1">
      <c r="C156" s="1898" t="s">
        <v>160</v>
      </c>
      <c r="D156" s="1899"/>
      <c r="E156" s="1899"/>
      <c r="F156" s="1899"/>
      <c r="G156" s="1899"/>
      <c r="H156" s="1899"/>
      <c r="I156" s="1899"/>
      <c r="J156" s="1899"/>
      <c r="K156" s="2089">
        <f>SUMIF(J13:J140,"ES",K13:K140)</f>
        <v>246.39999999999998</v>
      </c>
      <c r="L156" s="2090"/>
      <c r="M156" s="2090"/>
      <c r="N156" s="2091"/>
      <c r="O156" s="2089">
        <f>SUMIF(J11:J140,"ES",O11:O140)</f>
        <v>773.2</v>
      </c>
      <c r="P156" s="2090"/>
      <c r="Q156" s="2090"/>
      <c r="R156" s="2091"/>
      <c r="S156" s="2089">
        <f>SUMIF(J11:J140,"ES",S11:S140)</f>
        <v>0</v>
      </c>
      <c r="T156" s="2090"/>
      <c r="U156" s="2090"/>
      <c r="V156" s="2090"/>
      <c r="W156" s="328">
        <f>SUMIF(J13:J134,"es",W13:W134)</f>
        <v>0</v>
      </c>
      <c r="X156" s="220">
        <f>SUMIF(J13:J134,"es",X13:X134)</f>
        <v>0</v>
      </c>
      <c r="Z156" s="223"/>
      <c r="AA156" s="223"/>
      <c r="AB156" s="223"/>
    </row>
    <row r="157" spans="1:28" s="4" customFormat="1">
      <c r="C157" s="1900" t="s">
        <v>161</v>
      </c>
      <c r="D157" s="2083"/>
      <c r="E157" s="1901"/>
      <c r="F157" s="1901"/>
      <c r="G157" s="1901"/>
      <c r="H157" s="1901"/>
      <c r="I157" s="1902"/>
      <c r="J157" s="1902"/>
      <c r="K157" s="2070">
        <f>SUMIF(J13:J140,"LRVB",K13:K140)</f>
        <v>290.89999999999998</v>
      </c>
      <c r="L157" s="2071"/>
      <c r="M157" s="2071"/>
      <c r="N157" s="2072"/>
      <c r="O157" s="2070">
        <f>SUMIF(J12:J140,"LRVB",O12:O140)</f>
        <v>293</v>
      </c>
      <c r="P157" s="2071"/>
      <c r="Q157" s="2071"/>
      <c r="R157" s="2072"/>
      <c r="S157" s="2070">
        <f>SUMIF(J11:J140,"LRVB",S11:S140)</f>
        <v>0</v>
      </c>
      <c r="T157" s="2071"/>
      <c r="U157" s="2071"/>
      <c r="V157" s="2071"/>
      <c r="W157" s="328">
        <f>SUMIF(J13:J134,"lrvb",W13:W134)</f>
        <v>442.3</v>
      </c>
      <c r="X157" s="220">
        <f>SUMIF(J13:J134,"lrvb",X13:X134)</f>
        <v>0</v>
      </c>
      <c r="Z157" s="223"/>
      <c r="AA157" s="223"/>
      <c r="AB157" s="223"/>
    </row>
    <row r="158" spans="1:28" s="4" customFormat="1">
      <c r="C158" s="1909" t="s">
        <v>319</v>
      </c>
      <c r="D158" s="2113"/>
      <c r="E158" s="2113"/>
      <c r="F158" s="2113"/>
      <c r="G158" s="2113"/>
      <c r="H158" s="2113"/>
      <c r="I158" s="2113"/>
      <c r="J158" s="2114"/>
      <c r="K158" s="2070">
        <f>SUMIF(J14:J141,"Kt",K14:K141)</f>
        <v>0</v>
      </c>
      <c r="L158" s="2071"/>
      <c r="M158" s="2071"/>
      <c r="N158" s="2072"/>
      <c r="O158" s="2070">
        <f>SUMIF(J13:J141,"Kt",O13:O141)</f>
        <v>0</v>
      </c>
      <c r="P158" s="2071"/>
      <c r="Q158" s="2071"/>
      <c r="R158" s="2072"/>
      <c r="S158" s="1080"/>
      <c r="T158" s="1081"/>
      <c r="U158" s="1081"/>
      <c r="V158" s="1081"/>
      <c r="W158" s="1082">
        <f>SUMIF(J14:J135,"Kt",W14:W135)</f>
        <v>0</v>
      </c>
      <c r="X158" s="220">
        <f>SUMIF(J14:J135,"Kt",X14:X135)</f>
        <v>0</v>
      </c>
      <c r="Z158" s="223"/>
      <c r="AA158" s="223"/>
      <c r="AB158" s="223"/>
    </row>
    <row r="159" spans="1:28" s="4" customFormat="1">
      <c r="C159" s="1909" t="s">
        <v>149</v>
      </c>
      <c r="D159" s="1910"/>
      <c r="E159" s="1910"/>
      <c r="F159" s="1910"/>
      <c r="G159" s="1910"/>
      <c r="H159" s="1910"/>
      <c r="I159" s="1910"/>
      <c r="J159" s="1911"/>
      <c r="K159" s="2067">
        <f>SUMIF(J13:J140,"KPP",K13:K140)</f>
        <v>100</v>
      </c>
      <c r="L159" s="2068"/>
      <c r="M159" s="2068"/>
      <c r="N159" s="2069"/>
      <c r="O159" s="2067">
        <f>SUMIF(J12:J140,"KPP",O12:O140)</f>
        <v>40</v>
      </c>
      <c r="P159" s="2068"/>
      <c r="Q159" s="2068"/>
      <c r="R159" s="2069"/>
      <c r="S159" s="2067">
        <f>SUMIF(J11:J140,"KPP",S11:S140)</f>
        <v>0</v>
      </c>
      <c r="T159" s="2068"/>
      <c r="U159" s="2068"/>
      <c r="V159" s="2068"/>
      <c r="W159" s="328">
        <f>SUMIF(J13:J134,"kpp",W13:W134)</f>
        <v>30</v>
      </c>
      <c r="X159" s="220">
        <f>SUMIF(J13:J134,"kpp",X13:X134)</f>
        <v>30</v>
      </c>
      <c r="Y159" s="354"/>
      <c r="Z159" s="223"/>
      <c r="AA159" s="223"/>
      <c r="AB159" s="223"/>
    </row>
    <row r="160" spans="1:28" s="4" customFormat="1" ht="13.5" thickBot="1">
      <c r="C160" s="1895" t="s">
        <v>27</v>
      </c>
      <c r="D160" s="1896"/>
      <c r="E160" s="1896"/>
      <c r="F160" s="1896"/>
      <c r="G160" s="1896"/>
      <c r="H160" s="1896"/>
      <c r="I160" s="1896"/>
      <c r="J160" s="1897"/>
      <c r="K160" s="2094">
        <f>K155+K146</f>
        <v>40659.699999999997</v>
      </c>
      <c r="L160" s="2095"/>
      <c r="M160" s="2095"/>
      <c r="N160" s="2096"/>
      <c r="O160" s="2094">
        <f>O155+O146</f>
        <v>45895.900000000009</v>
      </c>
      <c r="P160" s="2095"/>
      <c r="Q160" s="2095"/>
      <c r="R160" s="2096"/>
      <c r="S160" s="2094">
        <f>S155+S146</f>
        <v>0</v>
      </c>
      <c r="T160" s="2095"/>
      <c r="U160" s="2095"/>
      <c r="V160" s="2095"/>
      <c r="W160" s="436">
        <f>W146+W155</f>
        <v>44380.799999999996</v>
      </c>
      <c r="X160" s="437">
        <f>X155+X146</f>
        <v>40345.299999999996</v>
      </c>
      <c r="Y160" s="354"/>
      <c r="Z160" s="223"/>
      <c r="AA160" s="223"/>
      <c r="AB160" s="223"/>
    </row>
    <row r="161" spans="5:28">
      <c r="E161" s="1"/>
      <c r="F161" s="1"/>
      <c r="H161" s="1"/>
      <c r="J161" s="7"/>
      <c r="K161" s="7"/>
      <c r="L161" s="7"/>
      <c r="M161" s="8"/>
      <c r="N161" s="7"/>
      <c r="O161" s="1541" t="s">
        <v>393</v>
      </c>
      <c r="P161" s="1959">
        <f>O160/3.4528*1000</f>
        <v>13292371.408711772</v>
      </c>
      <c r="Q161" s="1960"/>
      <c r="R161" s="1542"/>
      <c r="S161" s="1542"/>
      <c r="T161" s="1542"/>
      <c r="U161" s="1543"/>
      <c r="V161" s="1542"/>
      <c r="W161" s="1542">
        <f>W160/3.4528*1000</f>
        <v>12853568.118628358</v>
      </c>
      <c r="X161" s="1542">
        <f>X160/3.4528*1000</f>
        <v>11684806.533827618</v>
      </c>
      <c r="Z161" s="1"/>
      <c r="AA161" s="1"/>
      <c r="AB161" s="1"/>
    </row>
    <row r="163" spans="5:28">
      <c r="P163" s="7"/>
    </row>
    <row r="164" spans="5:28" ht="11.25">
      <c r="E164" s="1"/>
      <c r="F164" s="1"/>
      <c r="H164" s="1"/>
      <c r="J164" s="6"/>
      <c r="K164" s="179"/>
      <c r="M164" s="5"/>
      <c r="N164" s="6"/>
      <c r="O164" s="5"/>
      <c r="P164" s="6"/>
      <c r="Q164" s="179"/>
      <c r="R164" s="179"/>
      <c r="S164" s="179"/>
      <c r="U164" s="5"/>
      <c r="V164" s="6"/>
      <c r="Z164" s="1"/>
      <c r="AA164" s="1"/>
      <c r="AB164" s="1"/>
    </row>
    <row r="165" spans="5:28" ht="11.25">
      <c r="E165" s="1"/>
      <c r="F165" s="1"/>
      <c r="H165" s="1"/>
      <c r="J165" s="7"/>
      <c r="K165" s="7"/>
      <c r="M165" s="8"/>
      <c r="N165" s="7"/>
      <c r="O165" s="8"/>
      <c r="P165" s="7"/>
      <c r="Q165" s="7"/>
      <c r="R165" s="7"/>
      <c r="S165" s="7"/>
      <c r="U165" s="8"/>
      <c r="V165" s="7"/>
      <c r="Z165" s="1"/>
      <c r="AA165" s="1"/>
      <c r="AB165" s="1"/>
    </row>
    <row r="166" spans="5:28" ht="11.25">
      <c r="E166" s="1"/>
      <c r="F166" s="1"/>
      <c r="H166" s="1"/>
      <c r="M166" s="8"/>
      <c r="O166" s="8"/>
      <c r="U166" s="8"/>
      <c r="Z166" s="1"/>
      <c r="AA166" s="1"/>
      <c r="AB166" s="1"/>
    </row>
    <row r="167" spans="5:28" ht="11.25">
      <c r="E167" s="1"/>
      <c r="F167" s="1"/>
      <c r="H167" s="1"/>
      <c r="J167" s="7"/>
      <c r="K167" s="7"/>
      <c r="M167" s="8"/>
      <c r="N167" s="7"/>
      <c r="O167" s="8"/>
      <c r="P167" s="7"/>
      <c r="Q167" s="7"/>
      <c r="R167" s="7"/>
      <c r="S167" s="7"/>
      <c r="U167" s="8"/>
      <c r="V167" s="7"/>
      <c r="Z167" s="1"/>
      <c r="AA167" s="1"/>
      <c r="AB167" s="1"/>
    </row>
    <row r="169" spans="5:28" ht="11.25">
      <c r="E169" s="1"/>
      <c r="F169" s="1"/>
      <c r="H169" s="1"/>
      <c r="J169" s="6"/>
      <c r="Z169" s="1"/>
      <c r="AA169" s="1"/>
      <c r="AB169" s="1"/>
    </row>
    <row r="170" spans="5:28" ht="11.25">
      <c r="E170" s="1"/>
      <c r="F170" s="1"/>
      <c r="H170" s="1"/>
      <c r="J170" s="7"/>
      <c r="Z170" s="1"/>
      <c r="AA170" s="1"/>
      <c r="AB170" s="1"/>
    </row>
    <row r="172" spans="5:28" ht="11.25">
      <c r="E172" s="1"/>
      <c r="F172" s="1"/>
      <c r="H172" s="1"/>
      <c r="J172" s="7"/>
      <c r="Z172" s="1"/>
      <c r="AA172" s="1"/>
      <c r="AB172" s="1"/>
    </row>
  </sheetData>
  <mergeCells count="308">
    <mergeCell ref="C158:J158"/>
    <mergeCell ref="O158:R158"/>
    <mergeCell ref="K158:N158"/>
    <mergeCell ref="A59:A60"/>
    <mergeCell ref="B59:B60"/>
    <mergeCell ref="C59:C60"/>
    <mergeCell ref="AB136:AB137"/>
    <mergeCell ref="Y84:Y85"/>
    <mergeCell ref="Y120:AB120"/>
    <mergeCell ref="C121:AB121"/>
    <mergeCell ref="G110:G112"/>
    <mergeCell ref="H110:H112"/>
    <mergeCell ref="C120:J120"/>
    <mergeCell ref="C115:C117"/>
    <mergeCell ref="D83:D85"/>
    <mergeCell ref="C83:C85"/>
    <mergeCell ref="H107:H109"/>
    <mergeCell ref="E104:E106"/>
    <mergeCell ref="F104:F106"/>
    <mergeCell ref="G104:G106"/>
    <mergeCell ref="I131:J131"/>
    <mergeCell ref="Y133:Y134"/>
    <mergeCell ref="I107:I109"/>
    <mergeCell ref="H104:H106"/>
    <mergeCell ref="I104:I106"/>
    <mergeCell ref="E126:E128"/>
    <mergeCell ref="C86:J86"/>
    <mergeCell ref="C87:AB87"/>
    <mergeCell ref="Y107:Y108"/>
    <mergeCell ref="Y138:AB138"/>
    <mergeCell ref="B139:J139"/>
    <mergeCell ref="Y139:AB139"/>
    <mergeCell ref="Z136:Z137"/>
    <mergeCell ref="AA136:AA137"/>
    <mergeCell ref="B135:B136"/>
    <mergeCell ref="C135:C136"/>
    <mergeCell ref="E135:E137"/>
    <mergeCell ref="F135:F136"/>
    <mergeCell ref="G135:G136"/>
    <mergeCell ref="H135:H136"/>
    <mergeCell ref="I135:I136"/>
    <mergeCell ref="Y136:Y137"/>
    <mergeCell ref="C138:J138"/>
    <mergeCell ref="G107:G109"/>
    <mergeCell ref="I103:J103"/>
    <mergeCell ref="Y105:Y106"/>
    <mergeCell ref="I89:I91"/>
    <mergeCell ref="I94:I96"/>
    <mergeCell ref="C160:J160"/>
    <mergeCell ref="C150:J150"/>
    <mergeCell ref="C145:J145"/>
    <mergeCell ref="C152:J152"/>
    <mergeCell ref="B140:J140"/>
    <mergeCell ref="A141:AB141"/>
    <mergeCell ref="A142:AB142"/>
    <mergeCell ref="C143:X143"/>
    <mergeCell ref="S144:V144"/>
    <mergeCell ref="Y140:AB140"/>
    <mergeCell ref="S153:V153"/>
    <mergeCell ref="K160:N160"/>
    <mergeCell ref="O160:R160"/>
    <mergeCell ref="S160:V160"/>
    <mergeCell ref="S157:V157"/>
    <mergeCell ref="S152:V152"/>
    <mergeCell ref="S145:V145"/>
    <mergeCell ref="S146:V146"/>
    <mergeCell ref="C159:J159"/>
    <mergeCell ref="K159:N159"/>
    <mergeCell ref="O159:R159"/>
    <mergeCell ref="S159:V159"/>
    <mergeCell ref="S155:V155"/>
    <mergeCell ref="S156:V156"/>
    <mergeCell ref="C157:J157"/>
    <mergeCell ref="K157:N157"/>
    <mergeCell ref="O157:R157"/>
    <mergeCell ref="C155:J155"/>
    <mergeCell ref="K155:N155"/>
    <mergeCell ref="O155:R155"/>
    <mergeCell ref="C156:J156"/>
    <mergeCell ref="K156:N156"/>
    <mergeCell ref="O156:R156"/>
    <mergeCell ref="S154:V154"/>
    <mergeCell ref="K150:N150"/>
    <mergeCell ref="O150:R150"/>
    <mergeCell ref="S150:V150"/>
    <mergeCell ref="C151:J151"/>
    <mergeCell ref="K151:N151"/>
    <mergeCell ref="O151:R151"/>
    <mergeCell ref="S151:V151"/>
    <mergeCell ref="C147:J147"/>
    <mergeCell ref="K147:N147"/>
    <mergeCell ref="O147:R147"/>
    <mergeCell ref="S147:V147"/>
    <mergeCell ref="C148:J148"/>
    <mergeCell ref="K148:N148"/>
    <mergeCell ref="O148:R148"/>
    <mergeCell ref="S148:V148"/>
    <mergeCell ref="O149:R149"/>
    <mergeCell ref="C149:J149"/>
    <mergeCell ref="K149:N149"/>
    <mergeCell ref="S149:V149"/>
    <mergeCell ref="K152:N152"/>
    <mergeCell ref="O152:R152"/>
    <mergeCell ref="C153:J153"/>
    <mergeCell ref="C154:J154"/>
    <mergeCell ref="A132:A134"/>
    <mergeCell ref="B132:B134"/>
    <mergeCell ref="C132:C134"/>
    <mergeCell ref="F132:F134"/>
    <mergeCell ref="G132:G134"/>
    <mergeCell ref="H132:H134"/>
    <mergeCell ref="K154:N154"/>
    <mergeCell ref="O154:R154"/>
    <mergeCell ref="O153:R153"/>
    <mergeCell ref="K153:N153"/>
    <mergeCell ref="K145:N145"/>
    <mergeCell ref="O145:R145"/>
    <mergeCell ref="C146:J146"/>
    <mergeCell ref="K146:N146"/>
    <mergeCell ref="O146:R146"/>
    <mergeCell ref="A135:A136"/>
    <mergeCell ref="E132:E134"/>
    <mergeCell ref="I132:I134"/>
    <mergeCell ref="A118:A119"/>
    <mergeCell ref="B118:B119"/>
    <mergeCell ref="G118:G119"/>
    <mergeCell ref="H118:H119"/>
    <mergeCell ref="I118:I119"/>
    <mergeCell ref="C118:C119"/>
    <mergeCell ref="E118:E119"/>
    <mergeCell ref="F118:F119"/>
    <mergeCell ref="Y110:Y111"/>
    <mergeCell ref="F110:F112"/>
    <mergeCell ref="C110:C112"/>
    <mergeCell ref="E115:E117"/>
    <mergeCell ref="F115:F117"/>
    <mergeCell ref="G115:G117"/>
    <mergeCell ref="H115:H117"/>
    <mergeCell ref="I115:I117"/>
    <mergeCell ref="I110:I112"/>
    <mergeCell ref="C113:J113"/>
    <mergeCell ref="C114:AB114"/>
    <mergeCell ref="D110:D112"/>
    <mergeCell ref="E110:E112"/>
    <mergeCell ref="A88:A103"/>
    <mergeCell ref="B88:B103"/>
    <mergeCell ref="C88:C103"/>
    <mergeCell ref="A110:A112"/>
    <mergeCell ref="B110:B112"/>
    <mergeCell ref="A115:A117"/>
    <mergeCell ref="B115:B117"/>
    <mergeCell ref="E107:E109"/>
    <mergeCell ref="F107:F109"/>
    <mergeCell ref="V6:V7"/>
    <mergeCell ref="H22:H29"/>
    <mergeCell ref="R6:R7"/>
    <mergeCell ref="H44:H45"/>
    <mergeCell ref="I13:I15"/>
    <mergeCell ref="F22:F29"/>
    <mergeCell ref="E16:E19"/>
    <mergeCell ref="I22:I24"/>
    <mergeCell ref="E37:E38"/>
    <mergeCell ref="F44:F45"/>
    <mergeCell ref="G44:G45"/>
    <mergeCell ref="H37:H38"/>
    <mergeCell ref="H16:H17"/>
    <mergeCell ref="E25:E28"/>
    <mergeCell ref="G16:G17"/>
    <mergeCell ref="I34:I35"/>
    <mergeCell ref="AA48:AA49"/>
    <mergeCell ref="C46:C47"/>
    <mergeCell ref="A1:AB1"/>
    <mergeCell ref="A3:AB3"/>
    <mergeCell ref="X4:AB4"/>
    <mergeCell ref="A5:A7"/>
    <mergeCell ref="B5:B7"/>
    <mergeCell ref="C5:C7"/>
    <mergeCell ref="E5:E7"/>
    <mergeCell ref="F5:F7"/>
    <mergeCell ref="G5:G7"/>
    <mergeCell ref="H5:H7"/>
    <mergeCell ref="Y6:Y7"/>
    <mergeCell ref="Z6:AB6"/>
    <mergeCell ref="X5:X7"/>
    <mergeCell ref="Y5:AB5"/>
    <mergeCell ref="K6:K7"/>
    <mergeCell ref="L6:M6"/>
    <mergeCell ref="I5:I7"/>
    <mergeCell ref="D5:D7"/>
    <mergeCell ref="O6:O7"/>
    <mergeCell ref="O5:R5"/>
    <mergeCell ref="S5:V5"/>
    <mergeCell ref="W5:W7"/>
    <mergeCell ref="H46:H47"/>
    <mergeCell ref="I46:I47"/>
    <mergeCell ref="AB48:AB49"/>
    <mergeCell ref="Y46:Y47"/>
    <mergeCell ref="S6:S7"/>
    <mergeCell ref="A8:AB8"/>
    <mergeCell ref="H13:H14"/>
    <mergeCell ref="J5:J7"/>
    <mergeCell ref="B10:AB10"/>
    <mergeCell ref="C11:AB11"/>
    <mergeCell ref="E13:E14"/>
    <mergeCell ref="Y13:Y14"/>
    <mergeCell ref="Z13:Z14"/>
    <mergeCell ref="AA13:AA14"/>
    <mergeCell ref="AB13:AB14"/>
    <mergeCell ref="I44:I45"/>
    <mergeCell ref="I43:J43"/>
    <mergeCell ref="F37:F38"/>
    <mergeCell ref="G37:G38"/>
    <mergeCell ref="E34:E35"/>
    <mergeCell ref="A16:A17"/>
    <mergeCell ref="A22:A29"/>
    <mergeCell ref="B22:B29"/>
    <mergeCell ref="K5:N5"/>
    <mergeCell ref="H50:H51"/>
    <mergeCell ref="F50:F51"/>
    <mergeCell ref="G50:G51"/>
    <mergeCell ref="E50:E51"/>
    <mergeCell ref="E81:E82"/>
    <mergeCell ref="E61:E63"/>
    <mergeCell ref="I81:I82"/>
    <mergeCell ref="H57:H58"/>
    <mergeCell ref="F57:F58"/>
    <mergeCell ref="D72:D73"/>
    <mergeCell ref="E72:E73"/>
    <mergeCell ref="D81:D82"/>
    <mergeCell ref="A46:A47"/>
    <mergeCell ref="D75:D76"/>
    <mergeCell ref="B83:B85"/>
    <mergeCell ref="C48:C49"/>
    <mergeCell ref="E48:E49"/>
    <mergeCell ref="D64:D66"/>
    <mergeCell ref="E64:E66"/>
    <mergeCell ref="Z44:Z45"/>
    <mergeCell ref="C16:C17"/>
    <mergeCell ref="A83:A85"/>
    <mergeCell ref="A44:A45"/>
    <mergeCell ref="B44:B45"/>
    <mergeCell ref="A57:A58"/>
    <mergeCell ref="B57:B58"/>
    <mergeCell ref="C57:C58"/>
    <mergeCell ref="E57:E58"/>
    <mergeCell ref="A50:A51"/>
    <mergeCell ref="B50:B51"/>
    <mergeCell ref="C50:C51"/>
    <mergeCell ref="A48:A49"/>
    <mergeCell ref="B48:B49"/>
    <mergeCell ref="A81:A82"/>
    <mergeCell ref="B81:B82"/>
    <mergeCell ref="C81:C82"/>
    <mergeCell ref="E67:E68"/>
    <mergeCell ref="B46:B47"/>
    <mergeCell ref="E75:E76"/>
    <mergeCell ref="E46:E47"/>
    <mergeCell ref="H59:H60"/>
    <mergeCell ref="E59:E60"/>
    <mergeCell ref="I56:J56"/>
    <mergeCell ref="H83:H85"/>
    <mergeCell ref="F83:F85"/>
    <mergeCell ref="F46:F47"/>
    <mergeCell ref="G46:G47"/>
    <mergeCell ref="G59:G60"/>
    <mergeCell ref="T6:U6"/>
    <mergeCell ref="A9:AB9"/>
    <mergeCell ref="B16:B17"/>
    <mergeCell ref="AA44:AA45"/>
    <mergeCell ref="F13:F14"/>
    <mergeCell ref="G13:G14"/>
    <mergeCell ref="N6:N7"/>
    <mergeCell ref="C44:C45"/>
    <mergeCell ref="E44:E45"/>
    <mergeCell ref="A37:A38"/>
    <mergeCell ref="B37:B38"/>
    <mergeCell ref="C37:C38"/>
    <mergeCell ref="F39:F40"/>
    <mergeCell ref="G39:G40"/>
    <mergeCell ref="H39:H40"/>
    <mergeCell ref="G22:G29"/>
    <mergeCell ref="P6:Q6"/>
    <mergeCell ref="AB44:AB45"/>
    <mergeCell ref="Y44:Y45"/>
    <mergeCell ref="P161:Q161"/>
    <mergeCell ref="I61:I67"/>
    <mergeCell ref="F59:F60"/>
    <mergeCell ref="C22:C29"/>
    <mergeCell ref="F16:F17"/>
    <mergeCell ref="K2:O2"/>
    <mergeCell ref="F89:F93"/>
    <mergeCell ref="F95:F100"/>
    <mergeCell ref="Z48:Z49"/>
    <mergeCell ref="Y48:Y49"/>
    <mergeCell ref="G48:G49"/>
    <mergeCell ref="H48:H49"/>
    <mergeCell ref="I48:I49"/>
    <mergeCell ref="F81:F82"/>
    <mergeCell ref="G81:G82"/>
    <mergeCell ref="H81:H82"/>
    <mergeCell ref="I80:J80"/>
    <mergeCell ref="I83:I85"/>
    <mergeCell ref="Y57:Y58"/>
    <mergeCell ref="I59:I60"/>
    <mergeCell ref="F48:F49"/>
    <mergeCell ref="G57:G58"/>
    <mergeCell ref="I57:I58"/>
    <mergeCell ref="G83:G85"/>
  </mergeCells>
  <printOptions horizontalCentered="1"/>
  <pageMargins left="0" right="0" top="0.39370078740157483" bottom="0" header="0" footer="0"/>
  <pageSetup paperSize="9" scale="70" orientation="landscape" r:id="rId1"/>
  <rowBreaks count="4" manualBreakCount="4">
    <brk id="56" max="27" man="1"/>
    <brk id="82" max="27" man="1"/>
    <brk id="103" max="27" man="1"/>
    <brk id="131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KMSA išlaikymas</vt:lpstr>
      <vt:lpstr>Asignavimų valdytojų kodai</vt:lpstr>
      <vt:lpstr>3 programa</vt:lpstr>
      <vt:lpstr>Aiškinamoji lentelė</vt:lpstr>
      <vt:lpstr>'3 programa'!Print_Area</vt:lpstr>
      <vt:lpstr>'Aiškinamoji lentelė'!Print_Area</vt:lpstr>
      <vt:lpstr>'3 programa'!Print_Titles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Audra Cepiene</cp:lastModifiedBy>
  <cp:lastPrinted>2014-12-04T07:45:30Z</cp:lastPrinted>
  <dcterms:created xsi:type="dcterms:W3CDTF">2004-05-19T10:48:48Z</dcterms:created>
  <dcterms:modified xsi:type="dcterms:W3CDTF">2014-12-18T09:27:00Z</dcterms:modified>
</cp:coreProperties>
</file>