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605" windowWidth="15480" windowHeight="9780" tabRatio="653"/>
  </bookViews>
  <sheets>
    <sheet name="5 programa" sheetId="11" r:id="rId1"/>
    <sheet name="Aiškinamoji lentele" sheetId="10" state="hidden" r:id="rId2"/>
  </sheets>
  <definedNames>
    <definedName name="_xlnm.Print_Area" localSheetId="0">'5 programa'!$A$1:$N$96</definedName>
    <definedName name="_xlnm.Print_Area" localSheetId="1">'Aiškinamoji lentele'!$A$1:$AB$128</definedName>
    <definedName name="_xlnm.Print_Titles" localSheetId="0">'5 programa'!$5:$7</definedName>
    <definedName name="_xlnm.Print_Titles" localSheetId="1">'Aiškinamoji lentele'!$5:$7</definedName>
  </definedNames>
  <calcPr calcId="145621"/>
</workbook>
</file>

<file path=xl/calcChain.xml><?xml version="1.0" encoding="utf-8"?>
<calcChain xmlns="http://schemas.openxmlformats.org/spreadsheetml/2006/main">
  <c r="L63" i="10" l="1"/>
  <c r="M63" i="10"/>
  <c r="N63" i="10"/>
  <c r="O63" i="10"/>
  <c r="P63" i="10"/>
  <c r="Q63" i="10"/>
  <c r="R63" i="10"/>
  <c r="S63" i="10"/>
  <c r="T63" i="10"/>
  <c r="U63" i="10"/>
  <c r="V63" i="10"/>
  <c r="W63" i="10"/>
  <c r="X63" i="10"/>
  <c r="K63" i="10"/>
  <c r="S58" i="10" l="1"/>
  <c r="O58" i="10"/>
  <c r="K58" i="10"/>
  <c r="I63" i="11" l="1"/>
  <c r="J63" i="11"/>
  <c r="H63" i="11"/>
  <c r="J46" i="11" l="1"/>
  <c r="I46" i="11"/>
  <c r="I50" i="11" l="1"/>
  <c r="J50" i="11"/>
  <c r="H16" i="11" l="1"/>
  <c r="H50" i="11"/>
  <c r="H24" i="11"/>
  <c r="I76" i="11"/>
  <c r="H72" i="11"/>
  <c r="H70" i="11"/>
  <c r="H69" i="11"/>
  <c r="H67" i="11"/>
  <c r="H66" i="11"/>
  <c r="J62" i="11"/>
  <c r="I62" i="11"/>
  <c r="H62" i="11"/>
  <c r="J59" i="11"/>
  <c r="J58" i="11"/>
  <c r="J57" i="11"/>
  <c r="I56" i="11"/>
  <c r="H55" i="11"/>
  <c r="H53" i="11"/>
  <c r="H49" i="11"/>
  <c r="H46" i="11"/>
  <c r="J43" i="11"/>
  <c r="J44" i="11" s="1"/>
  <c r="I43" i="11"/>
  <c r="I44" i="11" s="1"/>
  <c r="H43" i="11"/>
  <c r="J42" i="11"/>
  <c r="I42" i="11"/>
  <c r="H42" i="11"/>
  <c r="J37" i="11"/>
  <c r="I37" i="11"/>
  <c r="H37" i="11"/>
  <c r="J33" i="11"/>
  <c r="I33" i="11"/>
  <c r="H33" i="11"/>
  <c r="H29" i="11"/>
  <c r="H27" i="11"/>
  <c r="H26" i="11"/>
  <c r="J23" i="11"/>
  <c r="I23" i="11"/>
  <c r="H23" i="11"/>
  <c r="J21" i="11"/>
  <c r="I21" i="11"/>
  <c r="H21" i="11"/>
  <c r="J16" i="11"/>
  <c r="I16" i="11"/>
  <c r="J12" i="11"/>
  <c r="I12" i="11"/>
  <c r="H12" i="11"/>
  <c r="O92" i="10" l="1"/>
  <c r="J78" i="11" l="1"/>
  <c r="H74" i="11"/>
  <c r="X108" i="10"/>
  <c r="V99" i="10"/>
  <c r="U99" i="10"/>
  <c r="T99" i="10"/>
  <c r="R99" i="10"/>
  <c r="Q99" i="10"/>
  <c r="P99" i="10"/>
  <c r="N99" i="10"/>
  <c r="M99" i="10"/>
  <c r="L99" i="10"/>
  <c r="S98" i="10"/>
  <c r="S99" i="10" s="1"/>
  <c r="K98" i="10"/>
  <c r="K96" i="10"/>
  <c r="K95" i="10"/>
  <c r="O94" i="10"/>
  <c r="O99" i="10" s="1"/>
  <c r="K94" i="10"/>
  <c r="H60" i="11"/>
  <c r="K99" i="10" l="1"/>
  <c r="H68" i="11"/>
  <c r="I77" i="11"/>
  <c r="I78" i="11" s="1"/>
  <c r="R90" i="10"/>
  <c r="O90" i="10" s="1"/>
  <c r="O89" i="10"/>
  <c r="O88" i="10"/>
  <c r="R76" i="10"/>
  <c r="O75" i="10"/>
  <c r="W104" i="10"/>
  <c r="W108" i="10" s="1"/>
  <c r="H30" i="11" l="1"/>
  <c r="O31" i="10"/>
  <c r="V107" i="10" l="1"/>
  <c r="R107" i="10"/>
  <c r="P107" i="10"/>
  <c r="O107" i="10"/>
  <c r="N107" i="10"/>
  <c r="K107" i="10"/>
  <c r="K106" i="10"/>
  <c r="S105" i="10"/>
  <c r="S107" i="10" s="1"/>
  <c r="O68" i="10" l="1"/>
  <c r="L23" i="11" l="1"/>
  <c r="Z25" i="10" l="1"/>
  <c r="O65" i="10" l="1"/>
  <c r="H15" i="11" l="1"/>
  <c r="I15" i="11"/>
  <c r="J15" i="11"/>
  <c r="H25" i="11" l="1"/>
  <c r="R25" i="10"/>
  <c r="H95" i="11" l="1"/>
  <c r="H94" i="11"/>
  <c r="H93" i="11"/>
  <c r="H91" i="11"/>
  <c r="H90" i="11"/>
  <c r="H89" i="11"/>
  <c r="H88" i="11"/>
  <c r="H87" i="11"/>
  <c r="H86" i="11"/>
  <c r="I60" i="11"/>
  <c r="J60" i="11"/>
  <c r="H77" i="11"/>
  <c r="H71" i="11"/>
  <c r="H44" i="11"/>
  <c r="H38" i="11"/>
  <c r="H36" i="11"/>
  <c r="H28" i="11"/>
  <c r="H22" i="11"/>
  <c r="H20" i="11"/>
  <c r="J95" i="11"/>
  <c r="I95" i="11"/>
  <c r="J94" i="11"/>
  <c r="I94" i="11"/>
  <c r="J93" i="11"/>
  <c r="I93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38" i="11"/>
  <c r="I38" i="11"/>
  <c r="J36" i="11"/>
  <c r="I36" i="11"/>
  <c r="J30" i="11"/>
  <c r="I30" i="11"/>
  <c r="J25" i="11"/>
  <c r="I25" i="11"/>
  <c r="J22" i="11"/>
  <c r="I22" i="11"/>
  <c r="J20" i="11"/>
  <c r="I20" i="11"/>
  <c r="H78" i="11" l="1"/>
  <c r="H31" i="11"/>
  <c r="I31" i="11"/>
  <c r="J31" i="11"/>
  <c r="I92" i="11"/>
  <c r="H92" i="11"/>
  <c r="H85" i="11"/>
  <c r="H84" i="11" s="1"/>
  <c r="J64" i="11"/>
  <c r="I64" i="11"/>
  <c r="H64" i="11"/>
  <c r="H39" i="11"/>
  <c r="J92" i="11"/>
  <c r="J39" i="11"/>
  <c r="J85" i="11"/>
  <c r="J84" i="11" s="1"/>
  <c r="I39" i="11"/>
  <c r="I85" i="11"/>
  <c r="I84" i="11" s="1"/>
  <c r="R93" i="10"/>
  <c r="R108" i="10" s="1"/>
  <c r="H79" i="11" l="1"/>
  <c r="H80" i="11" s="1"/>
  <c r="I96" i="11"/>
  <c r="H96" i="11"/>
  <c r="J96" i="11"/>
  <c r="I79" i="11"/>
  <c r="I80" i="11" s="1"/>
  <c r="J79" i="11"/>
  <c r="J80" i="11" s="1"/>
  <c r="X122" i="10" l="1"/>
  <c r="X121" i="10"/>
  <c r="W121" i="10"/>
  <c r="W122" i="10"/>
  <c r="X120" i="10"/>
  <c r="K33" i="10" l="1"/>
  <c r="X32" i="10"/>
  <c r="W32" i="10"/>
  <c r="V32" i="10"/>
  <c r="U32" i="10"/>
  <c r="T32" i="10"/>
  <c r="R32" i="10"/>
  <c r="Q32" i="10"/>
  <c r="P32" i="10"/>
  <c r="O32" i="10"/>
  <c r="S31" i="10"/>
  <c r="S32" i="10" s="1"/>
  <c r="N35" i="10" l="1"/>
  <c r="M35" i="10"/>
  <c r="L35" i="10"/>
  <c r="K34" i="10"/>
  <c r="K35" i="10" s="1"/>
  <c r="S70" i="10" l="1"/>
  <c r="O70" i="10"/>
  <c r="K70" i="10"/>
  <c r="K117" i="10" l="1"/>
  <c r="O117" i="10"/>
  <c r="S117" i="10"/>
  <c r="L76" i="10" l="1"/>
  <c r="M76" i="10"/>
  <c r="N76" i="10"/>
  <c r="P76" i="10"/>
  <c r="Q76" i="10"/>
  <c r="T76" i="10"/>
  <c r="U76" i="10"/>
  <c r="V76" i="10"/>
  <c r="L84" i="10"/>
  <c r="M84" i="10"/>
  <c r="N84" i="10"/>
  <c r="P84" i="10"/>
  <c r="Q84" i="10"/>
  <c r="R84" i="10"/>
  <c r="T84" i="10"/>
  <c r="U84" i="10"/>
  <c r="V84" i="10"/>
  <c r="W84" i="10"/>
  <c r="X84" i="10"/>
  <c r="S81" i="10"/>
  <c r="O81" i="10"/>
  <c r="K81" i="10"/>
  <c r="S79" i="10"/>
  <c r="S78" i="10"/>
  <c r="O78" i="10"/>
  <c r="O84" i="10" s="1"/>
  <c r="K78" i="10"/>
  <c r="K84" i="10" s="1"/>
  <c r="X76" i="10"/>
  <c r="W76" i="10"/>
  <c r="K74" i="10"/>
  <c r="S69" i="10"/>
  <c r="O69" i="10"/>
  <c r="K69" i="10"/>
  <c r="S66" i="10"/>
  <c r="O66" i="10"/>
  <c r="K66" i="10"/>
  <c r="S120" i="10"/>
  <c r="O120" i="10"/>
  <c r="K65" i="10"/>
  <c r="K120" i="10" s="1"/>
  <c r="K62" i="10"/>
  <c r="O61" i="10"/>
  <c r="L93" i="10"/>
  <c r="M93" i="10"/>
  <c r="N93" i="10"/>
  <c r="P93" i="10"/>
  <c r="Q93" i="10"/>
  <c r="T93" i="10"/>
  <c r="U93" i="10"/>
  <c r="V93" i="10"/>
  <c r="L56" i="10"/>
  <c r="M56" i="10"/>
  <c r="N56" i="10"/>
  <c r="P56" i="10"/>
  <c r="Q56" i="10"/>
  <c r="R56" i="10"/>
  <c r="T56" i="10"/>
  <c r="U56" i="10"/>
  <c r="V56" i="10"/>
  <c r="W56" i="10"/>
  <c r="X56" i="10"/>
  <c r="S48" i="10"/>
  <c r="O48" i="10"/>
  <c r="K48" i="10"/>
  <c r="K26" i="10"/>
  <c r="K76" i="10" l="1"/>
  <c r="S84" i="10"/>
  <c r="O76" i="10"/>
  <c r="S76" i="10"/>
  <c r="X85" i="10"/>
  <c r="W85" i="10"/>
  <c r="P85" i="10"/>
  <c r="U85" i="10"/>
  <c r="Q85" i="10"/>
  <c r="L85" i="10"/>
  <c r="V85" i="10"/>
  <c r="M85" i="10"/>
  <c r="N85" i="10"/>
  <c r="R85" i="10"/>
  <c r="T85" i="10"/>
  <c r="W22" i="10"/>
  <c r="O14" i="10"/>
  <c r="X119" i="10" l="1"/>
  <c r="X118" i="10"/>
  <c r="W119" i="10"/>
  <c r="W118" i="10"/>
  <c r="X126" i="10"/>
  <c r="X125" i="10"/>
  <c r="X124" i="10"/>
  <c r="W126" i="10"/>
  <c r="W125" i="10"/>
  <c r="W124" i="10"/>
  <c r="W123" i="10" l="1"/>
  <c r="X123" i="10"/>
  <c r="N27" i="10" l="1"/>
  <c r="W120" i="10" l="1"/>
  <c r="W117" i="10"/>
  <c r="W116" i="10" l="1"/>
  <c r="W115" i="10" s="1"/>
  <c r="W127" i="10" s="1"/>
  <c r="W128" i="10" s="1"/>
  <c r="X117" i="10"/>
  <c r="X116" i="10" l="1"/>
  <c r="X115" i="10" s="1"/>
  <c r="X127" i="10" s="1"/>
  <c r="X128" i="10" s="1"/>
  <c r="O87" i="10"/>
  <c r="S87" i="10"/>
  <c r="L22" i="10" l="1"/>
  <c r="W43" i="10" l="1"/>
  <c r="X43" i="10"/>
  <c r="W41" i="10"/>
  <c r="X41" i="10"/>
  <c r="W27" i="10"/>
  <c r="X27" i="10"/>
  <c r="W24" i="10"/>
  <c r="X24" i="10"/>
  <c r="X22" i="10"/>
  <c r="X16" i="10"/>
  <c r="W16" i="10"/>
  <c r="W36" i="10" l="1"/>
  <c r="X36" i="10"/>
  <c r="W44" i="10"/>
  <c r="X44" i="10"/>
  <c r="V104" i="10"/>
  <c r="U104" i="10"/>
  <c r="U108" i="10" s="1"/>
  <c r="T104" i="10"/>
  <c r="T108" i="10" s="1"/>
  <c r="S101" i="10"/>
  <c r="S104" i="10" s="1"/>
  <c r="S91" i="10"/>
  <c r="V90" i="10"/>
  <c r="S90" i="10"/>
  <c r="S47" i="10"/>
  <c r="V43" i="10"/>
  <c r="U43" i="10"/>
  <c r="T43" i="10"/>
  <c r="S42" i="10"/>
  <c r="S43" i="10" s="1"/>
  <c r="V41" i="10"/>
  <c r="U41" i="10"/>
  <c r="T41" i="10"/>
  <c r="S38" i="10"/>
  <c r="S41" i="10" s="1"/>
  <c r="V30" i="10"/>
  <c r="U30" i="10"/>
  <c r="T30" i="10"/>
  <c r="S29" i="10"/>
  <c r="S124" i="10" s="1"/>
  <c r="S28" i="10"/>
  <c r="S126" i="10" s="1"/>
  <c r="V27" i="10"/>
  <c r="U27" i="10"/>
  <c r="T27" i="10"/>
  <c r="S26" i="10"/>
  <c r="S25" i="10"/>
  <c r="V24" i="10"/>
  <c r="U24" i="10"/>
  <c r="T24" i="10"/>
  <c r="S23" i="10"/>
  <c r="S24" i="10" s="1"/>
  <c r="V22" i="10"/>
  <c r="U22" i="10"/>
  <c r="T22" i="10"/>
  <c r="S20" i="10"/>
  <c r="S19" i="10"/>
  <c r="S18" i="10"/>
  <c r="V16" i="10"/>
  <c r="U16" i="10"/>
  <c r="T16" i="10"/>
  <c r="S15" i="10"/>
  <c r="S13" i="10"/>
  <c r="Q104" i="10"/>
  <c r="Q108" i="10" s="1"/>
  <c r="P104" i="10"/>
  <c r="P108" i="10" s="1"/>
  <c r="O101" i="10"/>
  <c r="O91" i="10"/>
  <c r="O47" i="10"/>
  <c r="R43" i="10"/>
  <c r="Q43" i="10"/>
  <c r="P43" i="10"/>
  <c r="O42" i="10"/>
  <c r="R41" i="10"/>
  <c r="Q41" i="10"/>
  <c r="P41" i="10"/>
  <c r="O38" i="10"/>
  <c r="O41" i="10" s="1"/>
  <c r="R30" i="10"/>
  <c r="Q30" i="10"/>
  <c r="P30" i="10"/>
  <c r="O29" i="10"/>
  <c r="O124" i="10" s="1"/>
  <c r="O28" i="10"/>
  <c r="O126" i="10" s="1"/>
  <c r="R27" i="10"/>
  <c r="Q27" i="10"/>
  <c r="P27" i="10"/>
  <c r="O26" i="10"/>
  <c r="O25" i="10"/>
  <c r="R24" i="10"/>
  <c r="Q24" i="10"/>
  <c r="P24" i="10"/>
  <c r="O23" i="10"/>
  <c r="O24" i="10" s="1"/>
  <c r="R22" i="10"/>
  <c r="Q22" i="10"/>
  <c r="P22" i="10"/>
  <c r="O20" i="10"/>
  <c r="O19" i="10"/>
  <c r="O125" i="10" s="1"/>
  <c r="O18" i="10"/>
  <c r="O118" i="10" s="1"/>
  <c r="R16" i="10"/>
  <c r="Q16" i="10"/>
  <c r="P16" i="10"/>
  <c r="O15" i="10"/>
  <c r="O13" i="10"/>
  <c r="O119" i="10" s="1"/>
  <c r="O104" i="10" l="1"/>
  <c r="O121" i="10"/>
  <c r="P36" i="10"/>
  <c r="V108" i="10"/>
  <c r="T36" i="10"/>
  <c r="U36" i="10"/>
  <c r="R36" i="10"/>
  <c r="Q36" i="10"/>
  <c r="V36" i="10"/>
  <c r="O122" i="10"/>
  <c r="O93" i="10"/>
  <c r="O108" i="10" s="1"/>
  <c r="S122" i="10"/>
  <c r="S93" i="10"/>
  <c r="S108" i="10" s="1"/>
  <c r="S121" i="10"/>
  <c r="O43" i="10"/>
  <c r="O116" i="10"/>
  <c r="X109" i="10"/>
  <c r="X110" i="10" s="1"/>
  <c r="W109" i="10"/>
  <c r="W110" i="10" s="1"/>
  <c r="S118" i="10"/>
  <c r="S125" i="10"/>
  <c r="S119" i="10"/>
  <c r="O56" i="10"/>
  <c r="O85" i="10" s="1"/>
  <c r="S56" i="10"/>
  <c r="S85" i="10" s="1"/>
  <c r="O22" i="10"/>
  <c r="S30" i="10"/>
  <c r="O16" i="10"/>
  <c r="S16" i="10"/>
  <c r="V44" i="10"/>
  <c r="O27" i="10"/>
  <c r="S27" i="10"/>
  <c r="Q44" i="10"/>
  <c r="O30" i="10"/>
  <c r="R44" i="10"/>
  <c r="U44" i="10"/>
  <c r="P44" i="10"/>
  <c r="S44" i="10"/>
  <c r="T44" i="10"/>
  <c r="S22" i="10"/>
  <c r="O44" i="10"/>
  <c r="N104" i="10"/>
  <c r="M104" i="10"/>
  <c r="M108" i="10" s="1"/>
  <c r="L104" i="10"/>
  <c r="L108" i="10" s="1"/>
  <c r="K101" i="10"/>
  <c r="K104" i="10" s="1"/>
  <c r="K91" i="10"/>
  <c r="K93" i="10" s="1"/>
  <c r="N90" i="10"/>
  <c r="K90" i="10"/>
  <c r="K55" i="10"/>
  <c r="K54" i="10"/>
  <c r="K53" i="10"/>
  <c r="K52" i="10"/>
  <c r="K51" i="10"/>
  <c r="K50" i="10"/>
  <c r="K49" i="10"/>
  <c r="K121" i="10" s="1"/>
  <c r="K47" i="10"/>
  <c r="N43" i="10"/>
  <c r="M43" i="10"/>
  <c r="L43" i="10"/>
  <c r="K42" i="10"/>
  <c r="K43" i="10" s="1"/>
  <c r="N41" i="10"/>
  <c r="M41" i="10"/>
  <c r="L41" i="10"/>
  <c r="K38" i="10"/>
  <c r="K41" i="10" s="1"/>
  <c r="N30" i="10"/>
  <c r="M30" i="10"/>
  <c r="L30" i="10"/>
  <c r="K29" i="10"/>
  <c r="K28" i="10"/>
  <c r="K126" i="10" s="1"/>
  <c r="M27" i="10"/>
  <c r="L27" i="10"/>
  <c r="K25" i="10"/>
  <c r="K122" i="10" s="1"/>
  <c r="N24" i="10"/>
  <c r="M24" i="10"/>
  <c r="L24" i="10"/>
  <c r="K23" i="10"/>
  <c r="K24" i="10" s="1"/>
  <c r="N22" i="10"/>
  <c r="M22" i="10"/>
  <c r="K20" i="10"/>
  <c r="K19" i="10"/>
  <c r="K18" i="10"/>
  <c r="N16" i="10"/>
  <c r="M16" i="10"/>
  <c r="L16" i="10"/>
  <c r="K15" i="10"/>
  <c r="K13" i="10"/>
  <c r="K108" i="10" l="1"/>
  <c r="N108" i="10"/>
  <c r="O36" i="10"/>
  <c r="O109" i="10" s="1"/>
  <c r="O110" i="10" s="1"/>
  <c r="S36" i="10"/>
  <c r="O115" i="10"/>
  <c r="K119" i="10"/>
  <c r="S116" i="10"/>
  <c r="S115" i="10" s="1"/>
  <c r="K27" i="10"/>
  <c r="N36" i="10"/>
  <c r="L36" i="10"/>
  <c r="M36" i="10"/>
  <c r="T109" i="10"/>
  <c r="T110" i="10" s="1"/>
  <c r="U109" i="10"/>
  <c r="U110" i="10" s="1"/>
  <c r="P109" i="10"/>
  <c r="P110" i="10" s="1"/>
  <c r="Q109" i="10"/>
  <c r="Q110" i="10" s="1"/>
  <c r="R109" i="10"/>
  <c r="V109" i="10"/>
  <c r="V110" i="10" s="1"/>
  <c r="K56" i="10"/>
  <c r="K85" i="10" s="1"/>
  <c r="K22" i="10"/>
  <c r="S109" i="10"/>
  <c r="K44" i="10"/>
  <c r="K124" i="10"/>
  <c r="K16" i="10"/>
  <c r="K118" i="10"/>
  <c r="K116" i="10" s="1"/>
  <c r="K115" i="10" s="1"/>
  <c r="L44" i="10"/>
  <c r="N44" i="10"/>
  <c r="K125" i="10"/>
  <c r="M44" i="10"/>
  <c r="M109" i="10" s="1"/>
  <c r="K30" i="10"/>
  <c r="K36" i="10" l="1"/>
  <c r="L109" i="10"/>
  <c r="L110" i="10" s="1"/>
  <c r="K109" i="10"/>
  <c r="N109" i="10"/>
  <c r="N110" i="10" s="1"/>
  <c r="S110" i="10"/>
  <c r="R110" i="10"/>
  <c r="K123" i="10"/>
  <c r="M110" i="10"/>
  <c r="K127" i="10" l="1"/>
  <c r="K110" i="10"/>
  <c r="O123" i="10" l="1"/>
  <c r="S123" i="10"/>
  <c r="S127" i="10" l="1"/>
  <c r="O127" i="10"/>
  <c r="O128" i="10" s="1"/>
</calcChain>
</file>

<file path=xl/comments1.xml><?xml version="1.0" encoding="utf-8"?>
<comments xmlns="http://schemas.openxmlformats.org/spreadsheetml/2006/main">
  <authors>
    <author>Audra Cepiene</author>
    <author>Sniega</author>
  </authors>
  <commentList>
    <comment ref="E24" authorId="0">
      <text>
        <r>
          <rPr>
            <sz val="9"/>
            <color indexed="81"/>
            <rFont val="Tahoma"/>
            <family val="2"/>
            <charset val="186"/>
          </rPr>
          <t xml:space="preserve">P2.1.3.17 Įrengti požemines ir pusiau požemines komunalinių atliekų ir antrinių žaliavų surinkimo konteinerių aikšteles
</t>
        </r>
      </text>
    </comment>
    <comment ref="D33" authorId="0">
      <text>
        <r>
          <rPr>
            <sz val="9"/>
            <color indexed="81"/>
            <rFont val="Tahoma"/>
            <family val="2"/>
            <charset val="186"/>
          </rPr>
          <t xml:space="preserve">
pagal taryboje patvirtintą 2012-2016 m. programą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2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K42" author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75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Sniega</author>
  </authors>
  <commentList>
    <comment ref="L1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Pakeista po sprendimo. </t>
        </r>
        <r>
          <rPr>
            <sz val="9"/>
            <color indexed="81"/>
            <rFont val="Tahoma"/>
            <family val="2"/>
            <charset val="186"/>
          </rPr>
          <t xml:space="preserve">Sutarties suma 20988,00lt. 2013m. gruodį buvo gautas avansas 6296,46Lt. 2014m. liko gauti 14691,60lt.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perkelta į turtą</t>
        </r>
      </text>
    </comment>
    <comment ref="O2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El. paštu. Aplinkos skyrius nori pakoreguoti/patikslinti 2015 m. priemonę. Planuojamų įrengti 2015 m. konteinerių aikštelių skaičius didėja iki 59 vnt. (buvo nurodyta 54 vnt.). Bendras 2015 m. pusiau požeminių konteinerių aikštelių įrengimui planuojamas lėšų poreikis  - 3 245 283,00 Lt  + 33 400 Lt (aikštelių techninei priežiūrai). </t>
        </r>
      </text>
    </comment>
    <comment ref="F26" authorId="0">
      <text>
        <r>
          <rPr>
            <sz val="9"/>
            <color indexed="81"/>
            <rFont val="Tahoma"/>
            <family val="2"/>
            <charset val="186"/>
          </rPr>
          <t xml:space="preserve">P2.1.3.17 Įrengti požemines ir pusiau požemines komunalinių atliekų ir antrinių žaliavų surinkimo konteinerių aikšteles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SB(VRL); skirta iš viso 31600 tūkst. Lt (rugsėjo sprendimas)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įtraukta 2014-11 sprendimu
</t>
        </r>
      </text>
    </comment>
    <comment ref="J3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LRVB</t>
        </r>
      </text>
    </comment>
    <comment ref="N3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Ar persikels 15 m.</t>
        </r>
      </text>
    </comment>
    <comment ref="E38" authorId="0">
      <text>
        <r>
          <rPr>
            <sz val="9"/>
            <color indexed="81"/>
            <rFont val="Tahoma"/>
            <family val="2"/>
            <charset val="186"/>
          </rPr>
          <t xml:space="preserve">
pagal taryboje patvirtintą 2012-2016 m. programą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F4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Y47" author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 užtikrinti žaliųjų miesto plotų vystymą</t>
        </r>
      </text>
    </comment>
    <comment ref="F58" authorId="0">
      <text>
        <r>
          <rPr>
            <sz val="9"/>
            <color indexed="81"/>
            <rFont val="Tahoma"/>
            <family val="2"/>
            <charset val="186"/>
          </rPr>
          <t>KSP 2.3.1.1.
Planuoti ir įrengti apsauginius ir rekreacinius želdynus</t>
        </r>
      </text>
    </comment>
    <comment ref="E6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2.1.2.7. Vystyti dviračių, pėsčiųjų takų ir gatvių sistemą, didinant tinklo integralumą, rišlumą ir kokybę
</t>
        </r>
      </text>
    </comment>
    <comment ref="K7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dalia rodo, kad panaudos 196,3
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KSP 2.3.1.2.
Užtikrinti gamtinių vertybių apsaugą kuriant ir atnaujinant infrastruktūrą pajūrio ruože</t>
        </r>
      </text>
    </comment>
    <comment ref="E8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įtarukta 2014-09 sprendimu, Saulinos. Planuoja 2014 m. įvykdyti</t>
        </r>
      </text>
    </comment>
    <comment ref="L8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100 tūkst. Lt rugsėjo pakeitimas</t>
        </r>
      </text>
    </comment>
    <comment ref="L8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42,9 tūkst. Lt rugsėjo sprendimas
</t>
        </r>
      </text>
    </comment>
    <comment ref="J9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SB(ES)
</t>
        </r>
      </text>
    </comment>
    <comment ref="L9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1,1 tūkst. lt rugsėjo sprendimas</t>
        </r>
      </text>
    </comment>
    <comment ref="F100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  <comment ref="K10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nesusumuoti 61 tūkst. lt,  2014-09 sprendimas</t>
        </r>
      </text>
    </comment>
    <comment ref="K11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pradinis strateginio įsakymas</t>
        </r>
        <r>
          <rPr>
            <b/>
            <sz val="9"/>
            <color indexed="81"/>
            <rFont val="Tahoma"/>
            <family val="2"/>
            <charset val="186"/>
          </rPr>
          <t xml:space="preserve"> 38850,5</t>
        </r>
        <r>
          <rPr>
            <sz val="9"/>
            <color indexed="81"/>
            <rFont val="Tahoma"/>
            <family val="2"/>
            <charset val="186"/>
          </rPr>
          <t xml:space="preserve"> tūkst. Lt; pirminis strateg. Sprendimas +38856,8 tūkst. Lt</t>
        </r>
      </text>
    </comment>
    <comment ref="K11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biudžetas 23565,5
</t>
        </r>
      </text>
    </comment>
  </commentList>
</comments>
</file>

<file path=xl/sharedStrings.xml><?xml version="1.0" encoding="utf-8"?>
<sst xmlns="http://schemas.openxmlformats.org/spreadsheetml/2006/main" count="659" uniqueCount="172">
  <si>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</si>
  <si>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</si>
  <si>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</si>
  <si>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</si>
  <si>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</si>
  <si>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</si>
  <si>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</si>
  <si>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</si>
  <si>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</si>
  <si>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</si>
  <si>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</si>
  <si>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</si>
  <si>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</si>
  <si>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</si>
  <si>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</si>
  <si>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</si>
  <si>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</si>
  <si>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</si>
  <si>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</si>
  <si>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</si>
  <si>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</si>
  <si>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</si>
  <si>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</si>
  <si>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</si>
  <si>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</si>
  <si>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</si>
  <si>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</si>
  <si>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</si>
  <si>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</si>
  <si>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</si>
  <si>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</si>
  <si>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</si>
  <si>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</si>
  <si>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</si>
  <si>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</si>
  <si>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</si>
  <si>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</si>
  <si>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</si>
  <si>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</si>
  <si>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</si>
  <si>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</si>
  <si>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</si>
  <si>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</si>
  <si>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</si>
  <si>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</si>
  <si>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</si>
  <si>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</si>
  <si>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</si>
  <si>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</si>
  <si>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</si>
  <si>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</si>
  <si>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Mumlaukio ežero išvalymas ir aplinkos sutvarkymas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</si>
  <si>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</si>
  <si>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</si>
  <si>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</si>
  <si>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</si>
  <si>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Parengta ataskaitų, vnt.</t>
  </si>
  <si>
    <t>05 Aplinkos apsaugos programa</t>
  </si>
  <si>
    <t>ES</t>
  </si>
  <si>
    <t>LRVB</t>
  </si>
  <si>
    <t>Valoma vandens telkinių (paviršiai ir priekrantė), vnt.</t>
  </si>
  <si>
    <t>SB(P)</t>
  </si>
  <si>
    <t xml:space="preserve">Visuomenės švietimo atliekų tvarkymo klausimais vykdymas </t>
  </si>
  <si>
    <t>Informuotų asmenų skaičius, tūkst.</t>
  </si>
  <si>
    <t>Danės upės valymas ir pakrančių sutvarkymas</t>
  </si>
  <si>
    <t>I</t>
  </si>
  <si>
    <t>Komunalinių atliekų tvarkymo organizavimas:</t>
  </si>
  <si>
    <t>Komunalinių atliekų surinkimas ir tvarkymas Lėbartų kapinėse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</si>
  <si>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</si>
  <si>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</si>
  <si>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</si>
  <si>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</si>
  <si>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</si>
  <si>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</si>
  <si>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</si>
  <si>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</si>
  <si>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</si>
  <si>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</si>
  <si>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Priimtų į sąvartyną  atliekų kiekis, tūkst. t</t>
  </si>
  <si>
    <t>Išvežta komunalinių, statybinių, biologiškai skaidžių šiukšlių, tūkst. t</t>
  </si>
  <si>
    <t>Tiriamų aplinkos komponentų (oro, triukšmo, dirvožemio, vandens, biologinės įvairovės) kiekis, vnt.</t>
  </si>
  <si>
    <t>Įrengtas dviračių ir pėsčiųjų takas (7,237 km). Užbaigtumas, proc.</t>
  </si>
  <si>
    <t>08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</si>
  <si>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</si>
  <si>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</si>
  <si>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</si>
  <si>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</si>
  <si>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</si>
  <si>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</si>
  <si>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</si>
  <si>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</si>
  <si>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</si>
  <si>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Konteinerinių tualetų infrastruktūros tinklų (vandens, nuotekų) paplūdimiuose įrengimo darbai</t>
  </si>
  <si>
    <t>Naujų ir esamų želdynų tvarkymas ir kūrimas</t>
  </si>
  <si>
    <t>Kuršių marių akvatorijos prie Ledų rago (laivų kapinių) išvalymas</t>
  </si>
  <si>
    <t>Dviračių ir pėsčiųjų tako dalies nuo Biržos tilto iki Klaipėdos g. tilto įrengimas Danės upės slėnio teritorijoje</t>
  </si>
  <si>
    <t>Savavališkai užterštų teritorijų sutvarkymas</t>
  </si>
  <si>
    <t>Bendrojo naudojimo lietaus nuotekų tinklų tiesimas teritorijoje ties Bangų g. 5A, Klaipėdoje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</si>
  <si>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</si>
  <si>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</si>
  <si>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</si>
  <si>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</si>
  <si>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</si>
  <si>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</si>
  <si>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</si>
  <si>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2017-ieji metai</t>
  </si>
  <si>
    <t>Iš viso priemonei:</t>
  </si>
  <si>
    <t>MŪD Aplinkos kokybės sk.</t>
  </si>
  <si>
    <t>IED Projektų skyrius</t>
  </si>
  <si>
    <t>IED Projektų skyrius / projekto vadovė J. Dumbauskaitė</t>
  </si>
  <si>
    <t>IED Statybos ir infrastruktūros skyrius</t>
  </si>
  <si>
    <t xml:space="preserve">IED Projekto vadovas 
G. Dovidaitis 
</t>
  </si>
  <si>
    <t xml:space="preserve">IED Projektų skyrius </t>
  </si>
  <si>
    <t xml:space="preserve">2014–2017 M. KLAIPĖDOS MIESTO SAVIVALDYBĖS </t>
  </si>
  <si>
    <t xml:space="preserve"> MŪD BĮ "Klaipėdos paplūdimiai" </t>
  </si>
  <si>
    <t xml:space="preserve">Projekto „Aplinkos pritaikymo ir aplinkosaugos priemonių įgyvendinimas Baltijos jūros paplūdimių zonoje“  įgyvendinimas </t>
  </si>
  <si>
    <t>2016-ųjų m. lėšų poreikis</t>
  </si>
  <si>
    <t>2017-ųjų m. lėšų poreikis</t>
  </si>
  <si>
    <t>MŪD Kapinių priežiūros sk.</t>
  </si>
  <si>
    <t xml:space="preserve">MŪD Miesto tvarkymo skyrius </t>
  </si>
  <si>
    <t>2.3.3.2</t>
  </si>
  <si>
    <t>Išvalytų vandens telkinių plotas, ha</t>
  </si>
  <si>
    <t>Sutvarkyta medžių prie dviračių takų, tūkst. vnt.</t>
  </si>
  <si>
    <t>Danės upės pakrantės palei dviračių taką želdinių tvarkymo aprašas</t>
  </si>
  <si>
    <t>Parengtas aprašas, vnt.</t>
  </si>
  <si>
    <t xml:space="preserve">IED Projektų skyrius
                                  M. Lygnugarienė
</t>
  </si>
  <si>
    <t>Sutvirtintas kopagūbris, pinant tvoreles iš žabų, tūkst. m.</t>
  </si>
  <si>
    <t>Sutvirtintas kopagūbris žabų klojiniais, tūkst. kv. m</t>
  </si>
  <si>
    <t>Vandens ir nuotekų tinklų įrengimo Smiltynės g. 13 techninio projekto parengimas</t>
  </si>
  <si>
    <t>Asfalto dangos įrengimas suformuojant dviračių taką palei Danės upės krantinę nuo Jono kalnelio tiltelio  iki Gluosnių skersgatvio</t>
  </si>
  <si>
    <t>IED Statybos ir infrastruktūros plėtros skyrius</t>
  </si>
  <si>
    <t>Parengtas investicijų projektas, vnt.</t>
  </si>
  <si>
    <r>
      <t xml:space="preserve">Suprojektuoti ir pastatyti valymo įrenginiai Klaipėdos regioniniame sąvartyne Dumpiuose. Įvykdymas, </t>
    </r>
    <r>
      <rPr>
        <sz val="9"/>
        <rFont val="Times New Roman"/>
        <family val="1"/>
        <charset val="186"/>
      </rPr>
      <t>proc.</t>
    </r>
  </si>
  <si>
    <t>P2.3.1.4</t>
  </si>
  <si>
    <t>Nutiesta lietaus nuotekų tinklų (100 m). Užbaigtumas, proc.</t>
  </si>
  <si>
    <t>Rekonstruota lietaus nuotekų tinklų (1625,5 m).
Suorganizuoti 2 pažintiniai vizitai. Suorganizuoti 2 darbiniai susitikimai.  Įvykdymas, proc.</t>
  </si>
  <si>
    <t xml:space="preserve">Prižiūrėti, saugoti ir gausinti miesto poilsio zonų gamtinę aplinką </t>
  </si>
  <si>
    <t>Individualių antrinių žaliavų ir pakuočių atliekų surinkimo konteinerių įsigijimas</t>
  </si>
  <si>
    <t>Įsigytų individualių antrinių žaliavų surinkimo konteinerių, vnt.</t>
  </si>
  <si>
    <t>Miesto paplūdimių priežiūra ir apsauga:</t>
  </si>
  <si>
    <t>Miesto želdynų ir želdinių tvarkymas ir kūrimas:</t>
  </si>
  <si>
    <t>P2.3.1.2</t>
  </si>
  <si>
    <r>
      <t>I,</t>
    </r>
    <r>
      <rPr>
        <sz val="10"/>
        <rFont val="Times New Roman"/>
        <family val="1"/>
        <charset val="186"/>
      </rPr>
      <t xml:space="preserve"> P1.6.3.4</t>
    </r>
  </si>
  <si>
    <r>
      <t xml:space="preserve">I, </t>
    </r>
    <r>
      <rPr>
        <sz val="10"/>
        <rFont val="Times New Roman"/>
        <family val="1"/>
        <charset val="186"/>
      </rPr>
      <t>P2.4.2.8</t>
    </r>
  </si>
  <si>
    <t xml:space="preserve">Savivaldybės biudžetas, iš jo: </t>
  </si>
  <si>
    <t>Lietaus nuotekų tinklų Pilies ir Mokyklos gatvėse remonto darbai</t>
  </si>
  <si>
    <t xml:space="preserve"> MŪD Miesto tvarkymo skyrius </t>
  </si>
  <si>
    <t xml:space="preserve">Helofitų (nendrių, švendrių) šalinimas iš Žardės ir Draugystės tvenkinių </t>
  </si>
  <si>
    <t>Dviračių takų  plėtra:</t>
  </si>
  <si>
    <t>Prižiūrėti ir vystyti mieste vandens ir nuotekų tinklų  infrastruktūrą</t>
  </si>
  <si>
    <r>
      <t>I,</t>
    </r>
    <r>
      <rPr>
        <sz val="8"/>
        <rFont val="Times New Roman"/>
        <family val="1"/>
        <charset val="186"/>
      </rPr>
      <t xml:space="preserve"> P1.6.3.4</t>
    </r>
  </si>
  <si>
    <t>Rekonstruota lietaus nuotekų tinklų (1625,5 m).  Įvykdymas, proc.</t>
  </si>
  <si>
    <t xml:space="preserve">2015–2017 M. KLAIPĖDOS MIESTO SAVIVALDYBĖS </t>
  </si>
  <si>
    <t>Nutiesta vandens, nuotekų tinklų prijungtų prie Smiltynės, Melnragės, Girulių konteinerinių tualetų (220 m). Užbaigtumas, proc.</t>
  </si>
  <si>
    <t>Įrengta konteinerių ir aikštelių, vnt.</t>
  </si>
  <si>
    <t>Požeminių, pusiau požeminių bei kitų konteinerių įsigijimas ir aikštelių įrengimas</t>
  </si>
  <si>
    <t>Parengtas techninis projektas, vnt.</t>
  </si>
  <si>
    <t>Nutiesta dviračių takų (1,935 km). Užbaigtumas, proc.</t>
  </si>
  <si>
    <t>Nutiesta dviračių tako (360 km). Užbaigtumas, proc.</t>
  </si>
  <si>
    <t>Nutiesta dviračių takų (1,935 km), užbaigtumas, proc.</t>
  </si>
  <si>
    <t>Eur</t>
  </si>
  <si>
    <t>Planas</t>
  </si>
  <si>
    <t>Priimtų į sąvartyną atliekų kiekis, tūkst. t</t>
  </si>
  <si>
    <t>Pakeista medinių takų ir laiptų, tūkst. kv. m</t>
  </si>
  <si>
    <t>Nutiesta vandens, nuotekų tinklų, prijungtų prie Smiltynės, Melnragės, Girulių konteinerinių tualetų (220 m). Užbaigtumas, proc.</t>
  </si>
  <si>
    <t>Asfalto dangos įrengimas suformuojant dviračių taką palei Danės upės krantinę nuo Jono kalnelio tiltelio iki Gluosnių skersgatvio</t>
  </si>
  <si>
    <t>Prižiūrėti ir vystyti mieste vandens ir nuotekų tinklų infrastruktūrą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</si>
  <si>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</si>
  <si>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 xml:space="preserve"> P2.3.1.1</t>
  </si>
  <si>
    <t>P.2.3.1.1.</t>
  </si>
  <si>
    <t>Papildyta rožynų sodinukais (270 vnt.) plotas, m2</t>
  </si>
  <si>
    <t>Iškirsta ir atsodinta medžių,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</si>
</sst>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color indexed="81"/>
      <name val="Tahoma"/>
      <family val="2"/>
      <charset val="186"/>
    </font>
    <font>
      <sz val="7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313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48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/>
    </xf>
    <xf numFmtId="0" fontId="9" fillId="0" borderId="48" xfId="0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vertical="top"/>
    </xf>
    <xf numFmtId="49" fontId="4" fillId="2" borderId="7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49" fontId="4" fillId="5" borderId="16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7" fillId="0" borderId="0" xfId="0" applyFont="1" applyBorder="1"/>
    <xf numFmtId="0" fontId="2" fillId="0" borderId="44" xfId="0" applyFont="1" applyFill="1" applyBorder="1" applyAlignment="1">
      <alignment horizontal="center" vertical="top" wrapText="1"/>
    </xf>
    <xf numFmtId="0" fontId="9" fillId="0" borderId="59" xfId="0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3" borderId="41" xfId="0" applyNumberFormat="1" applyFont="1" applyFill="1" applyBorder="1" applyAlignment="1">
      <alignment horizontal="center" vertical="top"/>
    </xf>
    <xf numFmtId="49" fontId="11" fillId="0" borderId="4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3" fontId="2" fillId="3" borderId="7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3" fontId="2" fillId="0" borderId="40" xfId="0" applyNumberFormat="1" applyFont="1" applyFill="1" applyBorder="1" applyAlignment="1">
      <alignment horizontal="center" vertical="top"/>
    </xf>
    <xf numFmtId="3" fontId="2" fillId="0" borderId="25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0" fontId="2" fillId="3" borderId="66" xfId="0" applyFont="1" applyFill="1" applyBorder="1" applyAlignment="1">
      <alignment horizontal="left" vertical="top" wrapText="1"/>
    </xf>
    <xf numFmtId="3" fontId="2" fillId="3" borderId="65" xfId="0" applyNumberFormat="1" applyFont="1" applyFill="1" applyBorder="1" applyAlignment="1">
      <alignment horizontal="center" vertical="top"/>
    </xf>
    <xf numFmtId="0" fontId="11" fillId="4" borderId="41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/>
    </xf>
    <xf numFmtId="3" fontId="2" fillId="0" borderId="63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0" fontId="9" fillId="0" borderId="57" xfId="0" applyFont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0" fontId="9" fillId="0" borderId="57" xfId="0" applyFont="1" applyFill="1" applyBorder="1" applyAlignment="1">
      <alignment horizontal="center" vertical="top"/>
    </xf>
    <xf numFmtId="49" fontId="13" fillId="0" borderId="50" xfId="0" applyNumberFormat="1" applyFont="1" applyFill="1" applyBorder="1" applyAlignment="1">
      <alignment horizontal="center" vertical="top"/>
    </xf>
    <xf numFmtId="49" fontId="13" fillId="0" borderId="52" xfId="0" applyNumberFormat="1" applyFont="1" applyFill="1" applyBorder="1" applyAlignment="1">
      <alignment horizontal="center" vertical="top"/>
    </xf>
    <xf numFmtId="164" fontId="13" fillId="6" borderId="2" xfId="0" applyNumberFormat="1" applyFont="1" applyFill="1" applyBorder="1" applyAlignment="1">
      <alignment horizontal="center" vertical="top"/>
    </xf>
    <xf numFmtId="164" fontId="13" fillId="6" borderId="32" xfId="0" applyNumberFormat="1" applyFont="1" applyFill="1" applyBorder="1" applyAlignment="1">
      <alignment horizontal="center" vertical="top"/>
    </xf>
    <xf numFmtId="164" fontId="13" fillId="6" borderId="13" xfId="0" applyNumberFormat="1" applyFont="1" applyFill="1" applyBorder="1" applyAlignment="1">
      <alignment horizontal="center" vertical="top"/>
    </xf>
    <xf numFmtId="164" fontId="13" fillId="6" borderId="62" xfId="0" applyNumberFormat="1" applyFont="1" applyFill="1" applyBorder="1" applyAlignment="1">
      <alignment horizontal="center" vertical="top"/>
    </xf>
    <xf numFmtId="0" fontId="10" fillId="6" borderId="68" xfId="0" applyFont="1" applyFill="1" applyBorder="1" applyAlignment="1">
      <alignment horizontal="center" vertical="top"/>
    </xf>
    <xf numFmtId="0" fontId="10" fillId="6" borderId="46" xfId="0" applyFont="1" applyFill="1" applyBorder="1" applyAlignment="1">
      <alignment horizontal="center" vertical="top"/>
    </xf>
    <xf numFmtId="0" fontId="10" fillId="6" borderId="28" xfId="0" applyFont="1" applyFill="1" applyBorder="1" applyAlignment="1">
      <alignment horizontal="center" vertical="top"/>
    </xf>
    <xf numFmtId="0" fontId="4" fillId="6" borderId="45" xfId="0" applyFont="1" applyFill="1" applyBorder="1" applyAlignment="1">
      <alignment horizontal="center" vertical="top"/>
    </xf>
    <xf numFmtId="0" fontId="14" fillId="6" borderId="46" xfId="0" applyFont="1" applyFill="1" applyBorder="1" applyAlignment="1">
      <alignment horizontal="right" vertical="top"/>
    </xf>
    <xf numFmtId="49" fontId="4" fillId="4" borderId="25" xfId="0" applyNumberFormat="1" applyFont="1" applyFill="1" applyBorder="1" applyAlignment="1">
      <alignment vertical="top"/>
    </xf>
    <xf numFmtId="49" fontId="4" fillId="4" borderId="41" xfId="0" applyNumberFormat="1" applyFont="1" applyFill="1" applyBorder="1" applyAlignment="1">
      <alignment vertical="top"/>
    </xf>
    <xf numFmtId="49" fontId="4" fillId="4" borderId="4" xfId="0" applyNumberFormat="1" applyFont="1" applyFill="1" applyBorder="1" applyAlignment="1">
      <alignment vertical="top"/>
    </xf>
    <xf numFmtId="3" fontId="2" fillId="0" borderId="4" xfId="0" applyNumberFormat="1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top" wrapText="1"/>
    </xf>
    <xf numFmtId="0" fontId="2" fillId="4" borderId="64" xfId="0" applyFont="1" applyFill="1" applyBorder="1" applyAlignment="1">
      <alignment vertical="top" wrapText="1"/>
    </xf>
    <xf numFmtId="164" fontId="2" fillId="0" borderId="0" xfId="0" applyNumberFormat="1" applyFont="1" applyBorder="1" applyAlignment="1">
      <alignment vertical="top"/>
    </xf>
    <xf numFmtId="0" fontId="18" fillId="0" borderId="3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/>
    </xf>
    <xf numFmtId="0" fontId="2" fillId="2" borderId="37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 wrapText="1"/>
    </xf>
    <xf numFmtId="49" fontId="4" fillId="4" borderId="41" xfId="0" applyNumberFormat="1" applyFont="1" applyFill="1" applyBorder="1" applyAlignment="1">
      <alignment horizontal="center" vertical="top"/>
    </xf>
    <xf numFmtId="49" fontId="4" fillId="4" borderId="40" xfId="0" applyNumberFormat="1" applyFont="1" applyFill="1" applyBorder="1" applyAlignment="1">
      <alignment horizontal="center" vertical="top"/>
    </xf>
    <xf numFmtId="49" fontId="4" fillId="4" borderId="25" xfId="0" applyNumberFormat="1" applyFont="1" applyFill="1" applyBorder="1" applyAlignment="1">
      <alignment horizontal="center" vertical="top"/>
    </xf>
    <xf numFmtId="49" fontId="4" fillId="4" borderId="25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Border="1" applyAlignment="1">
      <alignment horizontal="center" vertical="top" wrapText="1"/>
    </xf>
    <xf numFmtId="164" fontId="13" fillId="4" borderId="31" xfId="0" applyNumberFormat="1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center" vertical="top"/>
    </xf>
    <xf numFmtId="164" fontId="13" fillId="4" borderId="32" xfId="0" applyNumberFormat="1" applyFont="1" applyFill="1" applyBorder="1" applyAlignment="1">
      <alignment horizontal="center" vertical="top"/>
    </xf>
    <xf numFmtId="164" fontId="13" fillId="4" borderId="61" xfId="0" applyNumberFormat="1" applyFont="1" applyFill="1" applyBorder="1" applyAlignment="1">
      <alignment horizontal="center" vertical="top"/>
    </xf>
    <xf numFmtId="164" fontId="13" fillId="4" borderId="13" xfId="0" applyNumberFormat="1" applyFont="1" applyFill="1" applyBorder="1" applyAlignment="1">
      <alignment horizontal="center" vertical="top"/>
    </xf>
    <xf numFmtId="164" fontId="13" fillId="4" borderId="62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vertical="top"/>
    </xf>
    <xf numFmtId="0" fontId="9" fillId="0" borderId="48" xfId="0" applyFont="1" applyBorder="1" applyAlignment="1">
      <alignment horizontal="center" vertical="top"/>
    </xf>
    <xf numFmtId="164" fontId="2" fillId="6" borderId="66" xfId="0" applyNumberFormat="1" applyFont="1" applyFill="1" applyBorder="1" applyAlignment="1">
      <alignment horizontal="center" vertical="top"/>
    </xf>
    <xf numFmtId="164" fontId="2" fillId="6" borderId="64" xfId="0" applyNumberFormat="1" applyFont="1" applyFill="1" applyBorder="1" applyAlignment="1">
      <alignment horizontal="center" vertical="top"/>
    </xf>
    <xf numFmtId="164" fontId="2" fillId="6" borderId="63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 wrapText="1"/>
    </xf>
    <xf numFmtId="164" fontId="2" fillId="6" borderId="61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top"/>
    </xf>
    <xf numFmtId="164" fontId="2" fillId="6" borderId="62" xfId="0" applyNumberFormat="1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vertical="top"/>
    </xf>
    <xf numFmtId="164" fontId="4" fillId="6" borderId="35" xfId="0" applyNumberFormat="1" applyFont="1" applyFill="1" applyBorder="1" applyAlignment="1">
      <alignment horizontal="center" vertical="top"/>
    </xf>
    <xf numFmtId="164" fontId="4" fillId="6" borderId="5" xfId="0" applyNumberFormat="1" applyFont="1" applyFill="1" applyBorder="1" applyAlignment="1">
      <alignment horizontal="center" vertical="top"/>
    </xf>
    <xf numFmtId="164" fontId="4" fillId="6" borderId="15" xfId="0" applyNumberFormat="1" applyFont="1" applyFill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0" fontId="12" fillId="0" borderId="59" xfId="0" applyFont="1" applyFill="1" applyBorder="1" applyAlignment="1">
      <alignment horizontal="center" vertical="top"/>
    </xf>
    <xf numFmtId="164" fontId="2" fillId="6" borderId="31" xfId="0" applyNumberFormat="1" applyFont="1" applyFill="1" applyBorder="1" applyAlignment="1">
      <alignment horizontal="center" vertical="top"/>
    </xf>
    <xf numFmtId="164" fontId="2" fillId="6" borderId="2" xfId="0" applyNumberFormat="1" applyFont="1" applyFill="1" applyBorder="1" applyAlignment="1">
      <alignment horizontal="center" vertical="top"/>
    </xf>
    <xf numFmtId="164" fontId="2" fillId="6" borderId="32" xfId="0" applyNumberFormat="1" applyFont="1" applyFill="1" applyBorder="1" applyAlignment="1">
      <alignment horizontal="center" vertical="top"/>
    </xf>
    <xf numFmtId="49" fontId="4" fillId="0" borderId="47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/>
    </xf>
    <xf numFmtId="164" fontId="4" fillId="6" borderId="68" xfId="0" applyNumberFormat="1" applyFont="1" applyFill="1" applyBorder="1" applyAlignment="1">
      <alignment horizontal="center" vertical="top"/>
    </xf>
    <xf numFmtId="164" fontId="4" fillId="6" borderId="70" xfId="0" applyNumberFormat="1" applyFont="1" applyFill="1" applyBorder="1" applyAlignment="1">
      <alignment horizontal="center" vertical="top"/>
    </xf>
    <xf numFmtId="0" fontId="9" fillId="0" borderId="50" xfId="0" applyFont="1" applyFill="1" applyBorder="1" applyAlignment="1">
      <alignment horizontal="center" vertical="top" wrapText="1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/>
    </xf>
    <xf numFmtId="164" fontId="2" fillId="6" borderId="55" xfId="0" applyNumberFormat="1" applyFont="1" applyFill="1" applyBorder="1" applyAlignment="1">
      <alignment horizontal="center" vertical="top"/>
    </xf>
    <xf numFmtId="164" fontId="2" fillId="6" borderId="39" xfId="0" applyNumberFormat="1" applyFont="1" applyFill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4" fillId="2" borderId="14" xfId="0" applyNumberFormat="1" applyFont="1" applyFill="1" applyBorder="1" applyAlignment="1">
      <alignment horizontal="center" vertical="top"/>
    </xf>
    <xf numFmtId="164" fontId="2" fillId="6" borderId="40" xfId="0" applyNumberFormat="1" applyFont="1" applyFill="1" applyBorder="1" applyAlignment="1">
      <alignment horizontal="center" vertical="top"/>
    </xf>
    <xf numFmtId="164" fontId="2" fillId="6" borderId="17" xfId="0" applyNumberFormat="1" applyFont="1" applyFill="1" applyBorder="1" applyAlignment="1">
      <alignment horizontal="center" vertical="top"/>
    </xf>
    <xf numFmtId="164" fontId="2" fillId="6" borderId="25" xfId="0" applyNumberFormat="1" applyFont="1" applyFill="1" applyBorder="1" applyAlignment="1">
      <alignment horizontal="center" vertical="top"/>
    </xf>
    <xf numFmtId="164" fontId="2" fillId="6" borderId="65" xfId="0" applyNumberFormat="1" applyFont="1" applyFill="1" applyBorder="1" applyAlignment="1">
      <alignment horizontal="center" vertical="top"/>
    </xf>
    <xf numFmtId="164" fontId="4" fillId="6" borderId="46" xfId="0" applyNumberFormat="1" applyFont="1" applyFill="1" applyBorder="1" applyAlignment="1">
      <alignment horizontal="center" vertical="top"/>
    </xf>
    <xf numFmtId="164" fontId="4" fillId="6" borderId="41" xfId="0" applyNumberFormat="1" applyFont="1" applyFill="1" applyBorder="1" applyAlignment="1">
      <alignment horizontal="center" vertical="top"/>
    </xf>
    <xf numFmtId="164" fontId="4" fillId="6" borderId="20" xfId="0" applyNumberFormat="1" applyFont="1" applyFill="1" applyBorder="1" applyAlignment="1">
      <alignment horizontal="center" vertical="top"/>
    </xf>
    <xf numFmtId="0" fontId="2" fillId="0" borderId="73" xfId="0" applyFont="1" applyFill="1" applyBorder="1" applyAlignment="1">
      <alignment vertical="top" wrapText="1"/>
    </xf>
    <xf numFmtId="164" fontId="2" fillId="6" borderId="29" xfId="0" applyNumberFormat="1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/>
    </xf>
    <xf numFmtId="164" fontId="4" fillId="6" borderId="69" xfId="0" applyNumberFormat="1" applyFont="1" applyFill="1" applyBorder="1" applyAlignment="1">
      <alignment horizontal="center" vertical="top"/>
    </xf>
    <xf numFmtId="164" fontId="2" fillId="6" borderId="54" xfId="0" applyNumberFormat="1" applyFont="1" applyFill="1" applyBorder="1" applyAlignment="1">
      <alignment horizontal="center" vertical="top"/>
    </xf>
    <xf numFmtId="165" fontId="2" fillId="0" borderId="19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/>
    </xf>
    <xf numFmtId="164" fontId="2" fillId="6" borderId="12" xfId="0" applyNumberFormat="1" applyFont="1" applyFill="1" applyBorder="1" applyAlignment="1">
      <alignment horizontal="center" vertical="top"/>
    </xf>
    <xf numFmtId="165" fontId="1" fillId="0" borderId="34" xfId="0" applyNumberFormat="1" applyFont="1" applyFill="1" applyBorder="1" applyAlignment="1">
      <alignment horizontal="center" vertical="top"/>
    </xf>
    <xf numFmtId="164" fontId="2" fillId="6" borderId="30" xfId="0" applyNumberFormat="1" applyFont="1" applyFill="1" applyBorder="1" applyAlignment="1">
      <alignment horizontal="center" vertical="top"/>
    </xf>
    <xf numFmtId="0" fontId="9" fillId="0" borderId="34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2" fillId="0" borderId="57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164" fontId="2" fillId="6" borderId="3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0" fontId="4" fillId="0" borderId="29" xfId="0" applyFont="1" applyFill="1" applyBorder="1" applyAlignment="1">
      <alignment horizontal="left" vertical="top" wrapText="1"/>
    </xf>
    <xf numFmtId="49" fontId="2" fillId="0" borderId="64" xfId="0" applyNumberFormat="1" applyFont="1" applyBorder="1" applyAlignment="1">
      <alignment vertical="top" wrapText="1"/>
    </xf>
    <xf numFmtId="0" fontId="9" fillId="0" borderId="44" xfId="0" applyFont="1" applyFill="1" applyBorder="1" applyAlignment="1">
      <alignment horizontal="center" vertical="top"/>
    </xf>
    <xf numFmtId="164" fontId="4" fillId="2" borderId="23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164" fontId="2" fillId="6" borderId="72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wrapText="1"/>
    </xf>
    <xf numFmtId="49" fontId="4" fillId="4" borderId="65" xfId="0" applyNumberFormat="1" applyFont="1" applyFill="1" applyBorder="1" applyAlignment="1">
      <alignment horizontal="center" vertical="top" wrapText="1"/>
    </xf>
    <xf numFmtId="164" fontId="2" fillId="6" borderId="42" xfId="0" applyNumberFormat="1" applyFont="1" applyFill="1" applyBorder="1" applyAlignment="1">
      <alignment horizontal="center" vertical="top"/>
    </xf>
    <xf numFmtId="0" fontId="2" fillId="4" borderId="20" xfId="0" applyNumberFormat="1" applyFont="1" applyFill="1" applyBorder="1" applyAlignment="1">
      <alignment horizontal="center" vertical="top"/>
    </xf>
    <xf numFmtId="0" fontId="2" fillId="4" borderId="17" xfId="0" applyNumberFormat="1" applyFont="1" applyFill="1" applyBorder="1" applyAlignment="1">
      <alignment horizontal="center" vertical="top"/>
    </xf>
    <xf numFmtId="0" fontId="2" fillId="4" borderId="19" xfId="0" applyNumberFormat="1" applyFont="1" applyFill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 wrapText="1"/>
    </xf>
    <xf numFmtId="49" fontId="4" fillId="0" borderId="24" xfId="0" applyNumberFormat="1" applyFont="1" applyBorder="1" applyAlignment="1">
      <alignment horizontal="center" vertical="top" wrapText="1"/>
    </xf>
    <xf numFmtId="164" fontId="15" fillId="6" borderId="23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2" fillId="0" borderId="23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2" fillId="6" borderId="0" xfId="0" applyNumberFormat="1" applyFont="1" applyFill="1" applyBorder="1" applyAlignment="1">
      <alignment horizontal="center" vertical="top"/>
    </xf>
    <xf numFmtId="164" fontId="4" fillId="6" borderId="11" xfId="0" applyNumberFormat="1" applyFont="1" applyFill="1" applyBorder="1" applyAlignment="1">
      <alignment horizontal="center" vertical="top"/>
    </xf>
    <xf numFmtId="164" fontId="2" fillId="6" borderId="38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/>
    </xf>
    <xf numFmtId="164" fontId="2" fillId="4" borderId="64" xfId="0" applyNumberFormat="1" applyFont="1" applyFill="1" applyBorder="1" applyAlignment="1">
      <alignment horizontal="center" vertical="top"/>
    </xf>
    <xf numFmtId="164" fontId="2" fillId="4" borderId="63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/>
    </xf>
    <xf numFmtId="164" fontId="2" fillId="4" borderId="13" xfId="0" applyNumberFormat="1" applyFont="1" applyFill="1" applyBorder="1" applyAlignment="1">
      <alignment horizontal="center" vertical="top"/>
    </xf>
    <xf numFmtId="164" fontId="2" fillId="4" borderId="62" xfId="0" applyNumberFormat="1" applyFont="1" applyFill="1" applyBorder="1" applyAlignment="1">
      <alignment horizontal="center" vertical="top"/>
    </xf>
    <xf numFmtId="164" fontId="2" fillId="4" borderId="31" xfId="0" applyNumberFormat="1" applyFont="1" applyFill="1" applyBorder="1" applyAlignment="1">
      <alignment horizontal="center" vertical="top"/>
    </xf>
    <xf numFmtId="164" fontId="2" fillId="4" borderId="2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39" xfId="0" applyNumberFormat="1" applyFont="1" applyFill="1" applyBorder="1" applyAlignment="1">
      <alignment horizontal="center" vertical="top"/>
    </xf>
    <xf numFmtId="164" fontId="2" fillId="4" borderId="59" xfId="0" applyNumberFormat="1" applyFont="1" applyFill="1" applyBorder="1" applyAlignment="1">
      <alignment horizontal="center" vertical="top"/>
    </xf>
    <xf numFmtId="164" fontId="2" fillId="4" borderId="40" xfId="0" applyNumberFormat="1" applyFont="1" applyFill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/>
    </xf>
    <xf numFmtId="164" fontId="2" fillId="4" borderId="60" xfId="0" applyNumberFormat="1" applyFont="1" applyFill="1" applyBorder="1" applyAlignment="1">
      <alignment horizontal="center" vertical="top"/>
    </xf>
    <xf numFmtId="164" fontId="2" fillId="4" borderId="25" xfId="0" applyNumberFormat="1" applyFont="1" applyFill="1" applyBorder="1" applyAlignment="1">
      <alignment horizontal="center" vertical="top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65" xfId="0" applyNumberFormat="1" applyFont="1" applyFill="1" applyBorder="1" applyAlignment="1">
      <alignment horizontal="center" vertical="top"/>
    </xf>
    <xf numFmtId="164" fontId="2" fillId="4" borderId="67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top"/>
    </xf>
    <xf numFmtId="164" fontId="4" fillId="6" borderId="74" xfId="0" applyNumberFormat="1" applyFont="1" applyFill="1" applyBorder="1" applyAlignment="1">
      <alignment horizontal="center" vertical="top"/>
    </xf>
    <xf numFmtId="164" fontId="2" fillId="4" borderId="54" xfId="0" applyNumberFormat="1" applyFont="1" applyFill="1" applyBorder="1" applyAlignment="1">
      <alignment horizontal="center" vertical="top"/>
    </xf>
    <xf numFmtId="164" fontId="2" fillId="4" borderId="18" xfId="0" applyNumberFormat="1" applyFont="1" applyFill="1" applyBorder="1" applyAlignment="1">
      <alignment horizontal="center" vertical="top"/>
    </xf>
    <xf numFmtId="164" fontId="2" fillId="4" borderId="12" xfId="0" applyNumberFormat="1" applyFont="1" applyFill="1" applyBorder="1" applyAlignment="1">
      <alignment horizontal="center" vertical="top"/>
    </xf>
    <xf numFmtId="164" fontId="2" fillId="4" borderId="30" xfId="0" applyNumberFormat="1" applyFont="1" applyFill="1" applyBorder="1" applyAlignment="1">
      <alignment horizontal="center" vertical="top"/>
    </xf>
    <xf numFmtId="164" fontId="2" fillId="4" borderId="22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2" fillId="4" borderId="72" xfId="0" applyNumberFormat="1" applyFont="1" applyFill="1" applyBorder="1" applyAlignment="1">
      <alignment horizontal="center" vertical="top"/>
    </xf>
    <xf numFmtId="164" fontId="2" fillId="4" borderId="34" xfId="0" applyNumberFormat="1" applyFont="1" applyFill="1" applyBorder="1" applyAlignment="1">
      <alignment horizontal="center" vertical="top"/>
    </xf>
    <xf numFmtId="164" fontId="2" fillId="4" borderId="4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66" xfId="0" applyFont="1" applyFill="1" applyBorder="1" applyAlignment="1">
      <alignment horizontal="left" vertical="top" wrapText="1"/>
    </xf>
    <xf numFmtId="49" fontId="2" fillId="0" borderId="40" xfId="0" applyNumberFormat="1" applyFont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0" borderId="65" xfId="0" applyNumberFormat="1" applyFont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52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2" fillId="0" borderId="50" xfId="0" applyNumberFormat="1" applyFont="1" applyFill="1" applyBorder="1" applyAlignment="1">
      <alignment horizontal="center" vertical="top"/>
    </xf>
    <xf numFmtId="164" fontId="2" fillId="0" borderId="52" xfId="0" applyNumberFormat="1" applyFont="1" applyFill="1" applyBorder="1" applyAlignment="1">
      <alignment horizontal="right" vertical="top" wrapText="1"/>
    </xf>
    <xf numFmtId="164" fontId="2" fillId="0" borderId="59" xfId="0" applyNumberFormat="1" applyFont="1" applyFill="1" applyBorder="1" applyAlignment="1">
      <alignment horizontal="center" vertical="top"/>
    </xf>
    <xf numFmtId="164" fontId="2" fillId="0" borderId="60" xfId="0" applyNumberFormat="1" applyFont="1" applyFill="1" applyBorder="1" applyAlignment="1">
      <alignment horizontal="center" vertical="top"/>
    </xf>
    <xf numFmtId="164" fontId="4" fillId="2" borderId="37" xfId="0" applyNumberFormat="1" applyFont="1" applyFill="1" applyBorder="1" applyAlignment="1">
      <alignment horizontal="center" vertical="top"/>
    </xf>
    <xf numFmtId="0" fontId="2" fillId="3" borderId="30" xfId="0" applyNumberFormat="1" applyFont="1" applyFill="1" applyBorder="1" applyAlignment="1">
      <alignment horizontal="center" vertical="top"/>
    </xf>
    <xf numFmtId="3" fontId="2" fillId="0" borderId="41" xfId="0" applyNumberFormat="1" applyFont="1" applyFill="1" applyBorder="1" applyAlignment="1">
      <alignment horizontal="center" vertical="top"/>
    </xf>
    <xf numFmtId="3" fontId="2" fillId="3" borderId="40" xfId="0" applyNumberFormat="1" applyFont="1" applyFill="1" applyBorder="1" applyAlignment="1">
      <alignment horizontal="center" vertical="top" wrapText="1"/>
    </xf>
    <xf numFmtId="3" fontId="2" fillId="0" borderId="41" xfId="0" applyNumberFormat="1" applyFont="1" applyFill="1" applyBorder="1" applyAlignment="1">
      <alignment horizontal="center" vertical="top" wrapText="1"/>
    </xf>
    <xf numFmtId="3" fontId="2" fillId="0" borderId="25" xfId="0" applyNumberFormat="1" applyFont="1" applyFill="1" applyBorder="1" applyAlignment="1">
      <alignment horizontal="center" vertical="top" wrapText="1"/>
    </xf>
    <xf numFmtId="3" fontId="2" fillId="3" borderId="41" xfId="0" applyNumberFormat="1" applyFont="1" applyFill="1" applyBorder="1" applyAlignment="1">
      <alignment horizontal="center" vertical="top"/>
    </xf>
    <xf numFmtId="3" fontId="2" fillId="3" borderId="58" xfId="0" applyNumberFormat="1" applyFont="1" applyFill="1" applyBorder="1" applyAlignment="1">
      <alignment horizontal="center" vertical="top"/>
    </xf>
    <xf numFmtId="0" fontId="2" fillId="3" borderId="24" xfId="0" applyNumberFormat="1" applyFont="1" applyFill="1" applyBorder="1" applyAlignment="1">
      <alignment horizontal="center" vertical="top"/>
    </xf>
    <xf numFmtId="3" fontId="2" fillId="0" borderId="56" xfId="0" applyNumberFormat="1" applyFont="1" applyFill="1" applyBorder="1" applyAlignment="1">
      <alignment horizontal="center" vertical="top"/>
    </xf>
    <xf numFmtId="3" fontId="2" fillId="0" borderId="47" xfId="0" applyNumberFormat="1" applyFont="1" applyFill="1" applyBorder="1" applyAlignment="1">
      <alignment horizontal="center" vertical="top"/>
    </xf>
    <xf numFmtId="3" fontId="2" fillId="0" borderId="24" xfId="0" applyNumberFormat="1" applyFont="1" applyFill="1" applyBorder="1" applyAlignment="1">
      <alignment horizontal="center" vertical="top"/>
    </xf>
    <xf numFmtId="3" fontId="2" fillId="3" borderId="56" xfId="0" applyNumberFormat="1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3" fontId="2" fillId="0" borderId="47" xfId="0" applyNumberFormat="1" applyFont="1" applyFill="1" applyBorder="1" applyAlignment="1">
      <alignment horizontal="center" vertical="top" wrapText="1"/>
    </xf>
    <xf numFmtId="3" fontId="2" fillId="3" borderId="24" xfId="0" applyNumberFormat="1" applyFont="1" applyFill="1" applyBorder="1" applyAlignment="1">
      <alignment horizontal="center" vertical="top"/>
    </xf>
    <xf numFmtId="3" fontId="2" fillId="3" borderId="64" xfId="0" applyNumberFormat="1" applyFont="1" applyFill="1" applyBorder="1" applyAlignment="1">
      <alignment horizontal="center" vertical="top"/>
    </xf>
    <xf numFmtId="0" fontId="2" fillId="3" borderId="7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4" fontId="2" fillId="6" borderId="67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59" xfId="0" applyFont="1" applyFill="1" applyBorder="1" applyAlignment="1">
      <alignment vertical="top" wrapText="1"/>
    </xf>
    <xf numFmtId="0" fontId="2" fillId="0" borderId="57" xfId="0" applyFont="1" applyFill="1" applyBorder="1" applyAlignment="1">
      <alignment vertical="top" wrapText="1"/>
    </xf>
    <xf numFmtId="0" fontId="2" fillId="0" borderId="75" xfId="0" applyFont="1" applyFill="1" applyBorder="1" applyAlignment="1">
      <alignment vertical="top" wrapText="1"/>
    </xf>
    <xf numFmtId="0" fontId="2" fillId="0" borderId="60" xfId="0" applyFont="1" applyFill="1" applyBorder="1" applyAlignment="1">
      <alignment vertical="top" wrapText="1"/>
    </xf>
    <xf numFmtId="164" fontId="4" fillId="2" borderId="16" xfId="0" applyNumberFormat="1" applyFont="1" applyFill="1" applyBorder="1" applyAlignment="1">
      <alignment horizontal="center" vertical="top"/>
    </xf>
    <xf numFmtId="164" fontId="4" fillId="2" borderId="21" xfId="0" applyNumberFormat="1" applyFont="1" applyFill="1" applyBorder="1" applyAlignment="1">
      <alignment horizontal="center" vertical="top"/>
    </xf>
    <xf numFmtId="0" fontId="2" fillId="0" borderId="75" xfId="0" applyFont="1" applyFill="1" applyBorder="1" applyAlignment="1">
      <alignment horizontal="left" vertical="top" wrapText="1"/>
    </xf>
    <xf numFmtId="165" fontId="1" fillId="0" borderId="30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6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49" fontId="4" fillId="9" borderId="3" xfId="0" applyNumberFormat="1" applyFont="1" applyFill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/>
    </xf>
    <xf numFmtId="49" fontId="4" fillId="9" borderId="41" xfId="0" applyNumberFormat="1" applyFont="1" applyFill="1" applyBorder="1" applyAlignment="1">
      <alignment horizontal="center" vertical="top"/>
    </xf>
    <xf numFmtId="49" fontId="4" fillId="9" borderId="69" xfId="0" applyNumberFormat="1" applyFont="1" applyFill="1" applyBorder="1" applyAlignment="1">
      <alignment vertical="top"/>
    </xf>
    <xf numFmtId="164" fontId="4" fillId="9" borderId="77" xfId="0" applyNumberFormat="1" applyFont="1" applyFill="1" applyBorder="1" applyAlignment="1">
      <alignment horizontal="center" vertical="top"/>
    </xf>
    <xf numFmtId="164" fontId="4" fillId="9" borderId="78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6" xfId="0" applyNumberFormat="1" applyFont="1" applyFill="1" applyBorder="1" applyAlignment="1">
      <alignment horizontal="center" vertical="top"/>
    </xf>
    <xf numFmtId="164" fontId="4" fillId="9" borderId="70" xfId="0" applyNumberFormat="1" applyFont="1" applyFill="1" applyBorder="1" applyAlignment="1">
      <alignment horizontal="center" vertical="top"/>
    </xf>
    <xf numFmtId="49" fontId="4" fillId="8" borderId="61" xfId="0" applyNumberFormat="1" applyFont="1" applyFill="1" applyBorder="1" applyAlignment="1">
      <alignment horizontal="center" vertical="top" wrapText="1"/>
    </xf>
    <xf numFmtId="49" fontId="4" fillId="8" borderId="61" xfId="0" applyNumberFormat="1" applyFont="1" applyFill="1" applyBorder="1" applyAlignment="1">
      <alignment horizontal="center" vertical="top"/>
    </xf>
    <xf numFmtId="49" fontId="4" fillId="8" borderId="18" xfId="0" applyNumberFormat="1" applyFont="1" applyFill="1" applyBorder="1" applyAlignment="1">
      <alignment vertical="top"/>
    </xf>
    <xf numFmtId="49" fontId="4" fillId="8" borderId="23" xfId="0" applyNumberFormat="1" applyFont="1" applyFill="1" applyBorder="1" applyAlignment="1">
      <alignment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46" xfId="0" applyNumberFormat="1" applyFont="1" applyFill="1" applyBorder="1" applyAlignment="1">
      <alignment horizontal="center" vertical="top"/>
    </xf>
    <xf numFmtId="49" fontId="4" fillId="9" borderId="4" xfId="0" applyNumberFormat="1" applyFont="1" applyFill="1" applyBorder="1" applyAlignment="1">
      <alignment vertical="top"/>
    </xf>
    <xf numFmtId="49" fontId="4" fillId="9" borderId="11" xfId="0" applyNumberFormat="1" applyFont="1" applyFill="1" applyBorder="1" applyAlignment="1">
      <alignment horizontal="center" vertical="top"/>
    </xf>
    <xf numFmtId="49" fontId="4" fillId="9" borderId="11" xfId="0" applyNumberFormat="1" applyFont="1" applyFill="1" applyBorder="1" applyAlignment="1">
      <alignment vertical="top"/>
    </xf>
    <xf numFmtId="164" fontId="4" fillId="9" borderId="23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center" vertical="top"/>
    </xf>
    <xf numFmtId="164" fontId="4" fillId="4" borderId="67" xfId="0" applyNumberFormat="1" applyFont="1" applyFill="1" applyBorder="1" applyAlignment="1">
      <alignment horizontal="center" vertical="top"/>
    </xf>
    <xf numFmtId="164" fontId="4" fillId="4" borderId="2" xfId="0" applyNumberFormat="1" applyFont="1" applyFill="1" applyBorder="1" applyAlignment="1">
      <alignment horizontal="center" vertical="top"/>
    </xf>
    <xf numFmtId="164" fontId="4" fillId="4" borderId="32" xfId="0" applyNumberFormat="1" applyFont="1" applyFill="1" applyBorder="1" applyAlignment="1">
      <alignment horizontal="center" vertical="top"/>
    </xf>
    <xf numFmtId="164" fontId="4" fillId="6" borderId="67" xfId="0" applyNumberFormat="1" applyFont="1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top"/>
    </xf>
    <xf numFmtId="164" fontId="4" fillId="6" borderId="32" xfId="0" applyNumberFormat="1" applyFont="1" applyFill="1" applyBorder="1" applyAlignment="1">
      <alignment horizontal="center" vertical="top"/>
    </xf>
    <xf numFmtId="49" fontId="4" fillId="9" borderId="3" xfId="0" applyNumberFormat="1" applyFont="1" applyFill="1" applyBorder="1" applyAlignment="1">
      <alignment horizontal="center" vertical="top" wrapText="1"/>
    </xf>
    <xf numFmtId="164" fontId="4" fillId="8" borderId="16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19" fillId="4" borderId="61" xfId="0" applyNumberFormat="1" applyFont="1" applyFill="1" applyBorder="1" applyAlignment="1">
      <alignment horizontal="center" vertical="top"/>
    </xf>
    <xf numFmtId="164" fontId="19" fillId="4" borderId="19" xfId="0" applyNumberFormat="1" applyFont="1" applyFill="1" applyBorder="1" applyAlignment="1">
      <alignment horizontal="center" vertical="top"/>
    </xf>
    <xf numFmtId="164" fontId="2" fillId="0" borderId="44" xfId="0" applyNumberFormat="1" applyFont="1" applyFill="1" applyBorder="1" applyAlignment="1">
      <alignment horizontal="center" vertical="top"/>
    </xf>
    <xf numFmtId="0" fontId="7" fillId="0" borderId="23" xfId="0" applyFont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2" fontId="8" fillId="0" borderId="13" xfId="0" applyNumberFormat="1" applyFont="1" applyBorder="1" applyAlignment="1">
      <alignment vertical="top" wrapText="1"/>
    </xf>
    <xf numFmtId="0" fontId="2" fillId="3" borderId="75" xfId="0" applyFont="1" applyFill="1" applyBorder="1" applyAlignment="1">
      <alignment vertical="top" wrapText="1"/>
    </xf>
    <xf numFmtId="3" fontId="2" fillId="3" borderId="30" xfId="0" applyNumberFormat="1" applyFont="1" applyFill="1" applyBorder="1" applyAlignment="1">
      <alignment horizontal="center" vertical="top"/>
    </xf>
    <xf numFmtId="3" fontId="2" fillId="3" borderId="76" xfId="0" applyNumberFormat="1" applyFont="1" applyFill="1" applyBorder="1" applyAlignment="1">
      <alignment horizontal="center" vertical="top"/>
    </xf>
    <xf numFmtId="0" fontId="2" fillId="3" borderId="34" xfId="0" applyNumberFormat="1" applyFont="1" applyFill="1" applyBorder="1" applyAlignment="1">
      <alignment horizontal="center" vertical="top"/>
    </xf>
    <xf numFmtId="0" fontId="2" fillId="3" borderId="25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center" vertical="top"/>
    </xf>
    <xf numFmtId="0" fontId="2" fillId="3" borderId="47" xfId="0" applyNumberFormat="1" applyFont="1" applyFill="1" applyBorder="1" applyAlignment="1">
      <alignment horizontal="center" vertical="top"/>
    </xf>
    <xf numFmtId="0" fontId="12" fillId="4" borderId="57" xfId="0" applyFont="1" applyFill="1" applyBorder="1" applyAlignment="1">
      <alignment horizontal="center" vertical="top"/>
    </xf>
    <xf numFmtId="0" fontId="12" fillId="0" borderId="79" xfId="0" applyFont="1" applyFill="1" applyBorder="1" applyAlignment="1">
      <alignment horizontal="center" vertical="top"/>
    </xf>
    <xf numFmtId="164" fontId="2" fillId="4" borderId="80" xfId="0" applyNumberFormat="1" applyFont="1" applyFill="1" applyBorder="1" applyAlignment="1">
      <alignment horizontal="center" vertical="top"/>
    </xf>
    <xf numFmtId="164" fontId="2" fillId="4" borderId="81" xfId="0" applyNumberFormat="1" applyFont="1" applyFill="1" applyBorder="1" applyAlignment="1">
      <alignment horizontal="center" vertical="top"/>
    </xf>
    <xf numFmtId="164" fontId="19" fillId="4" borderId="81" xfId="0" applyNumberFormat="1" applyFont="1" applyFill="1" applyBorder="1" applyAlignment="1">
      <alignment horizontal="center" vertical="top"/>
    </xf>
    <xf numFmtId="164" fontId="2" fillId="4" borderId="82" xfId="0" applyNumberFormat="1" applyFont="1" applyFill="1" applyBorder="1" applyAlignment="1">
      <alignment horizontal="center" vertical="top"/>
    </xf>
    <xf numFmtId="164" fontId="2" fillId="6" borderId="80" xfId="0" applyNumberFormat="1" applyFont="1" applyFill="1" applyBorder="1" applyAlignment="1">
      <alignment horizontal="center" vertical="top"/>
    </xf>
    <xf numFmtId="164" fontId="2" fillId="6" borderId="81" xfId="0" applyNumberFormat="1" applyFont="1" applyFill="1" applyBorder="1" applyAlignment="1">
      <alignment horizontal="center" vertical="top"/>
    </xf>
    <xf numFmtId="164" fontId="19" fillId="6" borderId="81" xfId="0" applyNumberFormat="1" applyFont="1" applyFill="1" applyBorder="1" applyAlignment="1">
      <alignment horizontal="center" vertical="top"/>
    </xf>
    <xf numFmtId="164" fontId="2" fillId="6" borderId="83" xfId="0" applyNumberFormat="1" applyFont="1" applyFill="1" applyBorder="1" applyAlignment="1">
      <alignment horizontal="center" vertical="top"/>
    </xf>
    <xf numFmtId="164" fontId="2" fillId="0" borderId="79" xfId="0" applyNumberFormat="1" applyFont="1" applyFill="1" applyBorder="1" applyAlignment="1">
      <alignment horizontal="center" vertical="top"/>
    </xf>
    <xf numFmtId="0" fontId="12" fillId="0" borderId="57" xfId="0" applyFont="1" applyBorder="1" applyAlignment="1">
      <alignment horizontal="center" vertical="top"/>
    </xf>
    <xf numFmtId="164" fontId="4" fillId="4" borderId="81" xfId="0" applyNumberFormat="1" applyFont="1" applyFill="1" applyBorder="1" applyAlignment="1">
      <alignment horizontal="center" vertical="top"/>
    </xf>
    <xf numFmtId="164" fontId="4" fillId="4" borderId="82" xfId="0" applyNumberFormat="1" applyFont="1" applyFill="1" applyBorder="1" applyAlignment="1">
      <alignment horizontal="center" vertical="top"/>
    </xf>
    <xf numFmtId="164" fontId="4" fillId="6" borderId="81" xfId="0" applyNumberFormat="1" applyFont="1" applyFill="1" applyBorder="1" applyAlignment="1">
      <alignment horizontal="center" vertical="top"/>
    </xf>
    <xf numFmtId="164" fontId="4" fillId="6" borderId="83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3" fontId="2" fillId="0" borderId="51" xfId="0" applyNumberFormat="1" applyFont="1" applyFill="1" applyBorder="1" applyAlignment="1">
      <alignment horizontal="center" vertical="top"/>
    </xf>
    <xf numFmtId="0" fontId="2" fillId="0" borderId="80" xfId="0" applyFont="1" applyFill="1" applyBorder="1" applyAlignment="1">
      <alignment horizontal="left" vertical="top" wrapText="1"/>
    </xf>
    <xf numFmtId="0" fontId="2" fillId="0" borderId="85" xfId="0" applyFont="1" applyBorder="1" applyAlignment="1">
      <alignment horizontal="center" vertical="top"/>
    </xf>
    <xf numFmtId="0" fontId="2" fillId="0" borderId="81" xfId="0" applyFont="1" applyBorder="1" applyAlignment="1">
      <alignment horizontal="center" vertical="top"/>
    </xf>
    <xf numFmtId="0" fontId="2" fillId="0" borderId="86" xfId="0" applyFont="1" applyBorder="1" applyAlignment="1">
      <alignment horizontal="center" vertical="top"/>
    </xf>
    <xf numFmtId="0" fontId="2" fillId="0" borderId="87" xfId="0" applyFont="1" applyFill="1" applyBorder="1" applyAlignment="1">
      <alignment vertical="top" wrapText="1"/>
    </xf>
    <xf numFmtId="3" fontId="2" fillId="0" borderId="88" xfId="0" applyNumberFormat="1" applyFont="1" applyFill="1" applyBorder="1" applyAlignment="1">
      <alignment horizontal="center" vertical="top"/>
    </xf>
    <xf numFmtId="3" fontId="2" fillId="0" borderId="89" xfId="0" applyNumberFormat="1" applyFont="1" applyFill="1" applyBorder="1" applyAlignment="1">
      <alignment horizontal="center" vertical="top"/>
    </xf>
    <xf numFmtId="3" fontId="2" fillId="0" borderId="90" xfId="0" applyNumberFormat="1" applyFont="1" applyFill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49" fontId="4" fillId="8" borderId="22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/>
    </xf>
    <xf numFmtId="49" fontId="4" fillId="4" borderId="12" xfId="0" applyNumberFormat="1" applyFont="1" applyFill="1" applyBorder="1" applyAlignment="1">
      <alignment horizontal="center" vertical="top"/>
    </xf>
    <xf numFmtId="0" fontId="2" fillId="4" borderId="30" xfId="0" applyFont="1" applyFill="1" applyBorder="1" applyAlignment="1">
      <alignment vertical="top" wrapText="1"/>
    </xf>
    <xf numFmtId="49" fontId="2" fillId="0" borderId="30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4" borderId="12" xfId="0" applyNumberFormat="1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65" xfId="0" applyFont="1" applyFill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center"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left" vertical="top" wrapText="1"/>
    </xf>
    <xf numFmtId="49" fontId="2" fillId="0" borderId="64" xfId="0" applyNumberFormat="1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0" fontId="9" fillId="0" borderId="93" xfId="0" applyFont="1" applyFill="1" applyBorder="1" applyAlignment="1">
      <alignment horizontal="center" vertical="top"/>
    </xf>
    <xf numFmtId="164" fontId="2" fillId="4" borderId="83" xfId="0" applyNumberFormat="1" applyFont="1" applyFill="1" applyBorder="1" applyAlignment="1">
      <alignment horizontal="center" vertical="top"/>
    </xf>
    <xf numFmtId="164" fontId="2" fillId="6" borderId="94" xfId="0" applyNumberFormat="1" applyFont="1" applyFill="1" applyBorder="1" applyAlignment="1">
      <alignment horizontal="center" vertical="top"/>
    </xf>
    <xf numFmtId="165" fontId="2" fillId="0" borderId="65" xfId="0" applyNumberFormat="1" applyFont="1" applyFill="1" applyBorder="1" applyAlignment="1">
      <alignment horizontal="center" vertical="top"/>
    </xf>
    <xf numFmtId="165" fontId="2" fillId="0" borderId="63" xfId="0" applyNumberFormat="1" applyFont="1" applyFill="1" applyBorder="1" applyAlignment="1">
      <alignment horizontal="center" vertical="top"/>
    </xf>
    <xf numFmtId="0" fontId="2" fillId="0" borderId="5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3" fontId="2" fillId="0" borderId="62" xfId="0" applyNumberFormat="1" applyFont="1" applyFill="1" applyBorder="1" applyAlignment="1">
      <alignment horizontal="center" vertical="top"/>
    </xf>
    <xf numFmtId="165" fontId="9" fillId="4" borderId="4" xfId="0" applyNumberFormat="1" applyFont="1" applyFill="1" applyBorder="1" applyAlignment="1">
      <alignment horizontal="center" vertical="top" wrapText="1"/>
    </xf>
    <xf numFmtId="165" fontId="9" fillId="6" borderId="4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vertical="top" wrapText="1"/>
    </xf>
    <xf numFmtId="0" fontId="9" fillId="0" borderId="95" xfId="0" applyFont="1" applyFill="1" applyBorder="1" applyAlignment="1">
      <alignment horizontal="center" vertical="top" wrapText="1"/>
    </xf>
    <xf numFmtId="164" fontId="2" fillId="4" borderId="96" xfId="0" applyNumberFormat="1" applyFont="1" applyFill="1" applyBorder="1" applyAlignment="1">
      <alignment horizontal="center" vertical="top"/>
    </xf>
    <xf numFmtId="164" fontId="2" fillId="4" borderId="97" xfId="0" applyNumberFormat="1" applyFont="1" applyFill="1" applyBorder="1" applyAlignment="1">
      <alignment horizontal="center" vertical="top"/>
    </xf>
    <xf numFmtId="164" fontId="2" fillId="4" borderId="98" xfId="0" applyNumberFormat="1" applyFont="1" applyFill="1" applyBorder="1" applyAlignment="1">
      <alignment horizontal="center" vertical="top"/>
    </xf>
    <xf numFmtId="164" fontId="2" fillId="4" borderId="99" xfId="0" applyNumberFormat="1" applyFont="1" applyFill="1" applyBorder="1" applyAlignment="1">
      <alignment horizontal="center" vertical="top"/>
    </xf>
    <xf numFmtId="164" fontId="2" fillId="6" borderId="100" xfId="0" applyNumberFormat="1" applyFont="1" applyFill="1" applyBorder="1" applyAlignment="1">
      <alignment horizontal="center" vertical="top"/>
    </xf>
    <xf numFmtId="164" fontId="2" fillId="6" borderId="97" xfId="0" applyNumberFormat="1" applyFont="1" applyFill="1" applyBorder="1" applyAlignment="1">
      <alignment horizontal="center" vertical="top"/>
    </xf>
    <xf numFmtId="164" fontId="2" fillId="6" borderId="98" xfId="0" applyNumberFormat="1" applyFont="1" applyFill="1" applyBorder="1" applyAlignment="1">
      <alignment horizontal="center" vertical="top"/>
    </xf>
    <xf numFmtId="164" fontId="2" fillId="0" borderId="101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center" textRotation="90"/>
    </xf>
    <xf numFmtId="49" fontId="2" fillId="0" borderId="29" xfId="0" applyNumberFormat="1" applyFont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/>
    </xf>
    <xf numFmtId="0" fontId="2" fillId="0" borderId="61" xfId="0" applyFont="1" applyFill="1" applyBorder="1" applyAlignment="1">
      <alignment vertical="top" wrapText="1"/>
    </xf>
    <xf numFmtId="49" fontId="4" fillId="0" borderId="65" xfId="0" applyNumberFormat="1" applyFont="1" applyBorder="1" applyAlignment="1">
      <alignment vertical="top"/>
    </xf>
    <xf numFmtId="3" fontId="2" fillId="0" borderId="97" xfId="0" applyNumberFormat="1" applyFont="1" applyFill="1" applyBorder="1" applyAlignment="1">
      <alignment horizontal="center" vertical="top"/>
    </xf>
    <xf numFmtId="3" fontId="2" fillId="0" borderId="99" xfId="0" applyNumberFormat="1" applyFont="1" applyFill="1" applyBorder="1" applyAlignment="1">
      <alignment horizontal="center" vertical="top"/>
    </xf>
    <xf numFmtId="0" fontId="2" fillId="0" borderId="96" xfId="0" applyFont="1" applyFill="1" applyBorder="1" applyAlignment="1">
      <alignment horizontal="left" vertical="top" wrapText="1"/>
    </xf>
    <xf numFmtId="0" fontId="2" fillId="0" borderId="87" xfId="0" applyFont="1" applyFill="1" applyBorder="1" applyAlignment="1">
      <alignment horizontal="left" vertical="center" wrapText="1"/>
    </xf>
    <xf numFmtId="3" fontId="2" fillId="0" borderId="102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52" xfId="0" applyFont="1" applyBorder="1" applyAlignment="1">
      <alignment vertical="top"/>
    </xf>
    <xf numFmtId="0" fontId="2" fillId="0" borderId="49" xfId="0" applyFont="1" applyBorder="1" applyAlignment="1">
      <alignment vertical="top"/>
    </xf>
    <xf numFmtId="0" fontId="2" fillId="0" borderId="13" xfId="0" applyFont="1" applyFill="1" applyBorder="1" applyAlignment="1">
      <alignment vertical="center" textRotation="90" wrapText="1"/>
    </xf>
    <xf numFmtId="49" fontId="4" fillId="0" borderId="13" xfId="0" applyNumberFormat="1" applyFont="1" applyBorder="1" applyAlignment="1">
      <alignment horizontal="center" vertical="top"/>
    </xf>
    <xf numFmtId="0" fontId="2" fillId="0" borderId="33" xfId="0" applyFont="1" applyFill="1" applyBorder="1" applyAlignment="1">
      <alignment horizontal="left" vertical="top" wrapText="1"/>
    </xf>
    <xf numFmtId="0" fontId="9" fillId="0" borderId="64" xfId="0" applyFont="1" applyFill="1" applyBorder="1" applyAlignment="1">
      <alignment horizontal="center" vertical="top" wrapText="1"/>
    </xf>
    <xf numFmtId="0" fontId="9" fillId="0" borderId="63" xfId="0" applyFont="1" applyFill="1" applyBorder="1" applyAlignment="1">
      <alignment horizontal="center" vertical="top" wrapText="1"/>
    </xf>
    <xf numFmtId="0" fontId="0" fillId="9" borderId="46" xfId="0" applyFill="1" applyBorder="1" applyAlignment="1">
      <alignment vertical="top" wrapText="1"/>
    </xf>
    <xf numFmtId="0" fontId="9" fillId="9" borderId="69" xfId="0" applyFont="1" applyFill="1" applyBorder="1" applyAlignment="1">
      <alignment horizontal="center" vertical="top" wrapText="1"/>
    </xf>
    <xf numFmtId="0" fontId="9" fillId="9" borderId="24" xfId="0" applyFont="1" applyFill="1" applyBorder="1" applyAlignment="1">
      <alignment horizontal="center" vertical="top" wrapText="1"/>
    </xf>
    <xf numFmtId="0" fontId="9" fillId="9" borderId="11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center" vertical="top"/>
    </xf>
    <xf numFmtId="164" fontId="13" fillId="0" borderId="64" xfId="0" applyNumberFormat="1" applyFont="1" applyFill="1" applyBorder="1" applyAlignment="1">
      <alignment horizontal="left" vertical="top" wrapText="1"/>
    </xf>
    <xf numFmtId="0" fontId="7" fillId="0" borderId="63" xfId="0" applyNumberFormat="1" applyFont="1" applyBorder="1" applyAlignment="1">
      <alignment horizontal="center" vertical="top" wrapText="1"/>
    </xf>
    <xf numFmtId="164" fontId="13" fillId="0" borderId="64" xfId="0" applyNumberFormat="1" applyFont="1" applyFill="1" applyBorder="1" applyAlignment="1">
      <alignment horizontal="center" vertical="top"/>
    </xf>
    <xf numFmtId="0" fontId="13" fillId="0" borderId="63" xfId="0" applyNumberFormat="1" applyFont="1" applyFill="1" applyBorder="1" applyAlignment="1">
      <alignment horizontal="center" vertical="top"/>
    </xf>
    <xf numFmtId="164" fontId="13" fillId="3" borderId="38" xfId="0" applyNumberFormat="1" applyFont="1" applyFill="1" applyBorder="1" applyAlignment="1">
      <alignment horizontal="center" vertical="top"/>
    </xf>
    <xf numFmtId="0" fontId="9" fillId="0" borderId="44" xfId="0" applyFont="1" applyBorder="1" applyAlignment="1">
      <alignment horizontal="center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13" fillId="0" borderId="57" xfId="0" applyNumberFormat="1" applyFont="1" applyFill="1" applyBorder="1" applyAlignment="1">
      <alignment horizontal="center" vertical="top"/>
    </xf>
    <xf numFmtId="164" fontId="13" fillId="4" borderId="66" xfId="0" applyNumberFormat="1" applyFont="1" applyFill="1" applyBorder="1" applyAlignment="1">
      <alignment horizontal="center" vertical="top"/>
    </xf>
    <xf numFmtId="164" fontId="13" fillId="4" borderId="64" xfId="0" applyNumberFormat="1" applyFont="1" applyFill="1" applyBorder="1" applyAlignment="1">
      <alignment horizontal="center" vertical="top"/>
    </xf>
    <xf numFmtId="164" fontId="13" fillId="6" borderId="66" xfId="0" applyNumberFormat="1" applyFont="1" applyFill="1" applyBorder="1" applyAlignment="1">
      <alignment horizontal="center" vertical="top"/>
    </xf>
    <xf numFmtId="164" fontId="13" fillId="6" borderId="64" xfId="0" applyNumberFormat="1" applyFont="1" applyFill="1" applyBorder="1" applyAlignment="1">
      <alignment horizontal="center" vertical="top"/>
    </xf>
    <xf numFmtId="164" fontId="4" fillId="4" borderId="57" xfId="0" applyNumberFormat="1" applyFont="1" applyFill="1" applyBorder="1" applyAlignment="1">
      <alignment horizontal="center" vertical="top"/>
    </xf>
    <xf numFmtId="49" fontId="4" fillId="4" borderId="30" xfId="0" applyNumberFormat="1" applyFont="1" applyFill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0" fontId="9" fillId="0" borderId="93" xfId="0" applyFont="1" applyBorder="1" applyAlignment="1">
      <alignment horizontal="center" vertical="top" wrapText="1"/>
    </xf>
    <xf numFmtId="164" fontId="2" fillId="4" borderId="79" xfId="0" applyNumberFormat="1" applyFont="1" applyFill="1" applyBorder="1" applyAlignment="1">
      <alignment horizontal="center" vertical="top"/>
    </xf>
    <xf numFmtId="164" fontId="2" fillId="6" borderId="82" xfId="0" applyNumberFormat="1" applyFont="1" applyFill="1" applyBorder="1" applyAlignment="1">
      <alignment horizontal="center" vertical="top"/>
    </xf>
    <xf numFmtId="49" fontId="2" fillId="4" borderId="30" xfId="0" applyNumberFormat="1" applyFont="1" applyFill="1" applyBorder="1" applyAlignment="1">
      <alignment horizontal="center" vertical="top" wrapText="1"/>
    </xf>
    <xf numFmtId="49" fontId="2" fillId="4" borderId="65" xfId="0" applyNumberFormat="1" applyFont="1" applyFill="1" applyBorder="1" applyAlignment="1">
      <alignment horizontal="center" vertical="top" wrapText="1"/>
    </xf>
    <xf numFmtId="49" fontId="13" fillId="0" borderId="101" xfId="0" applyNumberFormat="1" applyFont="1" applyFill="1" applyBorder="1" applyAlignment="1">
      <alignment horizontal="center" vertical="top"/>
    </xf>
    <xf numFmtId="164" fontId="13" fillId="4" borderId="96" xfId="0" applyNumberFormat="1" applyFont="1" applyFill="1" applyBorder="1" applyAlignment="1">
      <alignment horizontal="center" vertical="top"/>
    </xf>
    <xf numFmtId="164" fontId="13" fillId="4" borderId="97" xfId="0" applyNumberFormat="1" applyFont="1" applyFill="1" applyBorder="1" applyAlignment="1">
      <alignment horizontal="center" vertical="top"/>
    </xf>
    <xf numFmtId="164" fontId="13" fillId="4" borderId="99" xfId="0" applyNumberFormat="1" applyFont="1" applyFill="1" applyBorder="1" applyAlignment="1">
      <alignment horizontal="center" vertical="top"/>
    </xf>
    <xf numFmtId="164" fontId="13" fillId="6" borderId="96" xfId="0" applyNumberFormat="1" applyFont="1" applyFill="1" applyBorder="1" applyAlignment="1">
      <alignment horizontal="center" vertical="top"/>
    </xf>
    <xf numFmtId="164" fontId="13" fillId="6" borderId="97" xfId="0" applyNumberFormat="1" applyFont="1" applyFill="1" applyBorder="1" applyAlignment="1">
      <alignment horizontal="center" vertical="top"/>
    </xf>
    <xf numFmtId="164" fontId="13" fillId="6" borderId="99" xfId="0" applyNumberFormat="1" applyFont="1" applyFill="1" applyBorder="1" applyAlignment="1">
      <alignment horizontal="center" vertical="top"/>
    </xf>
    <xf numFmtId="164" fontId="2" fillId="4" borderId="101" xfId="0" applyNumberFormat="1" applyFont="1" applyFill="1" applyBorder="1" applyAlignment="1">
      <alignment horizontal="center" vertical="top"/>
    </xf>
    <xf numFmtId="164" fontId="13" fillId="4" borderId="103" xfId="0" applyNumberFormat="1" applyFont="1" applyFill="1" applyBorder="1" applyAlignment="1">
      <alignment horizontal="center" vertical="top"/>
    </xf>
    <xf numFmtId="164" fontId="13" fillId="6" borderId="103" xfId="0" applyNumberFormat="1" applyFont="1" applyFill="1" applyBorder="1" applyAlignment="1">
      <alignment horizontal="center" vertical="top"/>
    </xf>
    <xf numFmtId="49" fontId="13" fillId="0" borderId="75" xfId="0" applyNumberFormat="1" applyFont="1" applyFill="1" applyBorder="1" applyAlignment="1">
      <alignment horizontal="center" vertical="top"/>
    </xf>
    <xf numFmtId="164" fontId="13" fillId="4" borderId="33" xfId="0" applyNumberFormat="1" applyFont="1" applyFill="1" applyBorder="1" applyAlignment="1">
      <alignment horizontal="center" vertical="top"/>
    </xf>
    <xf numFmtId="164" fontId="13" fillId="4" borderId="12" xfId="0" applyNumberFormat="1" applyFont="1" applyFill="1" applyBorder="1" applyAlignment="1">
      <alignment horizontal="center" vertical="top"/>
    </xf>
    <xf numFmtId="164" fontId="13" fillId="4" borderId="34" xfId="0" applyNumberFormat="1" applyFont="1" applyFill="1" applyBorder="1" applyAlignment="1">
      <alignment horizontal="center" vertical="top"/>
    </xf>
    <xf numFmtId="164" fontId="13" fillId="6" borderId="33" xfId="0" applyNumberFormat="1" applyFont="1" applyFill="1" applyBorder="1" applyAlignment="1">
      <alignment horizontal="center" vertical="top"/>
    </xf>
    <xf numFmtId="164" fontId="13" fillId="6" borderId="12" xfId="0" applyNumberFormat="1" applyFont="1" applyFill="1" applyBorder="1" applyAlignment="1">
      <alignment horizontal="center" vertical="top"/>
    </xf>
    <xf numFmtId="164" fontId="13" fillId="6" borderId="34" xfId="0" applyNumberFormat="1" applyFont="1" applyFill="1" applyBorder="1" applyAlignment="1">
      <alignment horizontal="center" vertical="top"/>
    </xf>
    <xf numFmtId="164" fontId="4" fillId="4" borderId="75" xfId="0" applyNumberFormat="1" applyFont="1" applyFill="1" applyBorder="1" applyAlignment="1">
      <alignment horizontal="center" vertical="top"/>
    </xf>
    <xf numFmtId="164" fontId="13" fillId="4" borderId="58" xfId="0" applyNumberFormat="1" applyFont="1" applyFill="1" applyBorder="1" applyAlignment="1">
      <alignment horizontal="center" vertical="top"/>
    </xf>
    <xf numFmtId="164" fontId="13" fillId="6" borderId="58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 wrapText="1"/>
    </xf>
    <xf numFmtId="0" fontId="2" fillId="4" borderId="34" xfId="0" applyNumberFormat="1" applyFont="1" applyFill="1" applyBorder="1" applyAlignment="1">
      <alignment horizontal="center" vertical="top"/>
    </xf>
    <xf numFmtId="0" fontId="2" fillId="0" borderId="91" xfId="0" applyNumberFormat="1" applyFont="1" applyFill="1" applyBorder="1" applyAlignment="1">
      <alignment horizontal="center" vertical="top"/>
    </xf>
    <xf numFmtId="0" fontId="2" fillId="4" borderId="91" xfId="0" applyFont="1" applyFill="1" applyBorder="1" applyAlignment="1">
      <alignment horizontal="left" vertical="top" wrapText="1"/>
    </xf>
    <xf numFmtId="0" fontId="2" fillId="4" borderId="84" xfId="0" applyNumberFormat="1" applyFont="1" applyFill="1" applyBorder="1" applyAlignment="1">
      <alignment horizontal="center" vertical="top"/>
    </xf>
    <xf numFmtId="164" fontId="2" fillId="4" borderId="100" xfId="0" applyNumberFormat="1" applyFont="1" applyFill="1" applyBorder="1" applyAlignment="1">
      <alignment horizontal="center" vertical="top"/>
    </xf>
    <xf numFmtId="164" fontId="2" fillId="6" borderId="99" xfId="0" applyNumberFormat="1" applyFont="1" applyFill="1" applyBorder="1" applyAlignment="1">
      <alignment horizontal="center" vertical="top"/>
    </xf>
    <xf numFmtId="164" fontId="4" fillId="4" borderId="101" xfId="0" applyNumberFormat="1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left" vertical="top" wrapText="1"/>
    </xf>
    <xf numFmtId="0" fontId="9" fillId="0" borderId="105" xfId="0" applyFont="1" applyFill="1" applyBorder="1" applyAlignment="1">
      <alignment horizontal="center" vertical="top"/>
    </xf>
    <xf numFmtId="164" fontId="2" fillId="4" borderId="105" xfId="0" applyNumberFormat="1" applyFont="1" applyFill="1" applyBorder="1" applyAlignment="1">
      <alignment horizontal="center" vertical="top"/>
    </xf>
    <xf numFmtId="164" fontId="2" fillId="4" borderId="92" xfId="0" applyNumberFormat="1" applyFont="1" applyFill="1" applyBorder="1" applyAlignment="1">
      <alignment horizontal="center" vertical="top"/>
    </xf>
    <xf numFmtId="164" fontId="2" fillId="4" borderId="84" xfId="0" applyNumberFormat="1" applyFont="1" applyFill="1" applyBorder="1" applyAlignment="1">
      <alignment horizontal="center" vertical="top"/>
    </xf>
    <xf numFmtId="164" fontId="2" fillId="6" borderId="92" xfId="0" applyNumberFormat="1" applyFont="1" applyFill="1" applyBorder="1" applyAlignment="1">
      <alignment horizontal="center" vertical="top"/>
    </xf>
    <xf numFmtId="164" fontId="2" fillId="6" borderId="84" xfId="0" applyNumberFormat="1" applyFont="1" applyFill="1" applyBorder="1" applyAlignment="1">
      <alignment horizontal="center" vertical="top"/>
    </xf>
    <xf numFmtId="164" fontId="2" fillId="0" borderId="105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3" fontId="2" fillId="3" borderId="34" xfId="0" applyNumberFormat="1" applyFont="1" applyFill="1" applyBorder="1" applyAlignment="1">
      <alignment horizontal="center" vertical="top"/>
    </xf>
    <xf numFmtId="0" fontId="9" fillId="0" borderId="93" xfId="0" applyFont="1" applyFill="1" applyBorder="1" applyAlignment="1">
      <alignment horizontal="center" vertical="top" wrapText="1"/>
    </xf>
    <xf numFmtId="164" fontId="2" fillId="4" borderId="94" xfId="0" applyNumberFormat="1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vertical="center" textRotation="90"/>
    </xf>
    <xf numFmtId="49" fontId="2" fillId="0" borderId="54" xfId="0" applyNumberFormat="1" applyFont="1" applyBorder="1" applyAlignment="1">
      <alignment horizontal="center" vertical="top" wrapText="1"/>
    </xf>
    <xf numFmtId="164" fontId="15" fillId="6" borderId="45" xfId="0" applyNumberFormat="1" applyFont="1" applyFill="1" applyBorder="1" applyAlignment="1">
      <alignment horizontal="center" vertical="top"/>
    </xf>
    <xf numFmtId="164" fontId="13" fillId="6" borderId="49" xfId="0" applyNumberFormat="1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5" xfId="0" applyFont="1" applyBorder="1" applyAlignment="1">
      <alignment horizontal="center" vertical="center" textRotation="90" shrinkToFi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2" fillId="0" borderId="65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 wrapText="1"/>
    </xf>
    <xf numFmtId="164" fontId="4" fillId="4" borderId="29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2" fillId="6" borderId="57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0" fontId="9" fillId="0" borderId="10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top"/>
    </xf>
    <xf numFmtId="49" fontId="4" fillId="0" borderId="25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164" fontId="2" fillId="4" borderId="87" xfId="0" applyNumberFormat="1" applyFont="1" applyFill="1" applyBorder="1" applyAlignment="1">
      <alignment horizontal="center" vertical="top"/>
    </xf>
    <xf numFmtId="164" fontId="2" fillId="4" borderId="89" xfId="0" applyNumberFormat="1" applyFont="1" applyFill="1" applyBorder="1" applyAlignment="1">
      <alignment horizontal="center" vertical="top"/>
    </xf>
    <xf numFmtId="164" fontId="2" fillId="6" borderId="89" xfId="0" applyNumberFormat="1" applyFont="1" applyFill="1" applyBorder="1" applyAlignment="1">
      <alignment horizontal="center" vertical="top"/>
    </xf>
    <xf numFmtId="164" fontId="2" fillId="6" borderId="102" xfId="0" applyNumberFormat="1" applyFont="1" applyFill="1" applyBorder="1" applyAlignment="1">
      <alignment horizontal="center" vertical="top"/>
    </xf>
    <xf numFmtId="164" fontId="2" fillId="4" borderId="109" xfId="0" applyNumberFormat="1" applyFont="1" applyFill="1" applyBorder="1" applyAlignment="1">
      <alignment horizontal="center" vertical="top"/>
    </xf>
    <xf numFmtId="49" fontId="4" fillId="4" borderId="65" xfId="0" applyNumberFormat="1" applyFont="1" applyFill="1" applyBorder="1" applyAlignment="1">
      <alignment horizontal="center" vertical="top"/>
    </xf>
    <xf numFmtId="49" fontId="4" fillId="4" borderId="64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2" fillId="0" borderId="60" xfId="0" applyFont="1" applyFill="1" applyBorder="1" applyAlignment="1">
      <alignment horizontal="center" vertical="top" wrapText="1"/>
    </xf>
    <xf numFmtId="0" fontId="2" fillId="0" borderId="101" xfId="0" applyFont="1" applyFill="1" applyBorder="1" applyAlignment="1">
      <alignment horizontal="center" vertical="top" wrapText="1"/>
    </xf>
    <xf numFmtId="0" fontId="9" fillId="0" borderId="60" xfId="0" applyFont="1" applyFill="1" applyBorder="1" applyAlignment="1">
      <alignment horizontal="center" vertical="top" wrapText="1"/>
    </xf>
    <xf numFmtId="0" fontId="9" fillId="0" borderId="110" xfId="0" applyFont="1" applyFill="1" applyBorder="1" applyAlignment="1">
      <alignment horizontal="center" vertical="top" wrapText="1"/>
    </xf>
    <xf numFmtId="164" fontId="2" fillId="4" borderId="111" xfId="0" applyNumberFormat="1" applyFont="1" applyFill="1" applyBorder="1" applyAlignment="1">
      <alignment horizontal="center" vertical="top"/>
    </xf>
    <xf numFmtId="164" fontId="2" fillId="4" borderId="112" xfId="0" applyNumberFormat="1" applyFont="1" applyFill="1" applyBorder="1" applyAlignment="1">
      <alignment horizontal="center" vertical="top"/>
    </xf>
    <xf numFmtId="164" fontId="2" fillId="4" borderId="113" xfId="0" applyNumberFormat="1" applyFont="1" applyFill="1" applyBorder="1" applyAlignment="1">
      <alignment horizontal="center" vertical="top"/>
    </xf>
    <xf numFmtId="164" fontId="2" fillId="6" borderId="111" xfId="0" applyNumberFormat="1" applyFont="1" applyFill="1" applyBorder="1" applyAlignment="1">
      <alignment horizontal="center" vertical="top"/>
    </xf>
    <xf numFmtId="164" fontId="2" fillId="6" borderId="112" xfId="0" applyNumberFormat="1" applyFont="1" applyFill="1" applyBorder="1" applyAlignment="1">
      <alignment horizontal="center" vertical="top"/>
    </xf>
    <xf numFmtId="164" fontId="2" fillId="6" borderId="114" xfId="0" applyNumberFormat="1" applyFont="1" applyFill="1" applyBorder="1" applyAlignment="1">
      <alignment horizontal="center" vertical="top"/>
    </xf>
    <xf numFmtId="164" fontId="2" fillId="0" borderId="110" xfId="0" applyNumberFormat="1" applyFont="1" applyFill="1" applyBorder="1" applyAlignment="1">
      <alignment horizontal="center" vertical="top"/>
    </xf>
    <xf numFmtId="0" fontId="9" fillId="0" borderId="50" xfId="0" applyFont="1" applyFill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2" fillId="4" borderId="3" xfId="0" applyFont="1" applyFill="1" applyBorder="1" applyAlignment="1">
      <alignment wrapText="1"/>
    </xf>
    <xf numFmtId="49" fontId="4" fillId="0" borderId="40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vertical="top"/>
    </xf>
    <xf numFmtId="164" fontId="4" fillId="2" borderId="46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2" fillId="4" borderId="38" xfId="0" applyFont="1" applyFill="1" applyBorder="1" applyAlignment="1">
      <alignment vertical="top" wrapText="1"/>
    </xf>
    <xf numFmtId="164" fontId="13" fillId="0" borderId="42" xfId="0" applyNumberFormat="1" applyFont="1" applyFill="1" applyBorder="1" applyAlignment="1">
      <alignment horizontal="center" vertical="top"/>
    </xf>
    <xf numFmtId="164" fontId="2" fillId="0" borderId="43" xfId="0" applyNumberFormat="1" applyFont="1" applyFill="1" applyBorder="1" applyAlignment="1">
      <alignment horizontal="center" vertical="top"/>
    </xf>
    <xf numFmtId="164" fontId="4" fillId="6" borderId="45" xfId="0" applyNumberFormat="1" applyFont="1" applyFill="1" applyBorder="1" applyAlignment="1">
      <alignment horizontal="center" vertical="top"/>
    </xf>
    <xf numFmtId="164" fontId="2" fillId="0" borderId="2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4" fillId="4" borderId="26" xfId="0" applyNumberFormat="1" applyFont="1" applyFill="1" applyBorder="1" applyAlignment="1">
      <alignment horizontal="center" vertical="top"/>
    </xf>
    <xf numFmtId="164" fontId="2" fillId="0" borderId="95" xfId="0" applyNumberFormat="1" applyFont="1" applyFill="1" applyBorder="1" applyAlignment="1">
      <alignment horizontal="center" vertical="top"/>
    </xf>
    <xf numFmtId="164" fontId="4" fillId="6" borderId="28" xfId="0" applyNumberFormat="1" applyFont="1" applyFill="1" applyBorder="1" applyAlignment="1">
      <alignment horizontal="center" vertical="top"/>
    </xf>
    <xf numFmtId="164" fontId="4" fillId="2" borderId="45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2" fillId="0" borderId="48" xfId="0" applyNumberFormat="1" applyFont="1" applyFill="1" applyBorder="1" applyAlignment="1">
      <alignment horizontal="center" vertical="top"/>
    </xf>
    <xf numFmtId="164" fontId="2" fillId="0" borderId="93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4" borderId="95" xfId="0" applyNumberFormat="1" applyFont="1" applyFill="1" applyBorder="1" applyAlignment="1">
      <alignment horizontal="center" vertical="top"/>
    </xf>
    <xf numFmtId="164" fontId="2" fillId="4" borderId="115" xfId="0" applyNumberFormat="1" applyFont="1" applyFill="1" applyBorder="1" applyAlignment="1">
      <alignment horizontal="center" vertical="top"/>
    </xf>
    <xf numFmtId="164" fontId="2" fillId="0" borderId="116" xfId="0" applyNumberFormat="1" applyFont="1" applyFill="1" applyBorder="1" applyAlignment="1">
      <alignment horizontal="center" vertical="top"/>
    </xf>
    <xf numFmtId="164" fontId="2" fillId="4" borderId="93" xfId="0" applyNumberFormat="1" applyFont="1" applyFill="1" applyBorder="1" applyAlignment="1">
      <alignment horizontal="center" vertical="top"/>
    </xf>
    <xf numFmtId="164" fontId="4" fillId="4" borderId="44" xfId="0" applyNumberFormat="1" applyFont="1" applyFill="1" applyBorder="1" applyAlignment="1">
      <alignment horizontal="center" vertical="top"/>
    </xf>
    <xf numFmtId="164" fontId="4" fillId="4" borderId="117" xfId="0" applyNumberFormat="1" applyFont="1" applyFill="1" applyBorder="1" applyAlignment="1">
      <alignment horizontal="center" vertical="top"/>
    </xf>
    <xf numFmtId="164" fontId="2" fillId="4" borderId="95" xfId="0" applyNumberFormat="1" applyFont="1" applyFill="1" applyBorder="1" applyAlignment="1">
      <alignment horizontal="center" vertical="top"/>
    </xf>
    <xf numFmtId="164" fontId="2" fillId="0" borderId="48" xfId="0" applyNumberFormat="1" applyFont="1" applyFill="1" applyBorder="1" applyAlignment="1">
      <alignment horizontal="right" vertical="top" wrapText="1"/>
    </xf>
    <xf numFmtId="164" fontId="2" fillId="0" borderId="118" xfId="0" applyNumberFormat="1" applyFont="1" applyFill="1" applyBorder="1" applyAlignment="1">
      <alignment horizontal="center" vertical="top"/>
    </xf>
    <xf numFmtId="164" fontId="4" fillId="2" borderId="36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0" borderId="34" xfId="0" applyNumberFormat="1" applyFont="1" applyBorder="1" applyAlignment="1">
      <alignment horizontal="center" vertical="top"/>
    </xf>
    <xf numFmtId="49" fontId="4" fillId="4" borderId="11" xfId="0" applyNumberFormat="1" applyFont="1" applyFill="1" applyBorder="1" applyAlignment="1">
      <alignment horizontal="center" vertical="top"/>
    </xf>
    <xf numFmtId="0" fontId="4" fillId="6" borderId="46" xfId="0" applyFont="1" applyFill="1" applyBorder="1" applyAlignment="1">
      <alignment horizontal="center" vertical="top"/>
    </xf>
    <xf numFmtId="3" fontId="2" fillId="3" borderId="25" xfId="0" applyNumberFormat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47" xfId="0" applyNumberFormat="1" applyFont="1" applyFill="1" applyBorder="1" applyAlignment="1">
      <alignment horizontal="center" vertical="top"/>
    </xf>
    <xf numFmtId="2" fontId="8" fillId="0" borderId="4" xfId="0" applyNumberFormat="1" applyFont="1" applyBorder="1" applyAlignment="1">
      <alignment vertical="top" wrapText="1"/>
    </xf>
    <xf numFmtId="0" fontId="2" fillId="4" borderId="97" xfId="0" applyFont="1" applyFill="1" applyBorder="1" applyAlignment="1">
      <alignment vertical="top" wrapText="1"/>
    </xf>
    <xf numFmtId="0" fontId="2" fillId="3" borderId="72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vertical="top" wrapText="1"/>
    </xf>
    <xf numFmtId="0" fontId="2" fillId="0" borderId="42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10" fillId="6" borderId="75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 vertical="top" wrapText="1"/>
    </xf>
    <xf numFmtId="0" fontId="0" fillId="4" borderId="23" xfId="0" applyFill="1" applyBorder="1" applyAlignment="1">
      <alignment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0" borderId="101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vertical="top"/>
    </xf>
    <xf numFmtId="0" fontId="2" fillId="0" borderId="65" xfId="0" applyFont="1" applyFill="1" applyBorder="1" applyAlignment="1">
      <alignment vertical="center" textRotation="90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49" fontId="4" fillId="0" borderId="63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4" fillId="4" borderId="20" xfId="0" applyNumberFormat="1" applyFont="1" applyFill="1" applyBorder="1" applyAlignment="1">
      <alignment vertical="top"/>
    </xf>
    <xf numFmtId="49" fontId="2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0" fontId="2" fillId="4" borderId="60" xfId="0" applyFont="1" applyFill="1" applyBorder="1" applyAlignment="1">
      <alignment horizontal="left" vertical="top" wrapText="1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 wrapText="1"/>
    </xf>
    <xf numFmtId="49" fontId="4" fillId="4" borderId="25" xfId="0" applyNumberFormat="1" applyFont="1" applyFill="1" applyBorder="1" applyAlignment="1">
      <alignment horizontal="center" vertical="top" wrapText="1"/>
    </xf>
    <xf numFmtId="164" fontId="2" fillId="4" borderId="122" xfId="0" applyNumberFormat="1" applyFont="1" applyFill="1" applyBorder="1" applyAlignment="1">
      <alignment horizontal="center" vertical="top"/>
    </xf>
    <xf numFmtId="164" fontId="2" fillId="4" borderId="120" xfId="0" applyNumberFormat="1" applyFont="1" applyFill="1" applyBorder="1" applyAlignment="1">
      <alignment horizontal="center" vertical="top"/>
    </xf>
    <xf numFmtId="164" fontId="2" fillId="6" borderId="120" xfId="0" applyNumberFormat="1" applyFont="1" applyFill="1" applyBorder="1" applyAlignment="1">
      <alignment horizontal="center" vertical="top"/>
    </xf>
    <xf numFmtId="164" fontId="2" fillId="6" borderId="123" xfId="0" applyNumberFormat="1" applyFont="1" applyFill="1" applyBorder="1" applyAlignment="1">
      <alignment horizontal="center" vertical="top"/>
    </xf>
    <xf numFmtId="164" fontId="4" fillId="4" borderId="125" xfId="0" applyNumberFormat="1" applyFont="1" applyFill="1" applyBorder="1" applyAlignment="1">
      <alignment horizontal="center" vertical="top"/>
    </xf>
    <xf numFmtId="164" fontId="4" fillId="4" borderId="126" xfId="0" applyNumberFormat="1" applyFont="1" applyFill="1" applyBorder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4" borderId="60" xfId="0" applyFont="1" applyFill="1" applyBorder="1" applyAlignment="1">
      <alignment horizontal="left" vertical="top" wrapText="1"/>
    </xf>
    <xf numFmtId="49" fontId="4" fillId="4" borderId="25" xfId="0" applyNumberFormat="1" applyFont="1" applyFill="1" applyBorder="1" applyAlignment="1">
      <alignment horizontal="center" vertical="top" wrapText="1"/>
    </xf>
    <xf numFmtId="164" fontId="13" fillId="6" borderId="67" xfId="0" applyNumberFormat="1" applyFont="1" applyFill="1" applyBorder="1" applyAlignment="1">
      <alignment horizontal="center" vertical="top"/>
    </xf>
    <xf numFmtId="164" fontId="13" fillId="6" borderId="55" xfId="0" applyNumberFormat="1" applyFont="1" applyFill="1" applyBorder="1" applyAlignment="1">
      <alignment horizontal="center" vertical="top"/>
    </xf>
    <xf numFmtId="164" fontId="15" fillId="6" borderId="73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4" xfId="0" applyNumberFormat="1" applyFont="1" applyFill="1" applyBorder="1" applyAlignment="1">
      <alignment horizontal="center" vertical="top"/>
    </xf>
    <xf numFmtId="164" fontId="4" fillId="6" borderId="72" xfId="0" applyNumberFormat="1" applyFont="1" applyFill="1" applyBorder="1" applyAlignment="1">
      <alignment horizontal="center" vertical="top"/>
    </xf>
    <xf numFmtId="164" fontId="15" fillId="6" borderId="35" xfId="0" applyNumberFormat="1" applyFont="1" applyFill="1" applyBorder="1" applyAlignment="1">
      <alignment horizontal="center" vertical="top"/>
    </xf>
    <xf numFmtId="164" fontId="15" fillId="6" borderId="5" xfId="0" applyNumberFormat="1" applyFont="1" applyFill="1" applyBorder="1" applyAlignment="1">
      <alignment horizontal="center" vertical="top"/>
    </xf>
    <xf numFmtId="164" fontId="15" fillId="6" borderId="15" xfId="0" applyNumberFormat="1" applyFont="1" applyFill="1" applyBorder="1" applyAlignment="1">
      <alignment horizontal="center" vertical="top"/>
    </xf>
    <xf numFmtId="164" fontId="13" fillId="4" borderId="67" xfId="0" applyNumberFormat="1" applyFont="1" applyFill="1" applyBorder="1" applyAlignment="1">
      <alignment horizontal="center" vertical="top"/>
    </xf>
    <xf numFmtId="164" fontId="13" fillId="4" borderId="55" xfId="0" applyNumberFormat="1" applyFont="1" applyFill="1" applyBorder="1" applyAlignment="1">
      <alignment horizontal="center" vertical="top"/>
    </xf>
    <xf numFmtId="164" fontId="15" fillId="6" borderId="6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7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/>
    </xf>
    <xf numFmtId="0" fontId="2" fillId="0" borderId="72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7" xfId="0" applyNumberFormat="1" applyFont="1" applyFill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vertical="top"/>
    </xf>
    <xf numFmtId="164" fontId="2" fillId="6" borderId="71" xfId="0" applyNumberFormat="1" applyFont="1" applyFill="1" applyBorder="1" applyAlignment="1">
      <alignment horizontal="center" vertical="top"/>
    </xf>
    <xf numFmtId="164" fontId="2" fillId="4" borderId="55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center" vertical="top"/>
    </xf>
    <xf numFmtId="164" fontId="4" fillId="4" borderId="39" xfId="0" applyNumberFormat="1" applyFont="1" applyFill="1" applyBorder="1" applyAlignment="1">
      <alignment horizontal="center" vertical="top"/>
    </xf>
    <xf numFmtId="164" fontId="4" fillId="4" borderId="64" xfId="0" applyNumberFormat="1" applyFont="1" applyFill="1" applyBorder="1" applyAlignment="1">
      <alignment horizontal="center" vertical="top"/>
    </xf>
    <xf numFmtId="164" fontId="4" fillId="4" borderId="63" xfId="0" applyNumberFormat="1" applyFont="1" applyFill="1" applyBorder="1" applyAlignment="1">
      <alignment horizontal="center" vertical="top"/>
    </xf>
    <xf numFmtId="164" fontId="2" fillId="4" borderId="124" xfId="0" applyNumberFormat="1" applyFont="1" applyFill="1" applyBorder="1" applyAlignment="1">
      <alignment horizontal="center" vertical="top"/>
    </xf>
    <xf numFmtId="164" fontId="2" fillId="4" borderId="88" xfId="0" applyNumberFormat="1" applyFont="1" applyFill="1" applyBorder="1" applyAlignment="1">
      <alignment horizontal="center" vertical="top"/>
    </xf>
    <xf numFmtId="164" fontId="2" fillId="6" borderId="122" xfId="0" applyNumberFormat="1" applyFont="1" applyFill="1" applyBorder="1" applyAlignment="1">
      <alignment horizontal="center" vertical="top"/>
    </xf>
    <xf numFmtId="164" fontId="2" fillId="6" borderId="108" xfId="0" applyNumberFormat="1" applyFont="1" applyFill="1" applyBorder="1" applyAlignment="1">
      <alignment horizontal="center" vertical="top"/>
    </xf>
    <xf numFmtId="164" fontId="2" fillId="6" borderId="106" xfId="0" applyNumberFormat="1" applyFont="1" applyFill="1" applyBorder="1" applyAlignment="1">
      <alignment horizontal="center" vertical="top"/>
    </xf>
    <xf numFmtId="164" fontId="2" fillId="6" borderId="107" xfId="0" applyNumberFormat="1" applyFont="1" applyFill="1" applyBorder="1" applyAlignment="1">
      <alignment horizontal="center" vertical="top"/>
    </xf>
    <xf numFmtId="164" fontId="4" fillId="4" borderId="31" xfId="0" applyNumberFormat="1" applyFont="1" applyFill="1" applyBorder="1" applyAlignment="1">
      <alignment horizontal="center" vertical="top"/>
    </xf>
    <xf numFmtId="165" fontId="9" fillId="4" borderId="99" xfId="0" applyNumberFormat="1" applyFont="1" applyFill="1" applyBorder="1" applyAlignment="1">
      <alignment vertical="top" wrapText="1"/>
    </xf>
    <xf numFmtId="165" fontId="9" fillId="4" borderId="102" xfId="0" applyNumberFormat="1" applyFont="1" applyFill="1" applyBorder="1" applyAlignment="1">
      <alignment vertical="top" wrapText="1"/>
    </xf>
    <xf numFmtId="164" fontId="4" fillId="9" borderId="5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8" fillId="0" borderId="40" xfId="0" applyNumberFormat="1" applyFont="1" applyBorder="1" applyAlignment="1">
      <alignment horizontal="center" vertical="top"/>
    </xf>
    <xf numFmtId="0" fontId="12" fillId="0" borderId="43" xfId="0" applyFont="1" applyFill="1" applyBorder="1" applyAlignment="1">
      <alignment horizontal="center" vertical="top"/>
    </xf>
    <xf numFmtId="0" fontId="12" fillId="0" borderId="27" xfId="0" applyFont="1" applyFill="1" applyBorder="1" applyAlignment="1">
      <alignment horizontal="center" vertical="top"/>
    </xf>
    <xf numFmtId="0" fontId="12" fillId="4" borderId="27" xfId="0" applyFont="1" applyFill="1" applyBorder="1" applyAlignment="1">
      <alignment horizontal="center" vertical="top"/>
    </xf>
    <xf numFmtId="0" fontId="12" fillId="0" borderId="44" xfId="0" applyFont="1" applyFill="1" applyBorder="1" applyAlignment="1">
      <alignment horizontal="center" vertical="top"/>
    </xf>
    <xf numFmtId="0" fontId="10" fillId="6" borderId="45" xfId="0" applyFont="1" applyFill="1" applyBorder="1" applyAlignment="1">
      <alignment horizontal="center" vertical="top"/>
    </xf>
    <xf numFmtId="0" fontId="9" fillId="4" borderId="27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164" fontId="2" fillId="4" borderId="119" xfId="0" applyNumberFormat="1" applyFont="1" applyFill="1" applyBorder="1" applyAlignment="1">
      <alignment horizontal="center" vertical="top"/>
    </xf>
    <xf numFmtId="165" fontId="9" fillId="4" borderId="123" xfId="0" applyNumberFormat="1" applyFont="1" applyFill="1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2" fillId="4" borderId="57" xfId="0" applyFont="1" applyFill="1" applyBorder="1" applyAlignment="1">
      <alignment horizontal="left" vertical="top" wrapText="1"/>
    </xf>
    <xf numFmtId="0" fontId="9" fillId="0" borderId="60" xfId="0" applyFont="1" applyFill="1" applyBorder="1" applyAlignment="1">
      <alignment horizontal="left" vertical="center" wrapText="1"/>
    </xf>
    <xf numFmtId="164" fontId="2" fillId="4" borderId="50" xfId="0" applyNumberFormat="1" applyFont="1" applyFill="1" applyBorder="1" applyAlignment="1">
      <alignment horizontal="center" vertical="top"/>
    </xf>
    <xf numFmtId="164" fontId="2" fillId="4" borderId="52" xfId="0" applyNumberFormat="1" applyFont="1" applyFill="1" applyBorder="1" applyAlignment="1">
      <alignment horizontal="center" vertical="top"/>
    </xf>
    <xf numFmtId="0" fontId="2" fillId="4" borderId="38" xfId="0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 wrapText="1"/>
    </xf>
    <xf numFmtId="3" fontId="2" fillId="4" borderId="19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3" fontId="2" fillId="4" borderId="20" xfId="0" applyNumberFormat="1" applyFont="1" applyFill="1" applyBorder="1" applyAlignment="1">
      <alignment horizontal="center" vertical="top"/>
    </xf>
    <xf numFmtId="164" fontId="13" fillId="4" borderId="53" xfId="0" applyNumberFormat="1" applyFont="1" applyFill="1" applyBorder="1" applyAlignment="1">
      <alignment horizontal="center" vertical="top"/>
    </xf>
    <xf numFmtId="164" fontId="2" fillId="4" borderId="48" xfId="0" applyNumberFormat="1" applyFont="1" applyFill="1" applyBorder="1" applyAlignment="1">
      <alignment horizontal="center" vertical="top"/>
    </xf>
    <xf numFmtId="3" fontId="2" fillId="0" borderId="60" xfId="0" applyNumberFormat="1" applyFont="1" applyFill="1" applyBorder="1" applyAlignment="1">
      <alignment horizontal="right" vertical="top" wrapText="1"/>
    </xf>
    <xf numFmtId="3" fontId="2" fillId="0" borderId="27" xfId="0" applyNumberFormat="1" applyFont="1" applyFill="1" applyBorder="1" applyAlignment="1">
      <alignment horizontal="right" vertical="top" wrapText="1"/>
    </xf>
    <xf numFmtId="165" fontId="4" fillId="5" borderId="44" xfId="0" applyNumberFormat="1" applyFont="1" applyFill="1" applyBorder="1" applyAlignment="1">
      <alignment horizontal="center" vertical="top" wrapText="1"/>
    </xf>
    <xf numFmtId="165" fontId="4" fillId="6" borderId="44" xfId="0" applyNumberFormat="1" applyFont="1" applyFill="1" applyBorder="1" applyAlignment="1">
      <alignment horizontal="center" vertical="top" wrapText="1"/>
    </xf>
    <xf numFmtId="165" fontId="2" fillId="0" borderId="44" xfId="0" applyNumberFormat="1" applyFont="1" applyFill="1" applyBorder="1" applyAlignment="1">
      <alignment horizontal="center" vertical="top"/>
    </xf>
    <xf numFmtId="165" fontId="2" fillId="6" borderId="44" xfId="0" applyNumberFormat="1" applyFont="1" applyFill="1" applyBorder="1" applyAlignment="1">
      <alignment horizontal="center" vertical="top"/>
    </xf>
    <xf numFmtId="165" fontId="4" fillId="5" borderId="48" xfId="0" applyNumberFormat="1" applyFont="1" applyFill="1" applyBorder="1" applyAlignment="1">
      <alignment horizontal="center" vertical="top" wrapText="1"/>
    </xf>
    <xf numFmtId="165" fontId="4" fillId="6" borderId="28" xfId="0" applyNumberFormat="1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center" textRotation="90" wrapText="1"/>
    </xf>
    <xf numFmtId="0" fontId="0" fillId="0" borderId="4" xfId="0" applyBorder="1" applyAlignment="1">
      <alignment vertical="center" textRotation="90" wrapText="1"/>
    </xf>
    <xf numFmtId="0" fontId="0" fillId="0" borderId="64" xfId="0" applyBorder="1" applyAlignment="1">
      <alignment vertical="center" textRotation="90" wrapText="1"/>
    </xf>
    <xf numFmtId="49" fontId="4" fillId="0" borderId="17" xfId="0" applyNumberFormat="1" applyFont="1" applyBorder="1" applyAlignment="1">
      <alignment horizontal="center" vertical="top"/>
    </xf>
    <xf numFmtId="0" fontId="2" fillId="0" borderId="59" xfId="0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center" textRotation="90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6" borderId="27" xfId="0" applyNumberFormat="1" applyFont="1" applyFill="1" applyBorder="1" applyAlignment="1">
      <alignment horizontal="right" vertical="top"/>
    </xf>
    <xf numFmtId="3" fontId="2" fillId="6" borderId="95" xfId="0" applyNumberFormat="1" applyFont="1" applyFill="1" applyBorder="1" applyAlignment="1">
      <alignment horizontal="right" vertical="top"/>
    </xf>
    <xf numFmtId="3" fontId="2" fillId="6" borderId="44" xfId="0" applyNumberFormat="1" applyFont="1" applyFill="1" applyBorder="1" applyAlignment="1">
      <alignment horizontal="right" vertical="top"/>
    </xf>
    <xf numFmtId="3" fontId="2" fillId="0" borderId="57" xfId="0" applyNumberFormat="1" applyFont="1" applyFill="1" applyBorder="1" applyAlignment="1">
      <alignment horizontal="right" vertical="top"/>
    </xf>
    <xf numFmtId="3" fontId="2" fillId="0" borderId="44" xfId="0" applyNumberFormat="1" applyFont="1" applyFill="1" applyBorder="1" applyAlignment="1">
      <alignment horizontal="right" vertical="top"/>
    </xf>
    <xf numFmtId="3" fontId="4" fillId="6" borderId="117" xfId="0" applyNumberFormat="1" applyFont="1" applyFill="1" applyBorder="1" applyAlignment="1">
      <alignment horizontal="right" vertical="top"/>
    </xf>
    <xf numFmtId="3" fontId="2" fillId="6" borderId="56" xfId="0" applyNumberFormat="1" applyFont="1" applyFill="1" applyBorder="1" applyAlignment="1">
      <alignment horizontal="right" vertical="top"/>
    </xf>
    <xf numFmtId="3" fontId="2" fillId="0" borderId="43" xfId="0" applyNumberFormat="1" applyFont="1" applyFill="1" applyBorder="1" applyAlignment="1">
      <alignment horizontal="right" vertical="top"/>
    </xf>
    <xf numFmtId="3" fontId="2" fillId="6" borderId="47" xfId="0" applyNumberFormat="1" applyFont="1" applyFill="1" applyBorder="1" applyAlignment="1">
      <alignment horizontal="right" vertical="top"/>
    </xf>
    <xf numFmtId="3" fontId="2" fillId="0" borderId="27" xfId="0" applyNumberFormat="1" applyFont="1" applyFill="1" applyBorder="1" applyAlignment="1">
      <alignment horizontal="right" vertical="top"/>
    </xf>
    <xf numFmtId="3" fontId="2" fillId="6" borderId="58" xfId="0" applyNumberFormat="1" applyFont="1" applyFill="1" applyBorder="1" applyAlignment="1">
      <alignment horizontal="right" vertical="top"/>
    </xf>
    <xf numFmtId="3" fontId="4" fillId="6" borderId="24" xfId="0" applyNumberFormat="1" applyFont="1" applyFill="1" applyBorder="1" applyAlignment="1">
      <alignment horizontal="right" vertical="top"/>
    </xf>
    <xf numFmtId="3" fontId="4" fillId="6" borderId="45" xfId="0" applyNumberFormat="1" applyFont="1" applyFill="1" applyBorder="1" applyAlignment="1">
      <alignment horizontal="right" vertical="top"/>
    </xf>
    <xf numFmtId="3" fontId="4" fillId="6" borderId="28" xfId="0" applyNumberFormat="1" applyFont="1" applyFill="1" applyBorder="1" applyAlignment="1">
      <alignment horizontal="right" vertical="top"/>
    </xf>
    <xf numFmtId="3" fontId="4" fillId="6" borderId="68" xfId="0" applyNumberFormat="1" applyFont="1" applyFill="1" applyBorder="1" applyAlignment="1">
      <alignment horizontal="right" vertical="top"/>
    </xf>
    <xf numFmtId="3" fontId="2" fillId="6" borderId="26" xfId="0" applyNumberFormat="1" applyFont="1" applyFill="1" applyBorder="1" applyAlignment="1">
      <alignment horizontal="right" vertical="top"/>
    </xf>
    <xf numFmtId="3" fontId="2" fillId="0" borderId="50" xfId="0" applyNumberFormat="1" applyFont="1" applyFill="1" applyBorder="1" applyAlignment="1">
      <alignment horizontal="right" vertical="top"/>
    </xf>
    <xf numFmtId="3" fontId="2" fillId="0" borderId="26" xfId="0" applyNumberFormat="1" applyFont="1" applyFill="1" applyBorder="1" applyAlignment="1">
      <alignment horizontal="right" vertical="top"/>
    </xf>
    <xf numFmtId="3" fontId="4" fillId="2" borderId="36" xfId="0" applyNumberFormat="1" applyFont="1" applyFill="1" applyBorder="1" applyAlignment="1">
      <alignment horizontal="right" vertical="top"/>
    </xf>
    <xf numFmtId="0" fontId="2" fillId="0" borderId="120" xfId="0" applyFont="1" applyBorder="1" applyAlignment="1">
      <alignment horizontal="center" vertical="top"/>
    </xf>
    <xf numFmtId="0" fontId="2" fillId="0" borderId="121" xfId="0" applyFont="1" applyBorder="1" applyAlignment="1">
      <alignment horizontal="center" vertical="top"/>
    </xf>
    <xf numFmtId="3" fontId="2" fillId="6" borderId="43" xfId="0" applyNumberFormat="1" applyFont="1" applyFill="1" applyBorder="1" applyAlignment="1">
      <alignment horizontal="right" vertical="top"/>
    </xf>
    <xf numFmtId="3" fontId="2" fillId="0" borderId="59" xfId="0" applyNumberFormat="1" applyFont="1" applyFill="1" applyBorder="1" applyAlignment="1">
      <alignment horizontal="right" vertical="top"/>
    </xf>
    <xf numFmtId="3" fontId="2" fillId="0" borderId="60" xfId="0" applyNumberFormat="1" applyFont="1" applyFill="1" applyBorder="1" applyAlignment="1">
      <alignment horizontal="right" vertical="top"/>
    </xf>
    <xf numFmtId="3" fontId="4" fillId="6" borderId="46" xfId="0" applyNumberFormat="1" applyFont="1" applyFill="1" applyBorder="1" applyAlignment="1">
      <alignment horizontal="right" vertical="top"/>
    </xf>
    <xf numFmtId="3" fontId="4" fillId="2" borderId="37" xfId="0" applyNumberFormat="1" applyFont="1" applyFill="1" applyBorder="1" applyAlignment="1">
      <alignment horizontal="right" vertical="top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2" fillId="0" borderId="48" xfId="0" applyNumberFormat="1" applyFont="1" applyFill="1" applyBorder="1" applyAlignment="1">
      <alignment horizontal="right" vertical="top"/>
    </xf>
    <xf numFmtId="3" fontId="4" fillId="6" borderId="35" xfId="0" applyNumberFormat="1" applyFont="1" applyFill="1" applyBorder="1" applyAlignment="1">
      <alignment horizontal="right" vertical="top"/>
    </xf>
    <xf numFmtId="3" fontId="2" fillId="4" borderId="27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right" vertical="top"/>
    </xf>
    <xf numFmtId="3" fontId="2" fillId="6" borderId="126" xfId="0" applyNumberFormat="1" applyFont="1" applyFill="1" applyBorder="1" applyAlignment="1">
      <alignment horizontal="right" vertical="top"/>
    </xf>
    <xf numFmtId="3" fontId="4" fillId="4" borderId="101" xfId="0" applyNumberFormat="1" applyFont="1" applyFill="1" applyBorder="1" applyAlignment="1">
      <alignment horizontal="right" vertical="top"/>
    </xf>
    <xf numFmtId="3" fontId="4" fillId="4" borderId="95" xfId="0" applyNumberFormat="1" applyFont="1" applyFill="1" applyBorder="1" applyAlignment="1">
      <alignment horizontal="right" vertical="top"/>
    </xf>
    <xf numFmtId="3" fontId="2" fillId="6" borderId="115" xfId="0" applyNumberFormat="1" applyFont="1" applyFill="1" applyBorder="1" applyAlignment="1">
      <alignment horizontal="right" vertical="top"/>
    </xf>
    <xf numFmtId="3" fontId="4" fillId="4" borderId="125" xfId="0" applyNumberFormat="1" applyFont="1" applyFill="1" applyBorder="1" applyAlignment="1">
      <alignment horizontal="right" vertical="top"/>
    </xf>
    <xf numFmtId="3" fontId="4" fillId="4" borderId="126" xfId="0" applyNumberFormat="1" applyFont="1" applyFill="1" applyBorder="1" applyAlignment="1">
      <alignment horizontal="right" vertical="top"/>
    </xf>
    <xf numFmtId="3" fontId="2" fillId="6" borderId="116" xfId="0" applyNumberFormat="1" applyFont="1" applyFill="1" applyBorder="1" applyAlignment="1">
      <alignment horizontal="right" vertical="top"/>
    </xf>
    <xf numFmtId="3" fontId="2" fillId="0" borderId="105" xfId="0" applyNumberFormat="1" applyFont="1" applyFill="1" applyBorder="1" applyAlignment="1">
      <alignment horizontal="right" vertical="top"/>
    </xf>
    <xf numFmtId="3" fontId="2" fillId="0" borderId="116" xfId="0" applyNumberFormat="1" applyFont="1" applyFill="1" applyBorder="1" applyAlignment="1">
      <alignment horizontal="right" vertical="top"/>
    </xf>
    <xf numFmtId="3" fontId="2" fillId="0" borderId="101" xfId="0" applyNumberFormat="1" applyFont="1" applyFill="1" applyBorder="1" applyAlignment="1">
      <alignment horizontal="right" vertical="top"/>
    </xf>
    <xf numFmtId="3" fontId="2" fillId="0" borderId="95" xfId="0" applyNumberFormat="1" applyFont="1" applyFill="1" applyBorder="1" applyAlignment="1">
      <alignment horizontal="right" vertical="top"/>
    </xf>
    <xf numFmtId="3" fontId="4" fillId="2" borderId="23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right" vertical="top"/>
    </xf>
    <xf numFmtId="3" fontId="2" fillId="6" borderId="53" xfId="0" applyNumberFormat="1" applyFont="1" applyFill="1" applyBorder="1" applyAlignment="1">
      <alignment horizontal="right" vertical="top"/>
    </xf>
    <xf numFmtId="3" fontId="4" fillId="6" borderId="69" xfId="0" applyNumberFormat="1" applyFont="1" applyFill="1" applyBorder="1" applyAlignment="1">
      <alignment horizontal="right" vertical="top"/>
    </xf>
    <xf numFmtId="3" fontId="2" fillId="4" borderId="42" xfId="0" applyNumberFormat="1" applyFont="1" applyFill="1" applyBorder="1" applyAlignment="1">
      <alignment horizontal="right" vertical="top"/>
    </xf>
    <xf numFmtId="3" fontId="2" fillId="4" borderId="44" xfId="0" applyNumberFormat="1" applyFont="1" applyFill="1" applyBorder="1" applyAlignment="1">
      <alignment horizontal="right" vertical="top"/>
    </xf>
    <xf numFmtId="3" fontId="4" fillId="6" borderId="11" xfId="0" applyNumberFormat="1" applyFont="1" applyFill="1" applyBorder="1" applyAlignment="1">
      <alignment horizontal="right" vertical="top"/>
    </xf>
    <xf numFmtId="3" fontId="2" fillId="0" borderId="38" xfId="0" applyNumberFormat="1" applyFont="1" applyFill="1" applyBorder="1" applyAlignment="1">
      <alignment horizontal="right" vertical="top"/>
    </xf>
    <xf numFmtId="3" fontId="2" fillId="0" borderId="107" xfId="0" applyNumberFormat="1" applyFont="1" applyFill="1" applyBorder="1" applyAlignment="1">
      <alignment horizontal="right" vertical="top"/>
    </xf>
    <xf numFmtId="3" fontId="13" fillId="6" borderId="26" xfId="0" applyNumberFormat="1" applyFont="1" applyFill="1" applyBorder="1" applyAlignment="1">
      <alignment horizontal="right" vertical="top"/>
    </xf>
    <xf numFmtId="3" fontId="13" fillId="3" borderId="38" xfId="0" applyNumberFormat="1" applyFont="1" applyFill="1" applyBorder="1" applyAlignment="1">
      <alignment horizontal="right" vertical="top"/>
    </xf>
    <xf numFmtId="3" fontId="4" fillId="4" borderId="26" xfId="0" applyNumberFormat="1" applyFont="1" applyFill="1" applyBorder="1" applyAlignment="1">
      <alignment horizontal="right" vertical="top"/>
    </xf>
    <xf numFmtId="3" fontId="13" fillId="6" borderId="48" xfId="0" applyNumberFormat="1" applyFont="1" applyFill="1" applyBorder="1" applyAlignment="1">
      <alignment horizontal="right" vertical="top"/>
    </xf>
    <xf numFmtId="3" fontId="13" fillId="4" borderId="53" xfId="0" applyNumberFormat="1" applyFont="1" applyFill="1" applyBorder="1" applyAlignment="1">
      <alignment horizontal="right" vertical="top"/>
    </xf>
    <xf numFmtId="3" fontId="15" fillId="6" borderId="45" xfId="0" applyNumberFormat="1" applyFont="1" applyFill="1" applyBorder="1" applyAlignment="1">
      <alignment horizontal="right" vertical="top"/>
    </xf>
    <xf numFmtId="3" fontId="4" fillId="8" borderId="36" xfId="0" applyNumberFormat="1" applyFont="1" applyFill="1" applyBorder="1" applyAlignment="1">
      <alignment horizontal="right" vertical="top"/>
    </xf>
    <xf numFmtId="3" fontId="4" fillId="8" borderId="8" xfId="0" applyNumberFormat="1" applyFont="1" applyFill="1" applyBorder="1" applyAlignment="1">
      <alignment horizontal="right" vertical="top"/>
    </xf>
    <xf numFmtId="3" fontId="4" fillId="5" borderId="36" xfId="0" applyNumberFormat="1" applyFont="1" applyFill="1" applyBorder="1" applyAlignment="1">
      <alignment horizontal="right" vertical="top"/>
    </xf>
    <xf numFmtId="3" fontId="4" fillId="5" borderId="8" xfId="0" applyNumberFormat="1" applyFont="1" applyFill="1" applyBorder="1" applyAlignment="1">
      <alignment horizontal="right" vertical="top"/>
    </xf>
    <xf numFmtId="3" fontId="4" fillId="5" borderId="44" xfId="0" applyNumberFormat="1" applyFont="1" applyFill="1" applyBorder="1" applyAlignment="1">
      <alignment horizontal="right" vertical="top" wrapText="1"/>
    </xf>
    <xf numFmtId="3" fontId="4" fillId="6" borderId="44" xfId="0" applyNumberFormat="1" applyFont="1" applyFill="1" applyBorder="1" applyAlignment="1">
      <alignment horizontal="right" vertical="top" wrapText="1"/>
    </xf>
    <xf numFmtId="3" fontId="4" fillId="5" borderId="48" xfId="0" applyNumberFormat="1" applyFont="1" applyFill="1" applyBorder="1" applyAlignment="1">
      <alignment horizontal="right" vertical="top" wrapText="1"/>
    </xf>
    <xf numFmtId="3" fontId="4" fillId="6" borderId="28" xfId="0" applyNumberFormat="1" applyFont="1" applyFill="1" applyBorder="1" applyAlignment="1">
      <alignment horizontal="right" vertical="top" wrapText="1"/>
    </xf>
    <xf numFmtId="0" fontId="18" fillId="0" borderId="8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top"/>
    </xf>
    <xf numFmtId="3" fontId="2" fillId="4" borderId="0" xfId="0" applyNumberFormat="1" applyFont="1" applyFill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center" textRotation="90" wrapText="1"/>
    </xf>
    <xf numFmtId="49" fontId="4" fillId="0" borderId="15" xfId="0" applyNumberFormat="1" applyFont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top"/>
    </xf>
    <xf numFmtId="3" fontId="2" fillId="6" borderId="28" xfId="0" applyNumberFormat="1" applyFont="1" applyFill="1" applyBorder="1" applyAlignment="1">
      <alignment horizontal="right" vertical="top"/>
    </xf>
    <xf numFmtId="3" fontId="2" fillId="0" borderId="68" xfId="0" applyNumberFormat="1" applyFont="1" applyFill="1" applyBorder="1" applyAlignment="1">
      <alignment horizontal="right" vertical="top"/>
    </xf>
    <xf numFmtId="3" fontId="2" fillId="0" borderId="28" xfId="0" applyNumberFormat="1" applyFont="1" applyFill="1" applyBorder="1" applyAlignment="1">
      <alignment horizontal="right" vertical="top"/>
    </xf>
    <xf numFmtId="0" fontId="2" fillId="0" borderId="69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center" vertical="top"/>
    </xf>
    <xf numFmtId="49" fontId="4" fillId="0" borderId="25" xfId="0" applyNumberFormat="1" applyFont="1" applyBorder="1" applyAlignment="1">
      <alignment horizontal="center" vertical="top"/>
    </xf>
    <xf numFmtId="0" fontId="2" fillId="0" borderId="71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2" fillId="0" borderId="100" xfId="0" applyFont="1" applyFill="1" applyBorder="1" applyAlignment="1">
      <alignment horizontal="left" vertical="top" wrapText="1"/>
    </xf>
    <xf numFmtId="0" fontId="2" fillId="0" borderId="107" xfId="0" applyFont="1" applyBorder="1" applyAlignment="1">
      <alignment horizontal="center" vertical="top"/>
    </xf>
    <xf numFmtId="0" fontId="2" fillId="0" borderId="97" xfId="0" applyFont="1" applyBorder="1" applyAlignment="1">
      <alignment horizontal="center" vertical="top"/>
    </xf>
    <xf numFmtId="0" fontId="2" fillId="0" borderId="103" xfId="0" applyFont="1" applyBorder="1" applyAlignment="1">
      <alignment horizontal="center" vertical="top"/>
    </xf>
    <xf numFmtId="0" fontId="2" fillId="0" borderId="100" xfId="0" applyFont="1" applyFill="1" applyBorder="1" applyAlignment="1">
      <alignment vertical="top" wrapText="1"/>
    </xf>
    <xf numFmtId="3" fontId="2" fillId="0" borderId="98" xfId="0" applyNumberFormat="1" applyFont="1" applyFill="1" applyBorder="1" applyAlignment="1">
      <alignment horizontal="center" vertical="top"/>
    </xf>
    <xf numFmtId="3" fontId="2" fillId="0" borderId="103" xfId="0" applyNumberFormat="1" applyFont="1" applyFill="1" applyBorder="1" applyAlignment="1">
      <alignment horizontal="center" vertical="top"/>
    </xf>
    <xf numFmtId="3" fontId="2" fillId="4" borderId="60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vertical="center" textRotation="90"/>
    </xf>
    <xf numFmtId="0" fontId="20" fillId="0" borderId="25" xfId="0" applyFont="1" applyBorder="1" applyAlignment="1">
      <alignment vertical="center" textRotation="90"/>
    </xf>
    <xf numFmtId="0" fontId="2" fillId="0" borderId="60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49" fontId="4" fillId="0" borderId="124" xfId="0" applyNumberFormat="1" applyFont="1" applyBorder="1" applyAlignment="1">
      <alignment horizontal="center" vertical="top"/>
    </xf>
    <xf numFmtId="0" fontId="9" fillId="0" borderId="125" xfId="0" applyFont="1" applyFill="1" applyBorder="1" applyAlignment="1">
      <alignment horizontal="center" vertical="top"/>
    </xf>
    <xf numFmtId="3" fontId="2" fillId="4" borderId="126" xfId="0" applyNumberFormat="1" applyFont="1" applyFill="1" applyBorder="1" applyAlignment="1">
      <alignment horizontal="right" vertical="top"/>
    </xf>
    <xf numFmtId="49" fontId="4" fillId="0" borderId="84" xfId="0" applyNumberFormat="1" applyFont="1" applyBorder="1" applyAlignment="1">
      <alignment vertical="top"/>
    </xf>
    <xf numFmtId="0" fontId="2" fillId="0" borderId="96" xfId="0" applyFont="1" applyFill="1" applyBorder="1" applyAlignment="1">
      <alignment horizontal="left" vertical="center" wrapText="1"/>
    </xf>
    <xf numFmtId="0" fontId="2" fillId="0" borderId="112" xfId="0" applyFont="1" applyFill="1" applyBorder="1" applyAlignment="1">
      <alignment horizontal="center" vertical="top" wrapText="1"/>
    </xf>
    <xf numFmtId="49" fontId="4" fillId="0" borderId="114" xfId="0" applyNumberFormat="1" applyFont="1" applyBorder="1" applyAlignment="1">
      <alignment horizontal="center" vertical="top"/>
    </xf>
    <xf numFmtId="0" fontId="9" fillId="0" borderId="118" xfId="0" applyFont="1" applyFill="1" applyBorder="1" applyAlignment="1">
      <alignment horizontal="center" vertical="top"/>
    </xf>
    <xf numFmtId="3" fontId="2" fillId="6" borderId="127" xfId="0" applyNumberFormat="1" applyFont="1" applyFill="1" applyBorder="1" applyAlignment="1">
      <alignment horizontal="center" vertical="top"/>
    </xf>
    <xf numFmtId="3" fontId="2" fillId="0" borderId="110" xfId="0" applyNumberFormat="1" applyFont="1" applyFill="1" applyBorder="1" applyAlignment="1">
      <alignment horizontal="center" vertical="top"/>
    </xf>
    <xf numFmtId="3" fontId="2" fillId="0" borderId="118" xfId="0" applyNumberFormat="1" applyFont="1" applyFill="1" applyBorder="1" applyAlignment="1">
      <alignment horizontal="center" vertical="top"/>
    </xf>
    <xf numFmtId="0" fontId="2" fillId="0" borderId="110" xfId="0" applyFont="1" applyFill="1" applyBorder="1" applyAlignment="1">
      <alignment vertical="top" wrapText="1"/>
    </xf>
    <xf numFmtId="0" fontId="2" fillId="0" borderId="112" xfId="0" applyFont="1" applyFill="1" applyBorder="1" applyAlignment="1">
      <alignment vertical="top" wrapText="1"/>
    </xf>
    <xf numFmtId="3" fontId="2" fillId="0" borderId="113" xfId="0" applyNumberFormat="1" applyFont="1" applyFill="1" applyBorder="1" applyAlignment="1">
      <alignment horizontal="center" vertical="top"/>
    </xf>
    <xf numFmtId="3" fontId="2" fillId="6" borderId="72" xfId="0" applyNumberFormat="1" applyFont="1" applyFill="1" applyBorder="1" applyAlignment="1">
      <alignment horizontal="right" vertical="top"/>
    </xf>
    <xf numFmtId="49" fontId="4" fillId="0" borderId="98" xfId="0" applyNumberFormat="1" applyFont="1" applyBorder="1" applyAlignment="1">
      <alignment horizontal="center" vertical="top"/>
    </xf>
    <xf numFmtId="0" fontId="9" fillId="0" borderId="95" xfId="0" applyFont="1" applyFill="1" applyBorder="1" applyAlignment="1">
      <alignment horizontal="center" vertical="top"/>
    </xf>
    <xf numFmtId="3" fontId="2" fillId="6" borderId="100" xfId="0" applyNumberFormat="1" applyFont="1" applyFill="1" applyBorder="1" applyAlignment="1">
      <alignment horizontal="right" vertical="top"/>
    </xf>
    <xf numFmtId="0" fontId="2" fillId="0" borderId="101" xfId="0" applyFont="1" applyFill="1" applyBorder="1" applyAlignment="1">
      <alignment horizontal="left" vertical="top" wrapText="1"/>
    </xf>
    <xf numFmtId="0" fontId="9" fillId="0" borderId="97" xfId="0" applyFont="1" applyFill="1" applyBorder="1" applyAlignment="1">
      <alignment horizontal="center" vertical="top" wrapText="1"/>
    </xf>
    <xf numFmtId="0" fontId="9" fillId="0" borderId="116" xfId="0" applyFont="1" applyBorder="1" applyAlignment="1">
      <alignment horizontal="center" vertical="top" wrapText="1"/>
    </xf>
    <xf numFmtId="0" fontId="4" fillId="4" borderId="112" xfId="0" applyFont="1" applyFill="1" applyBorder="1" applyAlignment="1">
      <alignment horizontal="left" vertical="top" wrapText="1"/>
    </xf>
    <xf numFmtId="0" fontId="10" fillId="0" borderId="118" xfId="0" applyFont="1" applyFill="1" applyBorder="1" applyAlignment="1">
      <alignment horizontal="center" vertical="top"/>
    </xf>
    <xf numFmtId="3" fontId="4" fillId="6" borderId="118" xfId="0" applyNumberFormat="1" applyFont="1" applyFill="1" applyBorder="1" applyAlignment="1">
      <alignment horizontal="right" vertical="top"/>
    </xf>
    <xf numFmtId="3" fontId="2" fillId="0" borderId="110" xfId="0" applyNumberFormat="1" applyFont="1" applyFill="1" applyBorder="1" applyAlignment="1">
      <alignment horizontal="right" vertical="top"/>
    </xf>
    <xf numFmtId="3" fontId="2" fillId="0" borderId="118" xfId="0" applyNumberFormat="1" applyFont="1" applyFill="1" applyBorder="1" applyAlignment="1">
      <alignment horizontal="right" vertical="top"/>
    </xf>
    <xf numFmtId="49" fontId="4" fillId="0" borderId="25" xfId="0" applyNumberFormat="1" applyFont="1" applyBorder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vertical="center" textRotation="90"/>
    </xf>
    <xf numFmtId="0" fontId="2" fillId="3" borderId="80" xfId="0" applyFont="1" applyFill="1" applyBorder="1" applyAlignment="1">
      <alignment horizontal="left" vertical="top" wrapText="1"/>
    </xf>
    <xf numFmtId="3" fontId="2" fillId="3" borderId="83" xfId="0" applyNumberFormat="1" applyFont="1" applyFill="1" applyBorder="1" applyAlignment="1">
      <alignment horizontal="center" vertical="top"/>
    </xf>
    <xf numFmtId="3" fontId="2" fillId="3" borderId="81" xfId="0" applyNumberFormat="1" applyFont="1" applyFill="1" applyBorder="1" applyAlignment="1">
      <alignment horizontal="center" vertical="top"/>
    </xf>
    <xf numFmtId="3" fontId="2" fillId="3" borderId="86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left" wrapText="1"/>
    </xf>
    <xf numFmtId="0" fontId="2" fillId="0" borderId="111" xfId="0" applyFont="1" applyFill="1" applyBorder="1" applyAlignment="1">
      <alignment horizontal="left" wrapText="1"/>
    </xf>
    <xf numFmtId="3" fontId="2" fillId="0" borderId="112" xfId="0" applyNumberFormat="1" applyFont="1" applyFill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2" fillId="0" borderId="22" xfId="0" applyFont="1" applyBorder="1" applyAlignment="1">
      <alignment horizontal="center" vertical="center" textRotation="90" shrinkToFit="1"/>
    </xf>
    <xf numFmtId="0" fontId="2" fillId="0" borderId="18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7" xfId="0" applyFont="1" applyBorder="1" applyAlignment="1">
      <alignment horizontal="center" vertical="center" textRotation="90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41" xfId="0" applyFont="1" applyBorder="1" applyAlignment="1">
      <alignment horizontal="center" vertical="center" textRotation="90" shrinkToFit="1"/>
    </xf>
    <xf numFmtId="0" fontId="4" fillId="5" borderId="52" xfId="0" applyFont="1" applyFill="1" applyBorder="1" applyAlignment="1">
      <alignment horizontal="left" vertical="top" wrapText="1"/>
    </xf>
    <xf numFmtId="0" fontId="4" fillId="5" borderId="53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4" fillId="8" borderId="54" xfId="0" applyFont="1" applyFill="1" applyBorder="1" applyAlignment="1">
      <alignment horizontal="left" vertical="top"/>
    </xf>
    <xf numFmtId="0" fontId="4" fillId="8" borderId="53" xfId="0" applyFont="1" applyFill="1" applyBorder="1" applyAlignment="1">
      <alignment horizontal="left" vertical="top"/>
    </xf>
    <xf numFmtId="0" fontId="4" fillId="8" borderId="49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 wrapText="1"/>
    </xf>
    <xf numFmtId="0" fontId="4" fillId="2" borderId="53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0" borderId="119" xfId="0" applyFont="1" applyBorder="1" applyAlignment="1">
      <alignment vertical="top"/>
    </xf>
    <xf numFmtId="0" fontId="0" fillId="0" borderId="23" xfId="0" applyBorder="1" applyAlignment="1">
      <alignment vertical="top"/>
    </xf>
    <xf numFmtId="0" fontId="2" fillId="4" borderId="25" xfId="0" applyFont="1" applyFill="1" applyBorder="1" applyAlignment="1">
      <alignment horizontal="left" vertical="top" wrapText="1"/>
    </xf>
    <xf numFmtId="0" fontId="2" fillId="4" borderId="41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49" fontId="4" fillId="7" borderId="50" xfId="0" applyNumberFormat="1" applyFont="1" applyFill="1" applyBorder="1" applyAlignment="1">
      <alignment horizontal="left" vertical="top" wrapText="1"/>
    </xf>
    <xf numFmtId="49" fontId="4" fillId="7" borderId="9" xfId="0" applyNumberFormat="1" applyFont="1" applyFill="1" applyBorder="1" applyAlignment="1">
      <alignment horizontal="left" vertical="top" wrapText="1"/>
    </xf>
    <xf numFmtId="49" fontId="4" fillId="7" borderId="51" xfId="0" applyNumberFormat="1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 textRotation="90" shrinkToFit="1"/>
    </xf>
    <xf numFmtId="0" fontId="2" fillId="0" borderId="27" xfId="0" applyFont="1" applyBorder="1" applyAlignment="1">
      <alignment horizontal="center" vertical="center" textRotation="90" shrinkToFit="1"/>
    </xf>
    <xf numFmtId="0" fontId="2" fillId="0" borderId="45" xfId="0" applyFont="1" applyBorder="1" applyAlignment="1">
      <alignment horizontal="center" vertical="center" textRotation="90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" fillId="0" borderId="17" xfId="0" applyNumberFormat="1" applyFont="1" applyBorder="1" applyAlignment="1">
      <alignment horizontal="center" vertical="center" textRotation="90" shrinkToFit="1"/>
    </xf>
    <xf numFmtId="0" fontId="2" fillId="0" borderId="19" xfId="0" applyNumberFormat="1" applyFont="1" applyBorder="1" applyAlignment="1">
      <alignment horizontal="center" vertical="center" textRotation="90" shrinkToFit="1"/>
    </xf>
    <xf numFmtId="0" fontId="2" fillId="0" borderId="20" xfId="0" applyNumberFormat="1" applyFont="1" applyBorder="1" applyAlignment="1">
      <alignment horizontal="center" vertical="center" textRotation="90" shrinkToFit="1"/>
    </xf>
    <xf numFmtId="0" fontId="2" fillId="0" borderId="43" xfId="0" applyFont="1" applyBorder="1" applyAlignment="1">
      <alignment horizontal="center" vertical="center" textRotation="90" wrapText="1" shrinkToFit="1" readingOrder="1"/>
    </xf>
    <xf numFmtId="0" fontId="0" fillId="0" borderId="27" xfId="0" applyBorder="1" applyAlignment="1">
      <alignment horizontal="center" vertical="center" textRotation="90" wrapText="1" shrinkToFit="1" readingOrder="1"/>
    </xf>
    <xf numFmtId="0" fontId="0" fillId="0" borderId="45" xfId="0" applyBorder="1" applyAlignment="1">
      <alignment horizontal="center" vertical="center" textRotation="90" wrapText="1" shrinkToFit="1" readingOrder="1"/>
    </xf>
    <xf numFmtId="49" fontId="4" fillId="0" borderId="3" xfId="0" applyNumberFormat="1" applyFont="1" applyBorder="1" applyAlignment="1">
      <alignment horizontal="center" vertical="top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18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4" fillId="4" borderId="40" xfId="0" applyFont="1" applyFill="1" applyBorder="1" applyAlignment="1">
      <alignment vertical="top" wrapText="1"/>
    </xf>
    <xf numFmtId="0" fontId="4" fillId="4" borderId="2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vertical="top" wrapText="1"/>
    </xf>
    <xf numFmtId="49" fontId="8" fillId="0" borderId="25" xfId="0" applyNumberFormat="1" applyFont="1" applyBorder="1" applyAlignment="1">
      <alignment horizontal="center" vertical="top"/>
    </xf>
    <xf numFmtId="0" fontId="2" fillId="4" borderId="4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11" fillId="4" borderId="120" xfId="0" applyFont="1" applyFill="1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textRotation="90" wrapText="1"/>
    </xf>
    <xf numFmtId="0" fontId="17" fillId="0" borderId="7" xfId="0" applyFont="1" applyBorder="1" applyAlignment="1">
      <alignment horizontal="center" vertical="top" textRotation="90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7" xfId="0" applyNumberFormat="1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horizontal="center" vertical="center" textRotation="90" wrapText="1"/>
    </xf>
    <xf numFmtId="49" fontId="4" fillId="2" borderId="8" xfId="0" applyNumberFormat="1" applyFont="1" applyFill="1" applyBorder="1" applyAlignment="1">
      <alignment horizontal="right" vertical="top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8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0" fontId="2" fillId="4" borderId="40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2" fillId="4" borderId="41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textRotation="90" wrapText="1"/>
    </xf>
    <xf numFmtId="0" fontId="9" fillId="0" borderId="4" xfId="0" applyFont="1" applyFill="1" applyBorder="1" applyAlignment="1">
      <alignment horizontal="center" vertical="top" textRotation="90" wrapText="1"/>
    </xf>
    <xf numFmtId="0" fontId="9" fillId="0" borderId="7" xfId="0" applyFont="1" applyFill="1" applyBorder="1" applyAlignment="1">
      <alignment horizontal="center" vertical="top" textRotation="90" wrapText="1"/>
    </xf>
    <xf numFmtId="0" fontId="2" fillId="0" borderId="71" xfId="0" applyFont="1" applyFill="1" applyBorder="1" applyAlignment="1">
      <alignment vertical="top" wrapText="1"/>
    </xf>
    <xf numFmtId="0" fontId="2" fillId="0" borderId="72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2" fillId="0" borderId="72" xfId="0" applyFont="1" applyBorder="1" applyAlignment="1">
      <alignment vertical="top" wrapText="1"/>
    </xf>
    <xf numFmtId="0" fontId="0" fillId="0" borderId="72" xfId="0" applyBorder="1" applyAlignment="1">
      <alignment wrapText="1"/>
    </xf>
    <xf numFmtId="0" fontId="2" fillId="4" borderId="120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0" fillId="0" borderId="91" xfId="0" applyBorder="1" applyAlignment="1">
      <alignment vertical="top" wrapText="1"/>
    </xf>
    <xf numFmtId="0" fontId="9" fillId="0" borderId="120" xfId="0" applyFont="1" applyFill="1" applyBorder="1" applyAlignment="1">
      <alignment vertical="center" textRotation="90"/>
    </xf>
    <xf numFmtId="0" fontId="9" fillId="0" borderId="25" xfId="0" applyFont="1" applyFill="1" applyBorder="1" applyAlignment="1">
      <alignment vertical="center" textRotation="90"/>
    </xf>
    <xf numFmtId="0" fontId="0" fillId="0" borderId="92" xfId="0" applyBorder="1" applyAlignment="1">
      <alignment vertical="center" textRotation="90"/>
    </xf>
    <xf numFmtId="0" fontId="0" fillId="0" borderId="7" xfId="0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4" fillId="0" borderId="3" xfId="0" applyFont="1" applyFill="1" applyBorder="1" applyAlignment="1">
      <alignment horizontal="center" vertical="top" textRotation="90" wrapText="1"/>
    </xf>
    <xf numFmtId="0" fontId="24" fillId="0" borderId="7" xfId="0" applyFont="1" applyFill="1" applyBorder="1" applyAlignment="1">
      <alignment horizontal="center" vertical="top" textRotation="90" wrapText="1"/>
    </xf>
    <xf numFmtId="0" fontId="2" fillId="0" borderId="71" xfId="0" applyFont="1" applyFill="1" applyBorder="1" applyAlignment="1">
      <alignment horizontal="left" vertical="top" wrapText="1"/>
    </xf>
    <xf numFmtId="0" fontId="7" fillId="0" borderId="73" xfId="0" applyFont="1" applyBorder="1" applyAlignment="1">
      <alignment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6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center" vertical="top"/>
    </xf>
    <xf numFmtId="49" fontId="4" fillId="0" borderId="25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0" fontId="2" fillId="0" borderId="72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right" vertical="top"/>
    </xf>
    <xf numFmtId="0" fontId="2" fillId="2" borderId="4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9" fillId="3" borderId="3" xfId="0" applyFont="1" applyFill="1" applyBorder="1" applyAlignment="1">
      <alignment horizontal="left" vertical="center" textRotation="90" wrapText="1"/>
    </xf>
    <xf numFmtId="0" fontId="20" fillId="0" borderId="4" xfId="0" applyFont="1" applyBorder="1" applyAlignment="1">
      <alignment wrapText="1"/>
    </xf>
    <xf numFmtId="0" fontId="20" fillId="0" borderId="7" xfId="0" applyFont="1" applyBorder="1" applyAlignment="1"/>
    <xf numFmtId="0" fontId="2" fillId="0" borderId="6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62" xfId="0" applyFont="1" applyBorder="1" applyAlignment="1">
      <alignment horizontal="left" vertical="top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49" fontId="4" fillId="0" borderId="40" xfId="0" applyNumberFormat="1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41" xfId="0" applyNumberFormat="1" applyFont="1" applyBorder="1" applyAlignment="1">
      <alignment horizontal="center" vertical="top" wrapText="1"/>
    </xf>
    <xf numFmtId="0" fontId="4" fillId="6" borderId="46" xfId="0" applyFont="1" applyFill="1" applyBorder="1" applyAlignment="1">
      <alignment horizontal="right" vertical="top" wrapText="1"/>
    </xf>
    <xf numFmtId="0" fontId="4" fillId="6" borderId="11" xfId="0" applyFont="1" applyFill="1" applyBorder="1" applyAlignment="1">
      <alignment horizontal="right" vertical="top" wrapText="1"/>
    </xf>
    <xf numFmtId="0" fontId="4" fillId="6" borderId="24" xfId="0" applyFont="1" applyFill="1" applyBorder="1" applyAlignment="1">
      <alignment horizontal="right" vertical="top" wrapText="1"/>
    </xf>
    <xf numFmtId="0" fontId="2" fillId="3" borderId="61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2" xfId="0" applyFont="1" applyFill="1" applyBorder="1" applyAlignment="1">
      <alignment horizontal="left" vertical="top" wrapText="1"/>
    </xf>
    <xf numFmtId="0" fontId="2" fillId="6" borderId="52" xfId="0" applyFont="1" applyFill="1" applyBorder="1" applyAlignment="1">
      <alignment horizontal="left" vertical="top" wrapText="1"/>
    </xf>
    <xf numFmtId="0" fontId="2" fillId="6" borderId="53" xfId="0" applyFont="1" applyFill="1" applyBorder="1" applyAlignment="1">
      <alignment horizontal="left" vertical="top" wrapText="1"/>
    </xf>
    <xf numFmtId="0" fontId="2" fillId="6" borderId="49" xfId="0" applyFont="1" applyFill="1" applyBorder="1" applyAlignment="1">
      <alignment horizontal="left" vertical="top" wrapText="1"/>
    </xf>
    <xf numFmtId="0" fontId="4" fillId="5" borderId="52" xfId="0" applyFont="1" applyFill="1" applyBorder="1" applyAlignment="1">
      <alignment horizontal="right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49" xfId="0" applyFont="1" applyFill="1" applyBorder="1" applyAlignment="1">
      <alignment horizontal="righ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4" fillId="2" borderId="10" xfId="0" applyNumberFormat="1" applyFont="1" applyFill="1" applyBorder="1" applyAlignment="1">
      <alignment horizontal="right" vertical="top"/>
    </xf>
    <xf numFmtId="49" fontId="14" fillId="8" borderId="50" xfId="0" applyNumberFormat="1" applyFont="1" applyFill="1" applyBorder="1" applyAlignment="1">
      <alignment horizontal="center" vertical="top"/>
    </xf>
    <xf numFmtId="49" fontId="14" fillId="8" borderId="52" xfId="0" applyNumberFormat="1" applyFont="1" applyFill="1" applyBorder="1" applyAlignment="1">
      <alignment horizontal="center" vertical="top"/>
    </xf>
    <xf numFmtId="49" fontId="14" fillId="8" borderId="68" xfId="0" applyNumberFormat="1" applyFont="1" applyFill="1" applyBorder="1" applyAlignment="1">
      <alignment horizontal="center" vertical="top"/>
    </xf>
    <xf numFmtId="49" fontId="14" fillId="2" borderId="2" xfId="0" applyNumberFormat="1" applyFont="1" applyFill="1" applyBorder="1" applyAlignment="1">
      <alignment horizontal="center" vertical="top"/>
    </xf>
    <xf numFmtId="49" fontId="14" fillId="2" borderId="13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4" borderId="9" xfId="0" applyNumberFormat="1" applyFont="1" applyFill="1" applyBorder="1" applyAlignment="1">
      <alignment horizontal="center" vertical="top"/>
    </xf>
    <xf numFmtId="49" fontId="14" fillId="4" borderId="53" xfId="0" applyNumberFormat="1" applyFont="1" applyFill="1" applyBorder="1" applyAlignment="1">
      <alignment horizontal="center" vertical="top"/>
    </xf>
    <xf numFmtId="49" fontId="14" fillId="4" borderId="69" xfId="0" applyNumberFormat="1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 wrapText="1"/>
    </xf>
    <xf numFmtId="0" fontId="4" fillId="4" borderId="54" xfId="0" applyFont="1" applyFill="1" applyBorder="1" applyAlignment="1">
      <alignment horizontal="left" vertical="top" wrapText="1"/>
    </xf>
    <xf numFmtId="0" fontId="4" fillId="4" borderId="74" xfId="0" applyFont="1" applyFill="1" applyBorder="1" applyAlignment="1">
      <alignment horizontal="left" vertical="top" wrapText="1"/>
    </xf>
    <xf numFmtId="164" fontId="18" fillId="0" borderId="2" xfId="0" applyNumberFormat="1" applyFont="1" applyFill="1" applyBorder="1" applyAlignment="1">
      <alignment horizontal="center" vertical="center" textRotation="90" wrapText="1"/>
    </xf>
    <xf numFmtId="164" fontId="1" fillId="0" borderId="13" xfId="0" applyNumberFormat="1" applyFont="1" applyFill="1" applyBorder="1" applyAlignment="1">
      <alignment horizontal="center" vertical="center" textRotation="90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0" fontId="2" fillId="0" borderId="17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4" fillId="6" borderId="52" xfId="0" applyFont="1" applyFill="1" applyBorder="1" applyAlignment="1">
      <alignment horizontal="right" wrapText="1"/>
    </xf>
    <xf numFmtId="0" fontId="0" fillId="6" borderId="53" xfId="0" applyFill="1" applyBorder="1" applyAlignment="1">
      <alignment horizontal="right" wrapText="1"/>
    </xf>
    <xf numFmtId="0" fontId="0" fillId="6" borderId="49" xfId="0" applyFill="1" applyBorder="1" applyAlignment="1">
      <alignment horizontal="right" wrapText="1"/>
    </xf>
    <xf numFmtId="0" fontId="2" fillId="0" borderId="57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right" vertical="top" wrapText="1"/>
    </xf>
    <xf numFmtId="0" fontId="4" fillId="5" borderId="42" xfId="0" applyFont="1" applyFill="1" applyBorder="1" applyAlignment="1">
      <alignment horizontal="right" vertical="top" wrapText="1"/>
    </xf>
    <xf numFmtId="0" fontId="4" fillId="5" borderId="58" xfId="0" applyFont="1" applyFill="1" applyBorder="1" applyAlignment="1">
      <alignment horizontal="right" vertical="top" wrapText="1"/>
    </xf>
    <xf numFmtId="49" fontId="4" fillId="8" borderId="10" xfId="0" applyNumberFormat="1" applyFont="1" applyFill="1" applyBorder="1" applyAlignment="1">
      <alignment horizontal="right" vertical="top"/>
    </xf>
    <xf numFmtId="49" fontId="4" fillId="8" borderId="8" xfId="0" applyNumberFormat="1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13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/>
    </xf>
    <xf numFmtId="0" fontId="2" fillId="8" borderId="21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4" borderId="71" xfId="0" applyFont="1" applyFill="1" applyBorder="1" applyAlignment="1">
      <alignment vertical="top" wrapText="1"/>
    </xf>
    <xf numFmtId="0" fontId="2" fillId="4" borderId="72" xfId="0" applyFont="1" applyFill="1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0" fillId="0" borderId="7" xfId="0" applyBorder="1" applyAlignment="1">
      <alignment vertical="center" textRotation="90"/>
    </xf>
    <xf numFmtId="164" fontId="2" fillId="6" borderId="52" xfId="0" applyNumberFormat="1" applyFont="1" applyFill="1" applyBorder="1" applyAlignment="1">
      <alignment horizontal="center" vertical="top" wrapText="1"/>
    </xf>
    <xf numFmtId="164" fontId="2" fillId="6" borderId="53" xfId="0" applyNumberFormat="1" applyFont="1" applyFill="1" applyBorder="1" applyAlignment="1">
      <alignment horizontal="center" vertical="top" wrapText="1"/>
    </xf>
    <xf numFmtId="164" fontId="2" fillId="6" borderId="49" xfId="0" applyNumberFormat="1" applyFont="1" applyFill="1" applyBorder="1" applyAlignment="1">
      <alignment horizontal="center" vertical="top" wrapText="1"/>
    </xf>
    <xf numFmtId="164" fontId="4" fillId="6" borderId="52" xfId="0" applyNumberFormat="1" applyFont="1" applyFill="1" applyBorder="1" applyAlignment="1">
      <alignment horizontal="center" vertical="top" wrapText="1"/>
    </xf>
    <xf numFmtId="0" fontId="0" fillId="6" borderId="53" xfId="0" applyFill="1" applyBorder="1" applyAlignment="1">
      <alignment horizontal="center" vertical="top" wrapText="1"/>
    </xf>
    <xf numFmtId="0" fontId="0" fillId="6" borderId="49" xfId="0" applyFill="1" applyBorder="1" applyAlignment="1">
      <alignment horizontal="center" vertical="top" wrapText="1"/>
    </xf>
    <xf numFmtId="164" fontId="2" fillId="0" borderId="52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164" fontId="2" fillId="4" borderId="52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 wrapText="1"/>
    </xf>
    <xf numFmtId="164" fontId="2" fillId="4" borderId="49" xfId="0" applyNumberFormat="1" applyFont="1" applyFill="1" applyBorder="1" applyAlignment="1">
      <alignment horizontal="center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38" xfId="0" applyNumberFormat="1" applyFont="1" applyBorder="1" applyAlignment="1">
      <alignment vertical="top" wrapText="1"/>
    </xf>
    <xf numFmtId="49" fontId="14" fillId="8" borderId="75" xfId="0" applyNumberFormat="1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horizontal="center" vertical="top"/>
    </xf>
    <xf numFmtId="49" fontId="14" fillId="4" borderId="78" xfId="0" applyNumberFormat="1" applyFont="1" applyFill="1" applyBorder="1" applyAlignment="1">
      <alignment horizontal="center" vertical="top"/>
    </xf>
    <xf numFmtId="0" fontId="13" fillId="4" borderId="29" xfId="0" applyFont="1" applyFill="1" applyBorder="1" applyAlignment="1">
      <alignment horizontal="left" vertical="top" wrapText="1"/>
    </xf>
    <xf numFmtId="0" fontId="13" fillId="4" borderId="54" xfId="0" applyFont="1" applyFill="1" applyBorder="1" applyAlignment="1">
      <alignment horizontal="left" vertical="top" wrapText="1"/>
    </xf>
    <xf numFmtId="0" fontId="13" fillId="4" borderId="30" xfId="0" applyFont="1" applyFill="1" applyBorder="1" applyAlignment="1">
      <alignment horizontal="left" vertical="top" wrapText="1"/>
    </xf>
    <xf numFmtId="0" fontId="13" fillId="4" borderId="74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center" textRotation="90" wrapText="1"/>
    </xf>
    <xf numFmtId="164" fontId="2" fillId="0" borderId="13" xfId="0" applyNumberFormat="1" applyFont="1" applyFill="1" applyBorder="1" applyAlignment="1">
      <alignment horizontal="center" vertical="center" textRotation="90" wrapText="1"/>
    </xf>
    <xf numFmtId="164" fontId="2" fillId="0" borderId="12" xfId="0" applyNumberFormat="1" applyFont="1" applyFill="1" applyBorder="1" applyAlignment="1">
      <alignment horizontal="center" vertical="center" textRotation="90" wrapText="1"/>
    </xf>
    <xf numFmtId="164" fontId="2" fillId="0" borderId="5" xfId="0" applyNumberFormat="1" applyFont="1" applyFill="1" applyBorder="1" applyAlignment="1">
      <alignment horizontal="center" vertical="center" textRotation="90" wrapText="1"/>
    </xf>
    <xf numFmtId="49" fontId="13" fillId="0" borderId="2" xfId="0" applyNumberFormat="1" applyFont="1" applyFill="1" applyBorder="1" applyAlignment="1">
      <alignment horizontal="center" vertical="top"/>
    </xf>
    <xf numFmtId="49" fontId="13" fillId="0" borderId="13" xfId="0" applyNumberFormat="1" applyFont="1" applyFill="1" applyBorder="1" applyAlignment="1">
      <alignment horizontal="center" vertical="top"/>
    </xf>
    <xf numFmtId="49" fontId="13" fillId="0" borderId="12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64" fontId="4" fillId="6" borderId="68" xfId="0" applyNumberFormat="1" applyFont="1" applyFill="1" applyBorder="1" applyAlignment="1">
      <alignment horizontal="center" vertical="top" wrapText="1"/>
    </xf>
    <xf numFmtId="164" fontId="4" fillId="6" borderId="69" xfId="0" applyNumberFormat="1" applyFont="1" applyFill="1" applyBorder="1" applyAlignment="1">
      <alignment horizontal="center" vertical="top" wrapText="1"/>
    </xf>
    <xf numFmtId="164" fontId="4" fillId="6" borderId="70" xfId="0" applyNumberFormat="1" applyFont="1" applyFill="1" applyBorder="1" applyAlignment="1">
      <alignment horizontal="center" vertical="top" wrapText="1"/>
    </xf>
    <xf numFmtId="164" fontId="4" fillId="5" borderId="52" xfId="0" applyNumberFormat="1" applyFont="1" applyFill="1" applyBorder="1" applyAlignment="1">
      <alignment horizontal="center" vertical="top" wrapText="1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0" fontId="2" fillId="3" borderId="54" xfId="0" applyFont="1" applyFill="1" applyBorder="1" applyAlignment="1">
      <alignment horizontal="left" vertical="top" wrapText="1"/>
    </xf>
    <xf numFmtId="0" fontId="4" fillId="0" borderId="5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1" xfId="0" applyFont="1" applyFill="1" applyBorder="1" applyAlignment="1">
      <alignment horizontal="right" vertical="top" wrapText="1"/>
    </xf>
    <xf numFmtId="164" fontId="4" fillId="5" borderId="50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51" xfId="0" applyNumberFormat="1" applyFont="1" applyFill="1" applyBorder="1" applyAlignment="1">
      <alignment horizontal="center" vertical="top" wrapText="1"/>
    </xf>
    <xf numFmtId="0" fontId="10" fillId="9" borderId="11" xfId="0" applyFont="1" applyFill="1" applyBorder="1" applyAlignment="1">
      <alignment horizontal="right" vertical="top"/>
    </xf>
    <xf numFmtId="0" fontId="7" fillId="9" borderId="11" xfId="0" applyFont="1" applyFill="1" applyBorder="1" applyAlignment="1">
      <alignment horizontal="right" vertical="top"/>
    </xf>
    <xf numFmtId="0" fontId="2" fillId="0" borderId="34" xfId="0" applyNumberFormat="1" applyFont="1" applyFill="1" applyBorder="1" applyAlignment="1">
      <alignment horizontal="center" vertical="top"/>
    </xf>
    <xf numFmtId="0" fontId="2" fillId="0" borderId="63" xfId="0" applyNumberFormat="1" applyFont="1" applyFill="1" applyBorder="1" applyAlignment="1">
      <alignment horizontal="center" vertical="top"/>
    </xf>
    <xf numFmtId="0" fontId="2" fillId="4" borderId="71" xfId="0" applyFont="1" applyFill="1" applyBorder="1" applyAlignment="1">
      <alignment horizontal="left" vertical="top" wrapText="1"/>
    </xf>
    <xf numFmtId="0" fontId="2" fillId="4" borderId="72" xfId="0" applyFont="1" applyFill="1" applyBorder="1" applyAlignment="1">
      <alignment horizontal="left" vertical="top" wrapText="1"/>
    </xf>
    <xf numFmtId="0" fontId="2" fillId="4" borderId="73" xfId="0" applyFont="1" applyFill="1" applyBorder="1" applyAlignment="1">
      <alignment horizontal="left" vertical="top" wrapText="1"/>
    </xf>
    <xf numFmtId="0" fontId="2" fillId="0" borderId="40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10" fillId="9" borderId="69" xfId="0" applyFont="1" applyFill="1" applyBorder="1" applyAlignment="1">
      <alignment horizontal="right" vertical="top"/>
    </xf>
    <xf numFmtId="0" fontId="7" fillId="9" borderId="70" xfId="0" applyFont="1" applyFill="1" applyBorder="1" applyAlignment="1">
      <alignment horizontal="right" vertical="top"/>
    </xf>
    <xf numFmtId="0" fontId="0" fillId="9" borderId="24" xfId="0" applyFill="1" applyBorder="1" applyAlignment="1">
      <alignment horizontal="right" vertical="top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0" fontId="0" fillId="0" borderId="64" xfId="0" applyBorder="1" applyAlignment="1">
      <alignment horizontal="center" vertical="top"/>
    </xf>
    <xf numFmtId="0" fontId="9" fillId="0" borderId="4" xfId="0" applyFont="1" applyFill="1" applyBorder="1" applyAlignment="1">
      <alignment vertical="center" textRotation="90"/>
    </xf>
    <xf numFmtId="0" fontId="0" fillId="0" borderId="64" xfId="0" applyBorder="1" applyAlignment="1">
      <alignment vertical="center" textRotation="90"/>
    </xf>
    <xf numFmtId="49" fontId="2" fillId="0" borderId="34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4" borderId="1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2" fillId="0" borderId="75" xfId="0" applyFont="1" applyFill="1" applyBorder="1" applyAlignment="1">
      <alignment horizontal="left" vertical="top" wrapText="1"/>
    </xf>
    <xf numFmtId="0" fontId="2" fillId="0" borderId="57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104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2" fillId="3" borderId="12" xfId="0" applyFont="1" applyFill="1" applyBorder="1" applyAlignment="1">
      <alignment horizontal="left" vertical="center" textRotation="90" wrapText="1"/>
    </xf>
    <xf numFmtId="0" fontId="0" fillId="0" borderId="64" xfId="0" applyBorder="1" applyAlignment="1">
      <alignment vertical="center" textRotation="90" wrapText="1"/>
    </xf>
    <xf numFmtId="0" fontId="2" fillId="4" borderId="60" xfId="0" applyFont="1" applyFill="1" applyBorder="1" applyAlignment="1">
      <alignment horizontal="left" vertical="top" wrapText="1"/>
    </xf>
    <xf numFmtId="0" fontId="4" fillId="4" borderId="65" xfId="0" applyFont="1" applyFill="1" applyBorder="1" applyAlignment="1">
      <alignment horizontal="left" vertical="top" wrapText="1"/>
    </xf>
    <xf numFmtId="0" fontId="2" fillId="4" borderId="75" xfId="0" applyFont="1" applyFill="1" applyBorder="1" applyAlignment="1">
      <alignment horizontal="left" vertical="top" wrapText="1"/>
    </xf>
    <xf numFmtId="0" fontId="2" fillId="4" borderId="57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7" fillId="0" borderId="63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0" fillId="0" borderId="1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4" xfId="0" applyBorder="1" applyAlignment="1">
      <alignment wrapText="1"/>
    </xf>
    <xf numFmtId="0" fontId="2" fillId="3" borderId="18" xfId="0" applyFont="1" applyFill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4" fillId="2" borderId="21" xfId="0" applyNumberFormat="1" applyFont="1" applyFill="1" applyBorder="1" applyAlignment="1">
      <alignment horizontal="right" vertical="top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vertical="top" wrapText="1"/>
    </xf>
    <xf numFmtId="0" fontId="2" fillId="4" borderId="65" xfId="0" applyFont="1" applyFill="1" applyBorder="1" applyAlignment="1">
      <alignment vertical="top" wrapText="1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65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9" borderId="4" xfId="0" applyNumberFormat="1" applyFont="1" applyFill="1" applyBorder="1" applyAlignment="1">
      <alignment horizontal="center" vertical="top"/>
    </xf>
    <xf numFmtId="49" fontId="4" fillId="4" borderId="12" xfId="0" applyNumberFormat="1" applyFont="1" applyFill="1" applyBorder="1" applyAlignment="1">
      <alignment horizontal="center" vertical="top"/>
    </xf>
    <xf numFmtId="49" fontId="4" fillId="4" borderId="64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 textRotation="90" wrapText="1"/>
    </xf>
    <xf numFmtId="0" fontId="0" fillId="0" borderId="64" xfId="0" applyBorder="1" applyAlignment="1">
      <alignment horizontal="center" vertical="center" textRotation="90" wrapText="1"/>
    </xf>
    <xf numFmtId="49" fontId="2" fillId="0" borderId="56" xfId="0" applyNumberFormat="1" applyFont="1" applyBorder="1" applyAlignment="1">
      <alignment horizontal="center" vertical="top" wrapText="1"/>
    </xf>
    <xf numFmtId="49" fontId="2" fillId="0" borderId="47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center" textRotation="90" shrinkToFit="1"/>
    </xf>
    <xf numFmtId="0" fontId="2" fillId="0" borderId="60" xfId="0" applyFont="1" applyBorder="1" applyAlignment="1">
      <alignment horizontal="center" vertical="center" textRotation="90" shrinkToFit="1"/>
    </xf>
    <xf numFmtId="0" fontId="2" fillId="0" borderId="46" xfId="0" applyFont="1" applyBorder="1" applyAlignment="1">
      <alignment horizontal="center" vertical="center" textRotation="90" shrinkToFi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textRotation="90" shrinkToFit="1"/>
    </xf>
    <xf numFmtId="0" fontId="2" fillId="0" borderId="27" xfId="0" applyFont="1" applyBorder="1" applyAlignment="1">
      <alignment horizontal="center" textRotation="90" shrinkToFit="1"/>
    </xf>
    <xf numFmtId="0" fontId="2" fillId="0" borderId="45" xfId="0" applyFont="1" applyBorder="1" applyAlignment="1">
      <alignment horizontal="center" textRotation="90" shrinkToFit="1"/>
    </xf>
    <xf numFmtId="0" fontId="2" fillId="0" borderId="56" xfId="0" applyNumberFormat="1" applyFont="1" applyBorder="1" applyAlignment="1">
      <alignment horizontal="center" vertical="center" textRotation="90" shrinkToFit="1"/>
    </xf>
    <xf numFmtId="0" fontId="2" fillId="0" borderId="47" xfId="0" applyNumberFormat="1" applyFont="1" applyBorder="1" applyAlignment="1">
      <alignment horizontal="center" vertical="center" textRotation="90" shrinkToFit="1"/>
    </xf>
    <xf numFmtId="0" fontId="2" fillId="0" borderId="24" xfId="0" applyNumberFormat="1" applyFont="1" applyBorder="1" applyAlignment="1">
      <alignment horizontal="center" vertical="center" textRotation="90" shrinkToFit="1"/>
    </xf>
    <xf numFmtId="0" fontId="2" fillId="0" borderId="43" xfId="0" applyNumberFormat="1" applyFont="1" applyFill="1" applyBorder="1" applyAlignment="1">
      <alignment horizontal="center" vertical="center" textRotation="90" shrinkToFit="1"/>
    </xf>
    <xf numFmtId="0" fontId="2" fillId="0" borderId="27" xfId="0" applyNumberFormat="1" applyFont="1" applyFill="1" applyBorder="1" applyAlignment="1">
      <alignment horizontal="center" vertical="center" textRotation="90" shrinkToFit="1"/>
    </xf>
    <xf numFmtId="0" fontId="2" fillId="0" borderId="45" xfId="0" applyNumberFormat="1" applyFont="1" applyFill="1" applyBorder="1" applyAlignment="1">
      <alignment horizontal="center" vertical="center" textRotation="90" shrinkToFit="1"/>
    </xf>
    <xf numFmtId="0" fontId="7" fillId="0" borderId="24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49" fontId="11" fillId="0" borderId="34" xfId="0" applyNumberFormat="1" applyFont="1" applyBorder="1" applyAlignment="1">
      <alignment horizontal="center" vertical="top" wrapText="1"/>
    </xf>
    <xf numFmtId="0" fontId="2" fillId="3" borderId="33" xfId="0" applyFont="1" applyFill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/>
    </xf>
    <xf numFmtId="0" fontId="11" fillId="4" borderId="12" xfId="0" applyFont="1" applyFill="1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7" fillId="0" borderId="47" xfId="0" applyFont="1" applyBorder="1" applyAlignment="1">
      <alignment horizontal="center" vertical="top" wrapText="1"/>
    </xf>
    <xf numFmtId="49" fontId="4" fillId="9" borderId="4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Alignment="1">
      <alignment horizontal="center" vertical="top"/>
    </xf>
    <xf numFmtId="3" fontId="7" fillId="4" borderId="0" xfId="0" applyNumberFormat="1" applyFont="1" applyFill="1" applyAlignment="1">
      <alignment horizontal="center" vertical="top"/>
    </xf>
    <xf numFmtId="49" fontId="14" fillId="8" borderId="57" xfId="0" applyNumberFormat="1" applyFont="1" applyFill="1" applyBorder="1" applyAlignment="1">
      <alignment horizontal="center" vertical="top"/>
    </xf>
    <xf numFmtId="49" fontId="14" fillId="2" borderId="64" xfId="0" applyNumberFormat="1" applyFont="1" applyFill="1" applyBorder="1" applyAlignment="1">
      <alignment horizontal="center" vertical="top"/>
    </xf>
    <xf numFmtId="49" fontId="14" fillId="9" borderId="42" xfId="0" applyNumberFormat="1" applyFont="1" applyFill="1" applyBorder="1" applyAlignment="1">
      <alignment horizontal="center" vertical="top"/>
    </xf>
    <xf numFmtId="49" fontId="14" fillId="9" borderId="53" xfId="0" applyNumberFormat="1" applyFont="1" applyFill="1" applyBorder="1" applyAlignment="1">
      <alignment horizontal="center" vertical="top"/>
    </xf>
    <xf numFmtId="49" fontId="14" fillId="9" borderId="78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left" vertical="top" wrapText="1"/>
    </xf>
    <xf numFmtId="49" fontId="2" fillId="4" borderId="12" xfId="0" applyNumberFormat="1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65" xfId="0" applyFont="1" applyFill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CC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1"/>
  <sheetViews>
    <sheetView tabSelected="1" zoomScaleNormal="100" zoomScaleSheetLayoutView="100" workbookViewId="0">
      <selection activeCell="S16" sqref="S16"/>
    </sheetView>
  </sheetViews>
  <sheetFormatPr defaultRowHeight="12.75"/>
  <cols>
    <col min="1" max="3" width="2.7109375" style="5" customWidth="1"/>
    <col min="4" max="4" width="32.85546875" style="5" customWidth="1"/>
    <col min="5" max="5" width="3.5703125" style="5" customWidth="1"/>
    <col min="6" max="6" width="3.42578125" style="17" customWidth="1"/>
    <col min="7" max="7" width="7.85546875" style="9" customWidth="1"/>
    <col min="8" max="8" width="9.140625" style="28" customWidth="1"/>
    <col min="9" max="9" width="10.28515625" style="28" customWidth="1"/>
    <col min="10" max="10" width="9.5703125" style="28" customWidth="1"/>
    <col min="11" max="11" width="32.5703125" style="5" customWidth="1"/>
    <col min="12" max="12" width="4.28515625" style="5" customWidth="1"/>
    <col min="13" max="13" width="4.42578125" style="5" customWidth="1"/>
    <col min="14" max="14" width="4.28515625" style="28" customWidth="1"/>
    <col min="15" max="16384" width="9.140625" style="2"/>
  </cols>
  <sheetData>
    <row r="1" spans="1:23" ht="15.75">
      <c r="A1" s="918" t="s">
        <v>152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</row>
    <row r="2" spans="1:23" ht="15.75">
      <c r="A2" s="919" t="s">
        <v>35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</row>
    <row r="3" spans="1:23" ht="15.75">
      <c r="A3" s="920" t="s">
        <v>22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</row>
    <row r="4" spans="1:23" ht="13.5" thickBot="1">
      <c r="L4" s="921" t="s">
        <v>160</v>
      </c>
      <c r="M4" s="922"/>
      <c r="N4" s="922"/>
    </row>
    <row r="5" spans="1:23" ht="32.25" customHeight="1">
      <c r="A5" s="923" t="s">
        <v>23</v>
      </c>
      <c r="B5" s="926" t="s">
        <v>1</v>
      </c>
      <c r="C5" s="926" t="s">
        <v>2</v>
      </c>
      <c r="D5" s="929" t="s">
        <v>15</v>
      </c>
      <c r="E5" s="932" t="s">
        <v>3</v>
      </c>
      <c r="F5" s="966" t="s">
        <v>4</v>
      </c>
      <c r="G5" s="960" t="s">
        <v>5</v>
      </c>
      <c r="H5" s="969" t="s">
        <v>103</v>
      </c>
      <c r="I5" s="960" t="s">
        <v>68</v>
      </c>
      <c r="J5" s="960" t="s">
        <v>104</v>
      </c>
      <c r="K5" s="963" t="s">
        <v>14</v>
      </c>
      <c r="L5" s="964"/>
      <c r="M5" s="964"/>
      <c r="N5" s="965"/>
    </row>
    <row r="6" spans="1:23" ht="16.5" customHeight="1">
      <c r="A6" s="924"/>
      <c r="B6" s="927"/>
      <c r="C6" s="927"/>
      <c r="D6" s="930"/>
      <c r="E6" s="933"/>
      <c r="F6" s="967"/>
      <c r="G6" s="961"/>
      <c r="H6" s="970"/>
      <c r="I6" s="961"/>
      <c r="J6" s="961"/>
      <c r="K6" s="952" t="s">
        <v>15</v>
      </c>
      <c r="L6" s="954" t="s">
        <v>161</v>
      </c>
      <c r="M6" s="955"/>
      <c r="N6" s="956"/>
    </row>
    <row r="7" spans="1:23" ht="78.75" customHeight="1" thickBot="1">
      <c r="A7" s="925"/>
      <c r="B7" s="928"/>
      <c r="C7" s="928"/>
      <c r="D7" s="931"/>
      <c r="E7" s="934"/>
      <c r="F7" s="968"/>
      <c r="G7" s="962"/>
      <c r="H7" s="971"/>
      <c r="I7" s="962"/>
      <c r="J7" s="962"/>
      <c r="K7" s="953"/>
      <c r="L7" s="501" t="s">
        <v>30</v>
      </c>
      <c r="M7" s="501" t="s">
        <v>85</v>
      </c>
      <c r="N7" s="502" t="s">
        <v>105</v>
      </c>
    </row>
    <row r="8" spans="1:23" s="18" customFormat="1">
      <c r="A8" s="957" t="s">
        <v>69</v>
      </c>
      <c r="B8" s="958"/>
      <c r="C8" s="958"/>
      <c r="D8" s="958"/>
      <c r="E8" s="958"/>
      <c r="F8" s="958"/>
      <c r="G8" s="958"/>
      <c r="H8" s="958"/>
      <c r="I8" s="958"/>
      <c r="J8" s="958"/>
      <c r="K8" s="958"/>
      <c r="L8" s="958"/>
      <c r="M8" s="958"/>
      <c r="N8" s="959"/>
    </row>
    <row r="9" spans="1:23" s="18" customFormat="1" ht="12.75" customHeight="1">
      <c r="A9" s="935" t="s">
        <v>57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7"/>
    </row>
    <row r="10" spans="1:23" ht="15.75" customHeight="1">
      <c r="A10" s="281" t="s">
        <v>8</v>
      </c>
      <c r="B10" s="938" t="s">
        <v>54</v>
      </c>
      <c r="C10" s="939"/>
      <c r="D10" s="939"/>
      <c r="E10" s="939"/>
      <c r="F10" s="939"/>
      <c r="G10" s="939"/>
      <c r="H10" s="939"/>
      <c r="I10" s="939"/>
      <c r="J10" s="939"/>
      <c r="K10" s="939"/>
      <c r="L10" s="939"/>
      <c r="M10" s="939"/>
      <c r="N10" s="940"/>
    </row>
    <row r="11" spans="1:23">
      <c r="A11" s="282" t="s">
        <v>8</v>
      </c>
      <c r="B11" s="42" t="s">
        <v>8</v>
      </c>
      <c r="C11" s="941" t="s">
        <v>49</v>
      </c>
      <c r="D11" s="942"/>
      <c r="E11" s="942"/>
      <c r="F11" s="942"/>
      <c r="G11" s="942"/>
      <c r="H11" s="942"/>
      <c r="I11" s="942"/>
      <c r="J11" s="942"/>
      <c r="K11" s="942"/>
      <c r="L11" s="942"/>
      <c r="M11" s="942"/>
      <c r="N11" s="943"/>
    </row>
    <row r="12" spans="1:23" ht="25.5" customHeight="1">
      <c r="A12" s="283" t="s">
        <v>8</v>
      </c>
      <c r="B12" s="13" t="s">
        <v>8</v>
      </c>
      <c r="C12" s="58" t="s">
        <v>8</v>
      </c>
      <c r="D12" s="605" t="s">
        <v>66</v>
      </c>
      <c r="E12" s="944" t="s">
        <v>70</v>
      </c>
      <c r="F12" s="946" t="s">
        <v>33</v>
      </c>
      <c r="G12" s="543" t="s">
        <v>86</v>
      </c>
      <c r="H12" s="765">
        <f>(17158.8+180)/3.4528*1000</f>
        <v>5021663.5773864686</v>
      </c>
      <c r="I12" s="743">
        <f>17283/3.4528*1000</f>
        <v>5005502.780352178</v>
      </c>
      <c r="J12" s="744">
        <f>17283/3.4528*1000</f>
        <v>5005502.780352178</v>
      </c>
      <c r="K12" s="909"/>
      <c r="L12" s="910"/>
      <c r="M12" s="911"/>
      <c r="N12" s="912"/>
    </row>
    <row r="13" spans="1:23" ht="26.25" customHeight="1">
      <c r="A13" s="283"/>
      <c r="B13" s="13"/>
      <c r="C13" s="58"/>
      <c r="D13" s="606" t="s">
        <v>36</v>
      </c>
      <c r="E13" s="944"/>
      <c r="F13" s="946"/>
      <c r="G13" s="543" t="s">
        <v>86</v>
      </c>
      <c r="H13" s="765"/>
      <c r="I13" s="743"/>
      <c r="J13" s="744"/>
      <c r="K13" s="607" t="s">
        <v>162</v>
      </c>
      <c r="L13" s="602">
        <v>67</v>
      </c>
      <c r="M13" s="603">
        <v>67</v>
      </c>
      <c r="N13" s="604">
        <v>67</v>
      </c>
    </row>
    <row r="14" spans="1:23" ht="15" customHeight="1">
      <c r="A14" s="283"/>
      <c r="B14" s="13"/>
      <c r="C14" s="58"/>
      <c r="D14" s="950" t="s">
        <v>67</v>
      </c>
      <c r="E14" s="944"/>
      <c r="F14" s="946"/>
      <c r="G14" s="43" t="s">
        <v>86</v>
      </c>
      <c r="H14" s="767"/>
      <c r="I14" s="768"/>
      <c r="J14" s="769"/>
      <c r="K14" s="948" t="s">
        <v>162</v>
      </c>
      <c r="L14" s="784">
        <v>1.7</v>
      </c>
      <c r="M14" s="784">
        <v>1.7</v>
      </c>
      <c r="N14" s="785">
        <v>1.7</v>
      </c>
      <c r="P14" s="63"/>
      <c r="Q14" s="63"/>
      <c r="R14" s="63"/>
      <c r="S14" s="63"/>
      <c r="T14" s="63"/>
      <c r="U14" s="63"/>
      <c r="V14" s="63"/>
      <c r="W14" s="63"/>
    </row>
    <row r="15" spans="1:23" ht="15.75" customHeight="1" thickBot="1">
      <c r="A15" s="284"/>
      <c r="B15" s="14"/>
      <c r="C15" s="59"/>
      <c r="D15" s="951"/>
      <c r="E15" s="945"/>
      <c r="F15" s="947"/>
      <c r="G15" s="613" t="s">
        <v>9</v>
      </c>
      <c r="H15" s="770">
        <f>SUM(H12:H14)</f>
        <v>5021663.5773864686</v>
      </c>
      <c r="I15" s="770">
        <f t="shared" ref="I15:J15" si="0">SUM(I12:I14)</f>
        <v>5005502.780352178</v>
      </c>
      <c r="J15" s="770">
        <f t="shared" si="0"/>
        <v>5005502.780352178</v>
      </c>
      <c r="K15" s="949"/>
      <c r="L15" s="24"/>
      <c r="M15" s="252"/>
      <c r="N15" s="243"/>
      <c r="P15" s="63"/>
      <c r="Q15" s="63"/>
      <c r="R15" s="63"/>
      <c r="S15" s="63"/>
      <c r="T15" s="63"/>
      <c r="U15" s="63"/>
      <c r="V15" s="63"/>
      <c r="W15" s="63"/>
    </row>
    <row r="16" spans="1:23" ht="38.25">
      <c r="A16" s="283" t="s">
        <v>8</v>
      </c>
      <c r="B16" s="13" t="s">
        <v>8</v>
      </c>
      <c r="C16" s="60" t="s">
        <v>10</v>
      </c>
      <c r="D16" s="313" t="s">
        <v>71</v>
      </c>
      <c r="E16" s="29" t="s">
        <v>70</v>
      </c>
      <c r="F16" s="719" t="s">
        <v>33</v>
      </c>
      <c r="G16" s="720" t="s">
        <v>42</v>
      </c>
      <c r="H16" s="771">
        <f>(254.3+58)/3.4528*1000</f>
        <v>90448.331788693235</v>
      </c>
      <c r="I16" s="772">
        <f>(260+59)/3.4528*1000</f>
        <v>92388.785912882304</v>
      </c>
      <c r="J16" s="772">
        <f>(260+59)/3.4528*1000</f>
        <v>92388.785912882304</v>
      </c>
      <c r="K16" s="860"/>
      <c r="L16" s="30"/>
      <c r="M16" s="36"/>
      <c r="N16" s="244"/>
      <c r="P16" s="63"/>
      <c r="Q16" s="63"/>
      <c r="R16" s="63"/>
      <c r="S16" s="63"/>
      <c r="T16" s="63"/>
      <c r="U16" s="63"/>
      <c r="V16" s="63"/>
      <c r="W16" s="63"/>
    </row>
    <row r="17" spans="1:23" ht="25.5">
      <c r="A17" s="976"/>
      <c r="B17" s="979"/>
      <c r="C17" s="982"/>
      <c r="D17" s="990" t="s">
        <v>96</v>
      </c>
      <c r="E17" s="992"/>
      <c r="F17" s="987"/>
      <c r="G17" s="721"/>
      <c r="H17" s="773"/>
      <c r="I17" s="774"/>
      <c r="J17" s="774"/>
      <c r="K17" s="863" t="s">
        <v>79</v>
      </c>
      <c r="L17" s="864">
        <v>1.3</v>
      </c>
      <c r="M17" s="865">
        <v>1.3</v>
      </c>
      <c r="N17" s="866">
        <v>1.3</v>
      </c>
      <c r="P17" s="63"/>
      <c r="Q17" s="63"/>
      <c r="R17" s="63"/>
      <c r="S17" s="63"/>
      <c r="T17" s="63"/>
      <c r="U17" s="63"/>
      <c r="V17" s="63"/>
      <c r="W17" s="63"/>
    </row>
    <row r="18" spans="1:23">
      <c r="A18" s="976"/>
      <c r="B18" s="979"/>
      <c r="C18" s="982"/>
      <c r="D18" s="991"/>
      <c r="E18" s="992"/>
      <c r="F18" s="987"/>
      <c r="G18" s="722"/>
      <c r="H18" s="773"/>
      <c r="I18" s="774"/>
      <c r="J18" s="774"/>
      <c r="K18" s="867" t="s">
        <v>47</v>
      </c>
      <c r="L18" s="868">
        <v>160</v>
      </c>
      <c r="M18" s="405">
        <v>160</v>
      </c>
      <c r="N18" s="869">
        <v>160</v>
      </c>
      <c r="P18" s="63"/>
      <c r="Q18" s="63"/>
      <c r="R18" s="63"/>
      <c r="S18" s="63"/>
      <c r="T18" s="63"/>
      <c r="U18" s="63"/>
      <c r="V18" s="63"/>
      <c r="W18" s="63"/>
    </row>
    <row r="19" spans="1:23">
      <c r="A19" s="976"/>
      <c r="B19" s="979"/>
      <c r="C19" s="982"/>
      <c r="D19" s="862" t="s">
        <v>46</v>
      </c>
      <c r="E19" s="992"/>
      <c r="F19" s="987"/>
      <c r="G19" s="723"/>
      <c r="H19" s="775"/>
      <c r="I19" s="769"/>
      <c r="J19" s="769"/>
      <c r="K19" s="680" t="s">
        <v>48</v>
      </c>
      <c r="L19" s="31">
        <v>50</v>
      </c>
      <c r="M19" s="8">
        <v>50</v>
      </c>
      <c r="N19" s="245">
        <v>50</v>
      </c>
      <c r="P19" s="63"/>
      <c r="Q19" s="63"/>
      <c r="R19" s="63"/>
      <c r="S19" s="63"/>
      <c r="T19" s="63"/>
      <c r="U19" s="63"/>
      <c r="V19" s="63"/>
      <c r="W19" s="63"/>
    </row>
    <row r="20" spans="1:23" ht="13.5" thickBot="1">
      <c r="A20" s="588"/>
      <c r="B20" s="583"/>
      <c r="C20" s="585"/>
      <c r="D20" s="35"/>
      <c r="E20" s="587"/>
      <c r="F20" s="679"/>
      <c r="G20" s="724" t="s">
        <v>9</v>
      </c>
      <c r="H20" s="776">
        <f>SUM(H16:H19)</f>
        <v>90448.331788693235</v>
      </c>
      <c r="I20" s="777">
        <f>SUM(I16:I19)</f>
        <v>92388.785912882304</v>
      </c>
      <c r="J20" s="777">
        <f>SUM(J16:J19)</f>
        <v>92388.785912882304</v>
      </c>
      <c r="K20" s="681"/>
      <c r="L20" s="237"/>
      <c r="M20" s="37"/>
      <c r="N20" s="246"/>
      <c r="P20" s="63"/>
      <c r="Q20" s="63"/>
      <c r="R20" s="63"/>
      <c r="S20" s="63"/>
      <c r="T20" s="63"/>
      <c r="U20" s="63"/>
      <c r="V20" s="63"/>
      <c r="W20" s="63"/>
    </row>
    <row r="21" spans="1:23" ht="12.75" customHeight="1">
      <c r="A21" s="975" t="s">
        <v>8</v>
      </c>
      <c r="B21" s="978" t="s">
        <v>8</v>
      </c>
      <c r="C21" s="981" t="s">
        <v>32</v>
      </c>
      <c r="D21" s="988" t="s">
        <v>62</v>
      </c>
      <c r="E21" s="989" t="s">
        <v>70</v>
      </c>
      <c r="F21" s="972" t="s">
        <v>33</v>
      </c>
      <c r="G21" s="611" t="s">
        <v>86</v>
      </c>
      <c r="H21" s="767">
        <f>161.2/3.4528*1000</f>
        <v>46686.74698795181</v>
      </c>
      <c r="I21" s="768">
        <f>100/3.4528*1000</f>
        <v>28962.001853568119</v>
      </c>
      <c r="J21" s="768">
        <f>100/3.4528*1000</f>
        <v>28962.001853568119</v>
      </c>
      <c r="K21" s="973" t="s">
        <v>63</v>
      </c>
      <c r="L21" s="238">
        <v>100</v>
      </c>
      <c r="M21" s="64">
        <v>100</v>
      </c>
      <c r="N21" s="247">
        <v>100</v>
      </c>
      <c r="P21" s="63"/>
      <c r="Q21" s="63"/>
      <c r="R21" s="63"/>
      <c r="S21" s="63"/>
      <c r="T21" s="63"/>
      <c r="U21" s="63"/>
      <c r="V21" s="63"/>
      <c r="W21" s="63"/>
    </row>
    <row r="22" spans="1:23" ht="13.5" thickBot="1">
      <c r="A22" s="976"/>
      <c r="B22" s="980"/>
      <c r="C22" s="983"/>
      <c r="D22" s="951"/>
      <c r="E22" s="945"/>
      <c r="F22" s="947"/>
      <c r="G22" s="53" t="s">
        <v>9</v>
      </c>
      <c r="H22" s="778">
        <f t="shared" ref="H22:J22" si="1">SUM(H21:H21)</f>
        <v>46686.74698795181</v>
      </c>
      <c r="I22" s="779">
        <f t="shared" si="1"/>
        <v>28962.001853568119</v>
      </c>
      <c r="J22" s="778">
        <f t="shared" si="1"/>
        <v>28962.001853568119</v>
      </c>
      <c r="K22" s="974"/>
      <c r="L22" s="239"/>
      <c r="M22" s="62"/>
      <c r="N22" s="248"/>
      <c r="P22" s="63"/>
      <c r="Q22" s="63"/>
      <c r="R22" s="63"/>
      <c r="S22" s="63"/>
      <c r="T22" s="63"/>
      <c r="U22" s="63"/>
      <c r="V22" s="63"/>
      <c r="W22" s="63"/>
    </row>
    <row r="23" spans="1:23" ht="12.75" customHeight="1">
      <c r="A23" s="975" t="s">
        <v>8</v>
      </c>
      <c r="B23" s="978" t="s">
        <v>8</v>
      </c>
      <c r="C23" s="981" t="s">
        <v>38</v>
      </c>
      <c r="D23" s="984" t="s">
        <v>155</v>
      </c>
      <c r="E23" s="593" t="s">
        <v>65</v>
      </c>
      <c r="F23" s="972" t="s">
        <v>33</v>
      </c>
      <c r="G23" s="542" t="s">
        <v>88</v>
      </c>
      <c r="H23" s="780">
        <f>(3245.3+33.4)/3.4528*1000</f>
        <v>949577.154772938</v>
      </c>
      <c r="I23" s="781">
        <f>1650.2/3.4528*1000</f>
        <v>477930.95458758116</v>
      </c>
      <c r="J23" s="781">
        <f>1650.2/3.4528*1000</f>
        <v>477930.95458758116</v>
      </c>
      <c r="K23" s="993" t="s">
        <v>154</v>
      </c>
      <c r="L23" s="31">
        <f>59+50</f>
        <v>109</v>
      </c>
      <c r="M23" s="8">
        <v>30</v>
      </c>
      <c r="N23" s="245">
        <v>30</v>
      </c>
      <c r="P23" s="63"/>
      <c r="Q23" s="63"/>
      <c r="R23" s="63"/>
      <c r="S23" s="63"/>
      <c r="T23" s="63"/>
      <c r="U23" s="63"/>
      <c r="V23" s="63"/>
      <c r="W23" s="63"/>
    </row>
    <row r="24" spans="1:23">
      <c r="A24" s="976"/>
      <c r="B24" s="979"/>
      <c r="C24" s="982"/>
      <c r="D24" s="985"/>
      <c r="E24" s="996" t="s">
        <v>91</v>
      </c>
      <c r="F24" s="946"/>
      <c r="G24" s="543" t="s">
        <v>88</v>
      </c>
      <c r="H24" s="765">
        <f>37.3/3.4528*1000</f>
        <v>10802.826691380908</v>
      </c>
      <c r="I24" s="768"/>
      <c r="J24" s="769"/>
      <c r="K24" s="994"/>
      <c r="L24" s="31"/>
      <c r="M24" s="8"/>
      <c r="N24" s="245"/>
      <c r="P24" s="63"/>
      <c r="Q24" s="63"/>
      <c r="R24" s="63"/>
      <c r="S24" s="63"/>
      <c r="T24" s="63"/>
      <c r="U24" s="63"/>
      <c r="V24" s="63"/>
      <c r="W24" s="63"/>
    </row>
    <row r="25" spans="1:23" ht="13.5" thickBot="1">
      <c r="A25" s="977"/>
      <c r="B25" s="980"/>
      <c r="C25" s="983"/>
      <c r="D25" s="986"/>
      <c r="E25" s="997"/>
      <c r="F25" s="947"/>
      <c r="G25" s="53" t="s">
        <v>9</v>
      </c>
      <c r="H25" s="778">
        <f>SUM(H23:H24)</f>
        <v>960379.98146431893</v>
      </c>
      <c r="I25" s="779">
        <f t="shared" ref="I25:J25" si="2">SUM(I23:I24)</f>
        <v>477930.95458758116</v>
      </c>
      <c r="J25" s="778">
        <f t="shared" si="2"/>
        <v>477930.95458758116</v>
      </c>
      <c r="K25" s="995"/>
      <c r="L25" s="237"/>
      <c r="M25" s="37"/>
      <c r="N25" s="246"/>
      <c r="P25" s="63"/>
      <c r="Q25" s="63"/>
      <c r="R25" s="63"/>
      <c r="S25" s="63"/>
      <c r="T25" s="63"/>
      <c r="U25" s="63"/>
      <c r="V25" s="63"/>
      <c r="W25" s="63"/>
    </row>
    <row r="26" spans="1:23" ht="12.75" customHeight="1">
      <c r="A26" s="975" t="s">
        <v>8</v>
      </c>
      <c r="B26" s="978" t="s">
        <v>8</v>
      </c>
      <c r="C26" s="998" t="s">
        <v>37</v>
      </c>
      <c r="D26" s="1001" t="s">
        <v>72</v>
      </c>
      <c r="E26" s="1004" t="s">
        <v>65</v>
      </c>
      <c r="F26" s="972" t="s">
        <v>44</v>
      </c>
      <c r="G26" s="152" t="s">
        <v>73</v>
      </c>
      <c r="H26" s="767">
        <f>404.9/3.4528*1000</f>
        <v>117267.1455050973</v>
      </c>
      <c r="I26" s="768"/>
      <c r="J26" s="769"/>
      <c r="K26" s="993" t="s">
        <v>132</v>
      </c>
      <c r="L26" s="30"/>
      <c r="M26" s="36"/>
      <c r="N26" s="244"/>
      <c r="P26" s="63"/>
      <c r="Q26" s="63"/>
      <c r="R26" s="63"/>
      <c r="S26" s="63"/>
      <c r="T26" s="63"/>
      <c r="U26" s="63"/>
      <c r="V26" s="63"/>
      <c r="W26" s="63"/>
    </row>
    <row r="27" spans="1:23">
      <c r="A27" s="976"/>
      <c r="B27" s="979"/>
      <c r="C27" s="999"/>
      <c r="D27" s="1002"/>
      <c r="E27" s="1005"/>
      <c r="F27" s="946"/>
      <c r="G27" s="152" t="s">
        <v>58</v>
      </c>
      <c r="H27" s="765">
        <f>3643.8/3.4528*1000</f>
        <v>1055317.4235403154</v>
      </c>
      <c r="I27" s="768"/>
      <c r="J27" s="769"/>
      <c r="K27" s="994"/>
      <c r="L27" s="31"/>
      <c r="M27" s="8"/>
      <c r="N27" s="245"/>
    </row>
    <row r="28" spans="1:23" ht="13.5" thickBot="1">
      <c r="A28" s="977"/>
      <c r="B28" s="980"/>
      <c r="C28" s="1000"/>
      <c r="D28" s="1003"/>
      <c r="E28" s="1006"/>
      <c r="F28" s="947"/>
      <c r="G28" s="601" t="s">
        <v>9</v>
      </c>
      <c r="H28" s="778">
        <f t="shared" ref="H28" si="3">SUM(H26:H27)</f>
        <v>1172584.5690454126</v>
      </c>
      <c r="I28" s="779"/>
      <c r="J28" s="778"/>
      <c r="K28" s="995"/>
      <c r="L28" s="241">
        <v>100</v>
      </c>
      <c r="M28" s="27"/>
      <c r="N28" s="250"/>
    </row>
    <row r="29" spans="1:23" ht="13.5" customHeight="1">
      <c r="A29" s="975" t="s">
        <v>8</v>
      </c>
      <c r="B29" s="978" t="s">
        <v>8</v>
      </c>
      <c r="C29" s="981" t="s">
        <v>34</v>
      </c>
      <c r="D29" s="988" t="s">
        <v>137</v>
      </c>
      <c r="E29" s="989"/>
      <c r="F29" s="972" t="s">
        <v>33</v>
      </c>
      <c r="G29" s="125" t="s">
        <v>59</v>
      </c>
      <c r="H29" s="780">
        <f>164.8/3.4528*1000</f>
        <v>47729.379054680263</v>
      </c>
      <c r="I29" s="781"/>
      <c r="J29" s="782"/>
      <c r="K29" s="973" t="s">
        <v>138</v>
      </c>
      <c r="L29" s="1007">
        <v>1600</v>
      </c>
      <c r="M29" s="64"/>
      <c r="N29" s="247"/>
      <c r="P29" s="63"/>
      <c r="Q29" s="63"/>
      <c r="R29" s="63"/>
      <c r="S29" s="63"/>
      <c r="T29" s="63"/>
      <c r="U29" s="63"/>
      <c r="V29" s="63"/>
      <c r="W29" s="63"/>
    </row>
    <row r="30" spans="1:23" ht="13.5" thickBot="1">
      <c r="A30" s="976"/>
      <c r="B30" s="980"/>
      <c r="C30" s="983"/>
      <c r="D30" s="951"/>
      <c r="E30" s="945"/>
      <c r="F30" s="947"/>
      <c r="G30" s="53" t="s">
        <v>9</v>
      </c>
      <c r="H30" s="778">
        <f>H29</f>
        <v>47729.379054680263</v>
      </c>
      <c r="I30" s="779">
        <f t="shared" ref="I30:J30" si="4">SUM(I29:I29)</f>
        <v>0</v>
      </c>
      <c r="J30" s="778">
        <f t="shared" si="4"/>
        <v>0</v>
      </c>
      <c r="K30" s="974"/>
      <c r="L30" s="1008"/>
      <c r="M30" s="62"/>
      <c r="N30" s="248"/>
      <c r="P30" s="63"/>
      <c r="Q30" s="63"/>
      <c r="R30" s="63"/>
      <c r="S30" s="63"/>
      <c r="T30" s="63"/>
      <c r="U30" s="63"/>
      <c r="V30" s="63"/>
      <c r="W30" s="63"/>
    </row>
    <row r="31" spans="1:23" ht="13.5" thickBot="1">
      <c r="A31" s="287" t="s">
        <v>8</v>
      </c>
      <c r="B31" s="6" t="s">
        <v>8</v>
      </c>
      <c r="C31" s="1009" t="s">
        <v>11</v>
      </c>
      <c r="D31" s="1009"/>
      <c r="E31" s="1009"/>
      <c r="F31" s="1009"/>
      <c r="G31" s="1009"/>
      <c r="H31" s="783">
        <f>H28+H25+H22+H20+H15+H30</f>
        <v>7339492.5857275259</v>
      </c>
      <c r="I31" s="783">
        <f>I28+I25+I22+I20+I15</f>
        <v>5604784.5227062097</v>
      </c>
      <c r="J31" s="783">
        <f>J28+J25+J22+J20+J15</f>
        <v>5604784.5227062097</v>
      </c>
      <c r="K31" s="85"/>
      <c r="L31" s="594"/>
      <c r="M31" s="594"/>
      <c r="N31" s="595"/>
    </row>
    <row r="32" spans="1:23" ht="13.5" thickBot="1">
      <c r="A32" s="287" t="s">
        <v>8</v>
      </c>
      <c r="B32" s="6" t="s">
        <v>10</v>
      </c>
      <c r="C32" s="1010" t="s">
        <v>55</v>
      </c>
      <c r="D32" s="1011"/>
      <c r="E32" s="1011"/>
      <c r="F32" s="1011"/>
      <c r="G32" s="1011"/>
      <c r="H32" s="1011"/>
      <c r="I32" s="1011"/>
      <c r="J32" s="1011"/>
      <c r="K32" s="1011"/>
      <c r="L32" s="1011"/>
      <c r="M32" s="1011"/>
      <c r="N32" s="1012"/>
    </row>
    <row r="33" spans="1:19" ht="12.75" customHeight="1">
      <c r="A33" s="975" t="s">
        <v>8</v>
      </c>
      <c r="B33" s="978" t="s">
        <v>10</v>
      </c>
      <c r="C33" s="981" t="s">
        <v>8</v>
      </c>
      <c r="D33" s="1013" t="s">
        <v>40</v>
      </c>
      <c r="E33" s="1016" t="s">
        <v>83</v>
      </c>
      <c r="F33" s="972" t="s">
        <v>33</v>
      </c>
      <c r="G33" s="20" t="s">
        <v>42</v>
      </c>
      <c r="H33" s="786">
        <f>165/3.4528*1000</f>
        <v>47787.303058387392</v>
      </c>
      <c r="I33" s="787">
        <f>108/3.4528*1000</f>
        <v>31278.962001853568</v>
      </c>
      <c r="J33" s="772">
        <f>150/3.4528*1000</f>
        <v>43443.002780352181</v>
      </c>
      <c r="K33" s="1019" t="s">
        <v>80</v>
      </c>
      <c r="L33" s="254">
        <v>4</v>
      </c>
      <c r="M33" s="762">
        <v>5</v>
      </c>
      <c r="N33" s="38">
        <v>5</v>
      </c>
    </row>
    <row r="34" spans="1:19">
      <c r="A34" s="976"/>
      <c r="B34" s="979"/>
      <c r="C34" s="982"/>
      <c r="D34" s="1014"/>
      <c r="E34" s="1017"/>
      <c r="F34" s="946"/>
      <c r="G34" s="21"/>
      <c r="H34" s="765"/>
      <c r="I34" s="788"/>
      <c r="J34" s="774"/>
      <c r="K34" s="1020"/>
      <c r="L34" s="255"/>
      <c r="M34" s="764"/>
      <c r="N34" s="44"/>
    </row>
    <row r="35" spans="1:19">
      <c r="A35" s="976"/>
      <c r="B35" s="979"/>
      <c r="C35" s="982"/>
      <c r="D35" s="1014"/>
      <c r="E35" s="1017"/>
      <c r="F35" s="946"/>
      <c r="G35" s="21"/>
      <c r="H35" s="767"/>
      <c r="I35" s="768"/>
      <c r="J35" s="769"/>
      <c r="K35" s="1020"/>
      <c r="L35" s="255"/>
      <c r="M35" s="764"/>
      <c r="N35" s="44"/>
    </row>
    <row r="36" spans="1:19" ht="18" customHeight="1" thickBot="1">
      <c r="A36" s="977"/>
      <c r="B36" s="980"/>
      <c r="C36" s="983"/>
      <c r="D36" s="1015"/>
      <c r="E36" s="1018"/>
      <c r="F36" s="947"/>
      <c r="G36" s="53" t="s">
        <v>9</v>
      </c>
      <c r="H36" s="777">
        <f t="shared" ref="H36" si="5">SUM(H33:H35)</f>
        <v>47787.303058387392</v>
      </c>
      <c r="I36" s="789">
        <f t="shared" ref="I36:J36" si="6">SUM(I33:I35)</f>
        <v>31278.962001853568</v>
      </c>
      <c r="J36" s="777">
        <f t="shared" si="6"/>
        <v>43443.002780352181</v>
      </c>
      <c r="K36" s="139" t="s">
        <v>56</v>
      </c>
      <c r="L36" s="256">
        <v>1</v>
      </c>
      <c r="M36" s="763">
        <v>1</v>
      </c>
      <c r="N36" s="39">
        <v>1</v>
      </c>
    </row>
    <row r="37" spans="1:19" ht="12.75" customHeight="1">
      <c r="A37" s="975" t="s">
        <v>8</v>
      </c>
      <c r="B37" s="978" t="s">
        <v>10</v>
      </c>
      <c r="C37" s="981" t="s">
        <v>10</v>
      </c>
      <c r="D37" s="1013" t="s">
        <v>41</v>
      </c>
      <c r="E37" s="1038" t="s">
        <v>120</v>
      </c>
      <c r="F37" s="972" t="s">
        <v>33</v>
      </c>
      <c r="G37" s="542" t="s">
        <v>42</v>
      </c>
      <c r="H37" s="780">
        <f>9/3.4528*1000</f>
        <v>2606.5801668211307</v>
      </c>
      <c r="I37" s="781">
        <f>7.4/3.4528*1000</f>
        <v>2143.1881371640411</v>
      </c>
      <c r="J37" s="782">
        <f>7.4/3.4528*1000</f>
        <v>2143.1881371640411</v>
      </c>
      <c r="K37" s="1040" t="s">
        <v>45</v>
      </c>
      <c r="L37" s="254">
        <v>1</v>
      </c>
      <c r="M37" s="762">
        <v>1</v>
      </c>
      <c r="N37" s="38">
        <v>1</v>
      </c>
    </row>
    <row r="38" spans="1:19" ht="13.5" thickBot="1">
      <c r="A38" s="977"/>
      <c r="B38" s="980"/>
      <c r="C38" s="983"/>
      <c r="D38" s="1015"/>
      <c r="E38" s="1039"/>
      <c r="F38" s="947"/>
      <c r="G38" s="53" t="s">
        <v>9</v>
      </c>
      <c r="H38" s="778">
        <f t="shared" ref="H38:J38" si="7">SUM(H37:H37)</f>
        <v>2606.5801668211307</v>
      </c>
      <c r="I38" s="779">
        <f t="shared" si="7"/>
        <v>2143.1881371640411</v>
      </c>
      <c r="J38" s="778">
        <f t="shared" si="7"/>
        <v>2143.1881371640411</v>
      </c>
      <c r="K38" s="1041"/>
      <c r="L38" s="791"/>
      <c r="M38" s="792"/>
      <c r="N38" s="39"/>
    </row>
    <row r="39" spans="1:19" ht="13.5" thickBot="1">
      <c r="A39" s="288" t="s">
        <v>8</v>
      </c>
      <c r="B39" s="6" t="s">
        <v>10</v>
      </c>
      <c r="C39" s="1009" t="s">
        <v>11</v>
      </c>
      <c r="D39" s="1009"/>
      <c r="E39" s="1009"/>
      <c r="F39" s="1009"/>
      <c r="G39" s="1009"/>
      <c r="H39" s="783">
        <f t="shared" ref="H39" si="8">H38+H36</f>
        <v>50393.883225208519</v>
      </c>
      <c r="I39" s="790">
        <f>I38+I36</f>
        <v>33422.150139017613</v>
      </c>
      <c r="J39" s="783">
        <f>J38+J36</f>
        <v>45586.190917516222</v>
      </c>
      <c r="K39" s="1031"/>
      <c r="L39" s="1031"/>
      <c r="M39" s="1031"/>
      <c r="N39" s="1032"/>
    </row>
    <row r="40" spans="1:19" ht="15" customHeight="1" thickBot="1">
      <c r="A40" s="287" t="s">
        <v>8</v>
      </c>
      <c r="B40" s="6" t="s">
        <v>32</v>
      </c>
      <c r="C40" s="1010" t="s">
        <v>136</v>
      </c>
      <c r="D40" s="1011"/>
      <c r="E40" s="1011"/>
      <c r="F40" s="1011"/>
      <c r="G40" s="1011"/>
      <c r="H40" s="1011"/>
      <c r="I40" s="1011"/>
      <c r="J40" s="1011"/>
      <c r="K40" s="1011"/>
      <c r="L40" s="1011"/>
      <c r="M40" s="1011"/>
      <c r="N40" s="1012"/>
    </row>
    <row r="41" spans="1:19">
      <c r="A41" s="580" t="s">
        <v>8</v>
      </c>
      <c r="B41" s="582" t="s">
        <v>32</v>
      </c>
      <c r="C41" s="584" t="s">
        <v>8</v>
      </c>
      <c r="D41" s="399" t="s">
        <v>74</v>
      </c>
      <c r="E41" s="881"/>
      <c r="F41" s="882" t="s">
        <v>33</v>
      </c>
      <c r="G41" s="883"/>
      <c r="H41" s="884"/>
      <c r="I41" s="885"/>
      <c r="J41" s="886"/>
      <c r="K41" s="887"/>
      <c r="L41" s="888"/>
      <c r="M41" s="888"/>
      <c r="N41" s="889"/>
    </row>
    <row r="42" spans="1:19" ht="24.75" customHeight="1">
      <c r="A42" s="581"/>
      <c r="B42" s="589"/>
      <c r="C42" s="590"/>
      <c r="D42" s="606" t="s">
        <v>50</v>
      </c>
      <c r="E42" s="1033" t="s">
        <v>133</v>
      </c>
      <c r="F42" s="891"/>
      <c r="G42" s="892" t="s">
        <v>42</v>
      </c>
      <c r="H42" s="893">
        <f>41.6/3.4528*1000</f>
        <v>12048.192771084337</v>
      </c>
      <c r="I42" s="806">
        <f>41.6/3.4528*1000</f>
        <v>12048.192771084337</v>
      </c>
      <c r="J42" s="807">
        <f>41.6/3.4528*1000</f>
        <v>12048.192771084337</v>
      </c>
      <c r="K42" s="894" t="s">
        <v>60</v>
      </c>
      <c r="L42" s="895">
        <v>17</v>
      </c>
      <c r="M42" s="895">
        <v>17</v>
      </c>
      <c r="N42" s="406">
        <v>17</v>
      </c>
    </row>
    <row r="43" spans="1:19" ht="22.5" customHeight="1">
      <c r="A43" s="581"/>
      <c r="B43" s="589"/>
      <c r="C43" s="590"/>
      <c r="D43" s="1045" t="s">
        <v>147</v>
      </c>
      <c r="E43" s="1034"/>
      <c r="F43" s="859"/>
      <c r="G43" s="161" t="s">
        <v>42</v>
      </c>
      <c r="H43" s="890">
        <f>50/3.4528*1000</f>
        <v>14481.00092678406</v>
      </c>
      <c r="I43" s="768">
        <f>50/3.4528*1000</f>
        <v>14481.00092678406</v>
      </c>
      <c r="J43" s="768">
        <f>50/3.4528*1000</f>
        <v>14481.00092678406</v>
      </c>
      <c r="K43" s="374" t="s">
        <v>121</v>
      </c>
      <c r="L43" s="269">
        <v>6.6</v>
      </c>
      <c r="M43" s="861">
        <v>6.6</v>
      </c>
      <c r="N43" s="144">
        <v>6.6</v>
      </c>
    </row>
    <row r="44" spans="1:19" ht="13.5" customHeight="1" thickBot="1">
      <c r="A44" s="581"/>
      <c r="B44" s="589"/>
      <c r="C44" s="590"/>
      <c r="D44" s="1030"/>
      <c r="E44" s="1034"/>
      <c r="F44" s="859"/>
      <c r="G44" s="55" t="s">
        <v>9</v>
      </c>
      <c r="H44" s="794">
        <f>H43+H42</f>
        <v>26529.193697868395</v>
      </c>
      <c r="I44" s="794">
        <f t="shared" ref="I44:J44" si="9">I43+I42</f>
        <v>26529.193697868395</v>
      </c>
      <c r="J44" s="794">
        <f t="shared" si="9"/>
        <v>26529.193697868395</v>
      </c>
      <c r="K44" s="374"/>
      <c r="L44" s="861"/>
      <c r="M44" s="861"/>
      <c r="N44" s="44"/>
      <c r="P44" s="63"/>
      <c r="Q44" s="63"/>
      <c r="R44" s="63"/>
      <c r="S44" s="63"/>
    </row>
    <row r="45" spans="1:19" ht="24.75" customHeight="1">
      <c r="A45" s="580" t="s">
        <v>8</v>
      </c>
      <c r="B45" s="582" t="s">
        <v>32</v>
      </c>
      <c r="C45" s="584" t="s">
        <v>10</v>
      </c>
      <c r="D45" s="857" t="s">
        <v>140</v>
      </c>
      <c r="E45" s="871"/>
      <c r="F45" s="858" t="s">
        <v>33</v>
      </c>
      <c r="G45" s="20"/>
      <c r="H45" s="786"/>
      <c r="I45" s="787"/>
      <c r="J45" s="901"/>
      <c r="K45" s="914"/>
      <c r="L45" s="915"/>
      <c r="M45" s="915"/>
      <c r="N45" s="889"/>
    </row>
    <row r="46" spans="1:19" ht="13.5" customHeight="1">
      <c r="A46" s="283"/>
      <c r="B46" s="13"/>
      <c r="C46" s="60"/>
      <c r="D46" s="1024" t="s">
        <v>93</v>
      </c>
      <c r="E46" s="1027" t="s">
        <v>168</v>
      </c>
      <c r="F46" s="876"/>
      <c r="G46" s="877" t="s">
        <v>42</v>
      </c>
      <c r="H46" s="797">
        <f>420.8/3.4528*1000</f>
        <v>121872.10379981465</v>
      </c>
      <c r="I46" s="878">
        <f>420/3.4528*1000</f>
        <v>121640.40778498611</v>
      </c>
      <c r="J46" s="795">
        <f>420/3.4528*1000</f>
        <v>121640.40778498611</v>
      </c>
      <c r="K46" s="917" t="s">
        <v>171</v>
      </c>
      <c r="L46" s="8">
        <v>237</v>
      </c>
      <c r="M46" s="8">
        <v>230</v>
      </c>
      <c r="N46" s="44">
        <v>230</v>
      </c>
    </row>
    <row r="47" spans="1:19" ht="26.25" customHeight="1">
      <c r="A47" s="283"/>
      <c r="B47" s="13"/>
      <c r="C47" s="60"/>
      <c r="D47" s="1025"/>
      <c r="E47" s="1028"/>
      <c r="F47" s="859"/>
      <c r="G47" s="21"/>
      <c r="H47" s="765"/>
      <c r="I47" s="870"/>
      <c r="J47" s="795"/>
      <c r="K47" s="407" t="s">
        <v>170</v>
      </c>
      <c r="L47" s="405">
        <v>50</v>
      </c>
      <c r="M47" s="405">
        <v>50</v>
      </c>
      <c r="N47" s="406">
        <v>50</v>
      </c>
    </row>
    <row r="48" spans="1:19" ht="23.25" customHeight="1">
      <c r="A48" s="283"/>
      <c r="B48" s="13"/>
      <c r="C48" s="60"/>
      <c r="D48" s="1026"/>
      <c r="E48" s="1029"/>
      <c r="F48" s="879"/>
      <c r="G48" s="481"/>
      <c r="H48" s="803"/>
      <c r="I48" s="804"/>
      <c r="J48" s="805"/>
      <c r="K48" s="880" t="s">
        <v>122</v>
      </c>
      <c r="L48" s="405">
        <v>1</v>
      </c>
      <c r="M48" s="405">
        <v>1</v>
      </c>
      <c r="N48" s="406">
        <v>1</v>
      </c>
    </row>
    <row r="49" spans="1:14" ht="17.25" customHeight="1">
      <c r="A49" s="283"/>
      <c r="B49" s="13"/>
      <c r="C49" s="60"/>
      <c r="D49" s="1025" t="s">
        <v>123</v>
      </c>
      <c r="E49" s="872"/>
      <c r="F49" s="629"/>
      <c r="G49" s="46" t="s">
        <v>42</v>
      </c>
      <c r="H49" s="767">
        <f>30/3.4528*1000</f>
        <v>8688.6005560704343</v>
      </c>
      <c r="I49" s="768"/>
      <c r="J49" s="769"/>
      <c r="K49" s="873" t="s">
        <v>124</v>
      </c>
      <c r="L49" s="874">
        <v>1</v>
      </c>
      <c r="M49" s="874"/>
      <c r="N49" s="875"/>
    </row>
    <row r="50" spans="1:14" ht="13.5" thickBot="1">
      <c r="A50" s="283"/>
      <c r="B50" s="13"/>
      <c r="C50" s="60"/>
      <c r="D50" s="1030"/>
      <c r="E50" s="624"/>
      <c r="F50" s="627"/>
      <c r="G50" s="613" t="s">
        <v>9</v>
      </c>
      <c r="H50" s="770">
        <f>H49+H46</f>
        <v>130560.70435588509</v>
      </c>
      <c r="I50" s="770">
        <f t="shared" ref="I50:J50" si="10">I49+I46</f>
        <v>121640.40778498611</v>
      </c>
      <c r="J50" s="770">
        <f t="shared" si="10"/>
        <v>121640.40778498611</v>
      </c>
      <c r="K50" s="608"/>
      <c r="L50" s="609"/>
      <c r="M50" s="270"/>
      <c r="N50" s="41"/>
    </row>
    <row r="51" spans="1:14" ht="16.5" customHeight="1">
      <c r="A51" s="844" t="s">
        <v>8</v>
      </c>
      <c r="B51" s="845" t="s">
        <v>32</v>
      </c>
      <c r="C51" s="841" t="s">
        <v>32</v>
      </c>
      <c r="D51" s="45" t="s">
        <v>148</v>
      </c>
      <c r="E51" s="625" t="s">
        <v>65</v>
      </c>
      <c r="F51" s="628" t="s">
        <v>44</v>
      </c>
      <c r="G51" s="610"/>
      <c r="H51" s="796"/>
      <c r="I51" s="781"/>
      <c r="J51" s="782"/>
      <c r="K51" s="612"/>
      <c r="L51" s="809"/>
      <c r="M51" s="809"/>
      <c r="N51" s="402"/>
    </row>
    <row r="52" spans="1:14" ht="12.75" customHeight="1">
      <c r="A52" s="836"/>
      <c r="B52" s="838"/>
      <c r="C52" s="842"/>
      <c r="D52" s="1042" t="s">
        <v>95</v>
      </c>
      <c r="E52" s="626"/>
      <c r="F52" s="599"/>
      <c r="G52" s="533" t="s">
        <v>31</v>
      </c>
      <c r="H52" s="797"/>
      <c r="I52" s="788"/>
      <c r="J52" s="774"/>
      <c r="K52" s="1044" t="s">
        <v>81</v>
      </c>
      <c r="L52" s="622">
        <v>100</v>
      </c>
      <c r="M52" s="622"/>
      <c r="N52" s="107"/>
    </row>
    <row r="53" spans="1:14" ht="35.25">
      <c r="A53" s="836"/>
      <c r="B53" s="838"/>
      <c r="C53" s="842"/>
      <c r="D53" s="1021"/>
      <c r="E53" s="754" t="s">
        <v>90</v>
      </c>
      <c r="F53" s="629"/>
      <c r="G53" s="533" t="s">
        <v>42</v>
      </c>
      <c r="H53" s="797">
        <f>80/3.4528*1000</f>
        <v>23169.601482854498</v>
      </c>
      <c r="I53" s="798"/>
      <c r="J53" s="799"/>
      <c r="K53" s="1044"/>
      <c r="L53" s="622"/>
      <c r="M53" s="622"/>
      <c r="N53" s="44"/>
    </row>
    <row r="54" spans="1:14" ht="15.75" customHeight="1">
      <c r="A54" s="836"/>
      <c r="B54" s="838"/>
      <c r="C54" s="842"/>
      <c r="D54" s="1043"/>
      <c r="E54" s="761"/>
      <c r="F54" s="629"/>
      <c r="G54" s="611" t="s">
        <v>58</v>
      </c>
      <c r="H54" s="800"/>
      <c r="I54" s="801"/>
      <c r="J54" s="802"/>
      <c r="K54" s="843"/>
      <c r="L54" s="622"/>
      <c r="M54" s="622"/>
      <c r="N54" s="44"/>
    </row>
    <row r="55" spans="1:14" ht="57" customHeight="1" thickBot="1">
      <c r="A55" s="837"/>
      <c r="B55" s="839"/>
      <c r="C55" s="840"/>
      <c r="D55" s="846" t="s">
        <v>165</v>
      </c>
      <c r="E55" s="847" t="s">
        <v>90</v>
      </c>
      <c r="F55" s="848"/>
      <c r="G55" s="849" t="s">
        <v>31</v>
      </c>
      <c r="H55" s="850">
        <f>58/3.4528*1000</f>
        <v>16797.96107506951</v>
      </c>
      <c r="I55" s="851"/>
      <c r="J55" s="852"/>
      <c r="K55" s="853" t="s">
        <v>158</v>
      </c>
      <c r="L55" s="854">
        <v>100</v>
      </c>
      <c r="M55" s="855"/>
      <c r="N55" s="856"/>
    </row>
    <row r="56" spans="1:14" ht="12.75" customHeight="1">
      <c r="A56" s="581"/>
      <c r="B56" s="589"/>
      <c r="C56" s="592"/>
      <c r="D56" s="1021" t="s">
        <v>84</v>
      </c>
      <c r="E56" s="1035" t="s">
        <v>90</v>
      </c>
      <c r="F56" s="629"/>
      <c r="G56" s="481" t="s">
        <v>31</v>
      </c>
      <c r="H56" s="803"/>
      <c r="I56" s="804">
        <f>10/3.4528*1000</f>
        <v>2896.2001853568122</v>
      </c>
      <c r="J56" s="805"/>
      <c r="K56" s="2" t="s">
        <v>131</v>
      </c>
      <c r="L56" s="810"/>
      <c r="M56" s="810">
        <v>1</v>
      </c>
      <c r="N56" s="66"/>
    </row>
    <row r="57" spans="1:14">
      <c r="A57" s="581"/>
      <c r="B57" s="589"/>
      <c r="C57" s="592"/>
      <c r="D57" s="1021"/>
      <c r="E57" s="1036"/>
      <c r="F57" s="629"/>
      <c r="G57" s="533" t="s">
        <v>61</v>
      </c>
      <c r="H57" s="765"/>
      <c r="I57" s="788"/>
      <c r="J57" s="774">
        <f>88.1/3.4528*1000</f>
        <v>25515.523632993514</v>
      </c>
      <c r="K57" s="1022" t="s">
        <v>159</v>
      </c>
      <c r="L57" s="810"/>
      <c r="M57" s="810">
        <v>70</v>
      </c>
      <c r="N57" s="66">
        <v>100</v>
      </c>
    </row>
    <row r="58" spans="1:14">
      <c r="A58" s="581"/>
      <c r="B58" s="589"/>
      <c r="C58" s="592"/>
      <c r="D58" s="1021"/>
      <c r="E58" s="1036"/>
      <c r="F58" s="629"/>
      <c r="G58" s="517" t="s">
        <v>59</v>
      </c>
      <c r="H58" s="766"/>
      <c r="I58" s="806"/>
      <c r="J58" s="807">
        <f>88.1/3.4528*1000</f>
        <v>25515.523632993514</v>
      </c>
      <c r="K58" s="1023"/>
      <c r="L58" s="810"/>
      <c r="M58" s="810"/>
      <c r="N58" s="66"/>
    </row>
    <row r="59" spans="1:14">
      <c r="A59" s="581"/>
      <c r="B59" s="589"/>
      <c r="C59" s="590"/>
      <c r="D59" s="1021"/>
      <c r="E59" s="1036"/>
      <c r="F59" s="629"/>
      <c r="G59" s="46" t="s">
        <v>58</v>
      </c>
      <c r="H59" s="767"/>
      <c r="I59" s="768"/>
      <c r="J59" s="769">
        <f>998.4/3.4528*1000</f>
        <v>289156.6265060241</v>
      </c>
      <c r="K59" s="731"/>
      <c r="L59" s="810"/>
      <c r="M59" s="810"/>
      <c r="N59" s="66"/>
    </row>
    <row r="60" spans="1:14" ht="14.25" customHeight="1" thickBot="1">
      <c r="A60" s="581"/>
      <c r="B60" s="589"/>
      <c r="C60" s="592"/>
      <c r="D60" s="729"/>
      <c r="E60" s="1037"/>
      <c r="F60" s="629"/>
      <c r="G60" s="53" t="s">
        <v>9</v>
      </c>
      <c r="H60" s="778">
        <f>SUM(H52:H59)</f>
        <v>39967.562557924008</v>
      </c>
      <c r="I60" s="778">
        <f>SUM(I53:I59)</f>
        <v>2896.2001853568122</v>
      </c>
      <c r="J60" s="778">
        <f>SUM(J53:J59)</f>
        <v>340187.67377201113</v>
      </c>
      <c r="K60" s="730"/>
      <c r="L60" s="270"/>
      <c r="M60" s="764"/>
      <c r="N60" s="107"/>
    </row>
    <row r="61" spans="1:14" ht="15.75" customHeight="1">
      <c r="A61" s="596" t="s">
        <v>8</v>
      </c>
      <c r="B61" s="597" t="s">
        <v>32</v>
      </c>
      <c r="C61" s="591" t="s">
        <v>38</v>
      </c>
      <c r="D61" s="897" t="s">
        <v>139</v>
      </c>
      <c r="E61" s="1063" t="s">
        <v>141</v>
      </c>
      <c r="F61" s="757" t="s">
        <v>33</v>
      </c>
      <c r="G61" s="898"/>
      <c r="H61" s="899"/>
      <c r="I61" s="900"/>
      <c r="J61" s="901"/>
      <c r="K61" s="758"/>
      <c r="L61" s="762"/>
      <c r="M61" s="762"/>
      <c r="N61" s="38"/>
    </row>
    <row r="62" spans="1:14" ht="18.75" customHeight="1">
      <c r="A62" s="751"/>
      <c r="B62" s="752"/>
      <c r="C62" s="753"/>
      <c r="D62" s="1045" t="s">
        <v>53</v>
      </c>
      <c r="E62" s="1064"/>
      <c r="F62" s="759"/>
      <c r="G62" s="896" t="s">
        <v>42</v>
      </c>
      <c r="H62" s="803">
        <f>130.2/3.4528*1000</f>
        <v>37708.526413345688</v>
      </c>
      <c r="I62" s="804">
        <f>130/3.4528*1000</f>
        <v>37650.602409638559</v>
      </c>
      <c r="J62" s="804">
        <f>130/3.4528*1000</f>
        <v>37650.602409638559</v>
      </c>
      <c r="K62" s="374" t="s">
        <v>163</v>
      </c>
      <c r="L62" s="764">
        <v>1.3</v>
      </c>
      <c r="M62" s="764">
        <v>1.3</v>
      </c>
      <c r="N62" s="760">
        <v>1.3</v>
      </c>
    </row>
    <row r="63" spans="1:14" ht="13.5" thickBot="1">
      <c r="A63" s="588"/>
      <c r="B63" s="583"/>
      <c r="C63" s="600"/>
      <c r="D63" s="1062"/>
      <c r="E63" s="1065"/>
      <c r="F63" s="630"/>
      <c r="G63" s="55" t="s">
        <v>9</v>
      </c>
      <c r="H63" s="778">
        <f>H62</f>
        <v>37708.526413345688</v>
      </c>
      <c r="I63" s="778">
        <f t="shared" ref="I63:J63" si="11">I62</f>
        <v>37650.602409638559</v>
      </c>
      <c r="J63" s="778">
        <f t="shared" si="11"/>
        <v>37650.602409638559</v>
      </c>
      <c r="K63" s="615"/>
      <c r="L63" s="616"/>
      <c r="M63" s="616"/>
      <c r="N63" s="614"/>
    </row>
    <row r="64" spans="1:14" ht="13.5" thickBot="1">
      <c r="A64" s="290" t="s">
        <v>8</v>
      </c>
      <c r="B64" s="583" t="s">
        <v>32</v>
      </c>
      <c r="C64" s="1054" t="s">
        <v>11</v>
      </c>
      <c r="D64" s="1054"/>
      <c r="E64" s="1054"/>
      <c r="F64" s="1054"/>
      <c r="G64" s="1054"/>
      <c r="H64" s="808">
        <f>H63+H60+H50+H44</f>
        <v>234765.98702502315</v>
      </c>
      <c r="I64" s="808">
        <f>I63+I60+I50+I44</f>
        <v>188716.40407784987</v>
      </c>
      <c r="J64" s="808">
        <f>J63+J60+J50+J44</f>
        <v>526007.87766450422</v>
      </c>
      <c r="K64" s="1055"/>
      <c r="L64" s="1056"/>
      <c r="M64" s="1056"/>
      <c r="N64" s="1057"/>
    </row>
    <row r="65" spans="1:31" ht="13.5" thickBot="1">
      <c r="A65" s="287" t="s">
        <v>8</v>
      </c>
      <c r="B65" s="6" t="s">
        <v>38</v>
      </c>
      <c r="C65" s="1058" t="s">
        <v>166</v>
      </c>
      <c r="D65" s="1059"/>
      <c r="E65" s="1059"/>
      <c r="F65" s="1059"/>
      <c r="G65" s="1060"/>
      <c r="H65" s="1060"/>
      <c r="I65" s="1060"/>
      <c r="J65" s="1060"/>
      <c r="K65" s="1059"/>
      <c r="L65" s="1059"/>
      <c r="M65" s="1059"/>
      <c r="N65" s="1061"/>
    </row>
    <row r="66" spans="1:31" ht="12.75" customHeight="1">
      <c r="A66" s="664" t="s">
        <v>8</v>
      </c>
      <c r="B66" s="667" t="s">
        <v>38</v>
      </c>
      <c r="C66" s="670" t="s">
        <v>8</v>
      </c>
      <c r="D66" s="1046" t="s">
        <v>97</v>
      </c>
      <c r="E66" s="1004" t="s">
        <v>65</v>
      </c>
      <c r="F66" s="1049" t="s">
        <v>44</v>
      </c>
      <c r="G66" s="701" t="s">
        <v>42</v>
      </c>
      <c r="H66" s="811">
        <f>6.8/3.4528*1000</f>
        <v>1969.4161260426322</v>
      </c>
      <c r="I66" s="782"/>
      <c r="J66" s="782"/>
      <c r="K66" s="1040" t="s">
        <v>134</v>
      </c>
      <c r="L66" s="254"/>
      <c r="M66" s="586"/>
      <c r="N66" s="38"/>
    </row>
    <row r="67" spans="1:31">
      <c r="A67" s="665"/>
      <c r="B67" s="668"/>
      <c r="C67" s="671"/>
      <c r="D67" s="1047"/>
      <c r="E67" s="1005"/>
      <c r="F67" s="1050"/>
      <c r="G67" s="702" t="s">
        <v>31</v>
      </c>
      <c r="H67" s="812">
        <f>152.6/3.4528*1000</f>
        <v>44196.014828544947</v>
      </c>
      <c r="I67" s="793"/>
      <c r="J67" s="793"/>
      <c r="K67" s="1052"/>
      <c r="L67" s="255">
        <v>100</v>
      </c>
      <c r="M67" s="764"/>
      <c r="N67" s="44"/>
    </row>
    <row r="68" spans="1:31" ht="16.5" customHeight="1" thickBot="1">
      <c r="A68" s="666"/>
      <c r="B68" s="669"/>
      <c r="C68" s="672"/>
      <c r="D68" s="1048"/>
      <c r="E68" s="1006"/>
      <c r="F68" s="1051"/>
      <c r="G68" s="56" t="s">
        <v>9</v>
      </c>
      <c r="H68" s="813">
        <f>H67+H66</f>
        <v>46165.43095458758</v>
      </c>
      <c r="I68" s="778"/>
      <c r="J68" s="778"/>
      <c r="K68" s="1053"/>
      <c r="L68" s="256"/>
      <c r="M68" s="763"/>
      <c r="N68" s="39"/>
    </row>
    <row r="69" spans="1:31" ht="15" customHeight="1">
      <c r="A69" s="1070" t="s">
        <v>8</v>
      </c>
      <c r="B69" s="1073" t="s">
        <v>38</v>
      </c>
      <c r="C69" s="999" t="s">
        <v>10</v>
      </c>
      <c r="D69" s="1002" t="s">
        <v>92</v>
      </c>
      <c r="E69" s="1145" t="s">
        <v>143</v>
      </c>
      <c r="F69" s="1136" t="s">
        <v>44</v>
      </c>
      <c r="G69" s="67" t="s">
        <v>42</v>
      </c>
      <c r="H69" s="780">
        <f>32.4/3.4528*1000</f>
        <v>9383.68860055607</v>
      </c>
      <c r="I69" s="814"/>
      <c r="J69" s="815"/>
      <c r="K69" s="1142" t="s">
        <v>164</v>
      </c>
      <c r="L69" s="618">
        <v>100</v>
      </c>
      <c r="M69" s="621"/>
      <c r="N69" s="167"/>
    </row>
    <row r="70" spans="1:31" ht="14.25" customHeight="1">
      <c r="A70" s="1070"/>
      <c r="B70" s="1073"/>
      <c r="C70" s="999"/>
      <c r="D70" s="1002"/>
      <c r="E70" s="1146"/>
      <c r="F70" s="1136"/>
      <c r="G70" s="67" t="s">
        <v>42</v>
      </c>
      <c r="H70" s="767">
        <f>49.9/3.4528*1000</f>
        <v>14452.038924930492</v>
      </c>
      <c r="I70" s="814"/>
      <c r="J70" s="815"/>
      <c r="K70" s="1143"/>
      <c r="L70" s="619"/>
      <c r="M70" s="622"/>
      <c r="N70" s="168"/>
    </row>
    <row r="71" spans="1:31" ht="24" customHeight="1" thickBot="1">
      <c r="A71" s="1071"/>
      <c r="B71" s="1074"/>
      <c r="C71" s="1000"/>
      <c r="D71" s="1003"/>
      <c r="E71" s="1147"/>
      <c r="F71" s="1137"/>
      <c r="G71" s="54" t="s">
        <v>9</v>
      </c>
      <c r="H71" s="777">
        <f>H70+H69</f>
        <v>23835.72752548656</v>
      </c>
      <c r="I71" s="816"/>
      <c r="J71" s="777"/>
      <c r="K71" s="1144"/>
      <c r="L71" s="620"/>
      <c r="M71" s="739"/>
      <c r="N71" s="166"/>
    </row>
    <row r="72" spans="1:31" ht="12.75" customHeight="1">
      <c r="A72" s="1069" t="s">
        <v>8</v>
      </c>
      <c r="B72" s="1072" t="s">
        <v>38</v>
      </c>
      <c r="C72" s="998" t="s">
        <v>32</v>
      </c>
      <c r="D72" s="1001" t="s">
        <v>75</v>
      </c>
      <c r="E72" s="1075" t="s">
        <v>65</v>
      </c>
      <c r="F72" s="1078" t="s">
        <v>44</v>
      </c>
      <c r="G72" s="531" t="s">
        <v>58</v>
      </c>
      <c r="H72" s="786">
        <f>3117.5/3.4528*1000</f>
        <v>902890.40778498608</v>
      </c>
      <c r="I72" s="817"/>
      <c r="J72" s="772"/>
      <c r="K72" s="1040" t="s">
        <v>151</v>
      </c>
      <c r="L72" s="254"/>
      <c r="M72" s="762"/>
      <c r="N72" s="1116"/>
    </row>
    <row r="73" spans="1:31">
      <c r="A73" s="1070"/>
      <c r="B73" s="1073"/>
      <c r="C73" s="999"/>
      <c r="D73" s="1002"/>
      <c r="E73" s="1076"/>
      <c r="F73" s="1079"/>
      <c r="G73" s="617" t="s">
        <v>31</v>
      </c>
      <c r="H73" s="766"/>
      <c r="I73" s="818"/>
      <c r="J73" s="807"/>
      <c r="K73" s="1052"/>
      <c r="L73" s="255">
        <v>100</v>
      </c>
      <c r="M73" s="764"/>
      <c r="N73" s="1117"/>
    </row>
    <row r="74" spans="1:31" ht="13.5" thickBot="1">
      <c r="A74" s="1071"/>
      <c r="B74" s="1074"/>
      <c r="C74" s="1000"/>
      <c r="D74" s="1003"/>
      <c r="E74" s="1077"/>
      <c r="F74" s="1080"/>
      <c r="G74" s="53" t="s">
        <v>9</v>
      </c>
      <c r="H74" s="778">
        <f>SUM(H72:H73)</f>
        <v>902890.40778498608</v>
      </c>
      <c r="I74" s="813"/>
      <c r="J74" s="778"/>
      <c r="K74" s="1053"/>
      <c r="L74" s="256"/>
      <c r="M74" s="763"/>
      <c r="N74" s="39"/>
    </row>
    <row r="75" spans="1:31" ht="12.75" customHeight="1">
      <c r="A75" s="1101" t="s">
        <v>8</v>
      </c>
      <c r="B75" s="1104" t="s">
        <v>38</v>
      </c>
      <c r="C75" s="1107" t="s">
        <v>38</v>
      </c>
      <c r="D75" s="1110" t="s">
        <v>128</v>
      </c>
      <c r="E75" s="1113" t="s">
        <v>150</v>
      </c>
      <c r="F75" s="1133" t="s">
        <v>44</v>
      </c>
      <c r="G75" s="47" t="s">
        <v>58</v>
      </c>
      <c r="H75" s="819"/>
      <c r="I75" s="820"/>
      <c r="J75" s="821"/>
      <c r="K75" s="553"/>
      <c r="L75" s="621"/>
      <c r="M75" s="621"/>
      <c r="N75" s="167"/>
    </row>
    <row r="76" spans="1:31" ht="16.5" customHeight="1">
      <c r="A76" s="1102"/>
      <c r="B76" s="1105"/>
      <c r="C76" s="1108"/>
      <c r="D76" s="1111"/>
      <c r="E76" s="1114"/>
      <c r="F76" s="1134"/>
      <c r="G76" s="48" t="s">
        <v>42</v>
      </c>
      <c r="H76" s="822"/>
      <c r="I76" s="823">
        <f>133/3.4528*1000</f>
        <v>38519.462465245597</v>
      </c>
      <c r="J76" s="815"/>
      <c r="K76" s="598" t="s">
        <v>156</v>
      </c>
      <c r="L76" s="622"/>
      <c r="M76" s="622">
        <v>1</v>
      </c>
      <c r="N76" s="168"/>
    </row>
    <row r="77" spans="1:31" ht="13.5" thickBot="1">
      <c r="A77" s="1103"/>
      <c r="B77" s="1106"/>
      <c r="C77" s="1109"/>
      <c r="D77" s="1112"/>
      <c r="E77" s="1115"/>
      <c r="F77" s="1135"/>
      <c r="G77" s="57" t="s">
        <v>9</v>
      </c>
      <c r="H77" s="824">
        <f>H76</f>
        <v>0</v>
      </c>
      <c r="I77" s="816">
        <f>I76</f>
        <v>38519.462465245597</v>
      </c>
      <c r="J77" s="777"/>
      <c r="K77" s="554"/>
      <c r="L77" s="429"/>
      <c r="M77" s="429"/>
      <c r="N77" s="430"/>
    </row>
    <row r="78" spans="1:31" ht="13.5" thickBot="1">
      <c r="A78" s="588" t="s">
        <v>10</v>
      </c>
      <c r="B78" s="583" t="s">
        <v>38</v>
      </c>
      <c r="C78" s="1100" t="s">
        <v>11</v>
      </c>
      <c r="D78" s="1009"/>
      <c r="E78" s="1009"/>
      <c r="F78" s="1009"/>
      <c r="G78" s="1009"/>
      <c r="H78" s="783">
        <f>H77+H71+H68+H74</f>
        <v>972891.56626506022</v>
      </c>
      <c r="I78" s="783">
        <f t="shared" ref="I78:J78" si="12">I77+I71+I68+I74</f>
        <v>38519.462465245597</v>
      </c>
      <c r="J78" s="783">
        <f t="shared" si="12"/>
        <v>0</v>
      </c>
      <c r="K78" s="1031"/>
      <c r="L78" s="1031"/>
      <c r="M78" s="1031"/>
      <c r="N78" s="1032"/>
    </row>
    <row r="79" spans="1:31" ht="13.5" thickBot="1">
      <c r="A79" s="288" t="s">
        <v>8</v>
      </c>
      <c r="B79" s="1131" t="s">
        <v>12</v>
      </c>
      <c r="C79" s="1132"/>
      <c r="D79" s="1132"/>
      <c r="E79" s="1132"/>
      <c r="F79" s="1132"/>
      <c r="G79" s="1132"/>
      <c r="H79" s="825">
        <f>H78+H64+H39+H31</f>
        <v>8597544.022242818</v>
      </c>
      <c r="I79" s="826">
        <f>I78+I64+I39+I31</f>
        <v>5865442.5393883232</v>
      </c>
      <c r="J79" s="825">
        <f>J78+J64+J39+J31</f>
        <v>6176378.5912882304</v>
      </c>
      <c r="K79" s="1138"/>
      <c r="L79" s="1138"/>
      <c r="M79" s="1138"/>
      <c r="N79" s="1139"/>
    </row>
    <row r="80" spans="1:31" ht="13.5" thickBot="1">
      <c r="A80" s="16" t="s">
        <v>37</v>
      </c>
      <c r="B80" s="1096" t="s">
        <v>76</v>
      </c>
      <c r="C80" s="1097"/>
      <c r="D80" s="1097"/>
      <c r="E80" s="1097"/>
      <c r="F80" s="1097"/>
      <c r="G80" s="1097"/>
      <c r="H80" s="827">
        <f>H79</f>
        <v>8597544.022242818</v>
      </c>
      <c r="I80" s="828">
        <f>I79</f>
        <v>5865442.5393883232</v>
      </c>
      <c r="J80" s="827">
        <f t="shared" ref="J80" si="13">J79</f>
        <v>6176378.5912882304</v>
      </c>
      <c r="K80" s="1140"/>
      <c r="L80" s="1140"/>
      <c r="M80" s="1140"/>
      <c r="N80" s="1141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</row>
    <row r="81" spans="1:31" s="22" customFormat="1" ht="12.75" customHeight="1">
      <c r="A81" s="1098"/>
      <c r="B81" s="1099"/>
      <c r="C81" s="1099"/>
      <c r="D81" s="1099"/>
      <c r="E81" s="1099"/>
      <c r="F81" s="1099"/>
      <c r="G81" s="1099"/>
      <c r="H81" s="175"/>
      <c r="I81" s="176"/>
      <c r="J81" s="176"/>
      <c r="K81" s="32"/>
      <c r="L81" s="32"/>
      <c r="M81" s="32"/>
      <c r="N81" s="32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</row>
    <row r="82" spans="1:31" s="22" customFormat="1" ht="16.5" customHeight="1" thickBot="1">
      <c r="A82" s="1124" t="s">
        <v>17</v>
      </c>
      <c r="B82" s="1124"/>
      <c r="C82" s="1124"/>
      <c r="D82" s="1124"/>
      <c r="E82" s="1124"/>
      <c r="F82" s="1124"/>
      <c r="G82" s="1124"/>
      <c r="H82" s="184"/>
      <c r="I82" s="184"/>
      <c r="J82" s="184"/>
      <c r="K82" s="228"/>
      <c r="L82" s="1"/>
      <c r="M82" s="1"/>
      <c r="N82" s="1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</row>
    <row r="83" spans="1:31" ht="45" customHeight="1" thickBot="1">
      <c r="A83" s="1125" t="s">
        <v>13</v>
      </c>
      <c r="B83" s="1126"/>
      <c r="C83" s="1126"/>
      <c r="D83" s="1126"/>
      <c r="E83" s="1126"/>
      <c r="F83" s="1126"/>
      <c r="G83" s="1127"/>
      <c r="H83" s="833" t="s">
        <v>103</v>
      </c>
      <c r="I83" s="70" t="s">
        <v>116</v>
      </c>
      <c r="J83" s="70" t="s">
        <v>117</v>
      </c>
      <c r="N83" s="5"/>
    </row>
    <row r="84" spans="1:31">
      <c r="A84" s="1128" t="s">
        <v>18</v>
      </c>
      <c r="B84" s="1129"/>
      <c r="C84" s="1129"/>
      <c r="D84" s="1129"/>
      <c r="E84" s="1129"/>
      <c r="F84" s="1129"/>
      <c r="G84" s="1130"/>
      <c r="H84" s="829">
        <f>H85+H90+H91</f>
        <v>6474339.6663577389</v>
      </c>
      <c r="I84" s="829">
        <f>I85+I90+I91</f>
        <v>5865442.5393883232</v>
      </c>
      <c r="J84" s="829">
        <f ca="1">J85+J90+J91</f>
        <v>5861706.4411492134</v>
      </c>
      <c r="K84" s="7"/>
    </row>
    <row r="85" spans="1:31" ht="12.75" customHeight="1">
      <c r="A85" s="1118" t="s">
        <v>144</v>
      </c>
      <c r="B85" s="1119"/>
      <c r="C85" s="1119"/>
      <c r="D85" s="1119"/>
      <c r="E85" s="1119"/>
      <c r="F85" s="1119"/>
      <c r="G85" s="1120"/>
      <c r="H85" s="830">
        <f>H86+H87+H88+H89</f>
        <v>5513959.68489342</v>
      </c>
      <c r="I85" s="830">
        <f>I86+I87+I88+I89</f>
        <v>5387511.5848007416</v>
      </c>
      <c r="J85" s="830">
        <f ca="1">J86+J87+J88+J89</f>
        <v>5383775.4865616318</v>
      </c>
      <c r="K85" s="7"/>
    </row>
    <row r="86" spans="1:31">
      <c r="A86" s="1121" t="s">
        <v>24</v>
      </c>
      <c r="B86" s="1122"/>
      <c r="C86" s="1122"/>
      <c r="D86" s="1122"/>
      <c r="E86" s="1122"/>
      <c r="F86" s="1122"/>
      <c r="G86" s="1123"/>
      <c r="H86" s="769">
        <f>SUMIF(G12:G80,"SB",H12:H80)</f>
        <v>60993.975903614453</v>
      </c>
      <c r="I86" s="769">
        <f>SUMIF(G12:G80,"SB",I12:I80)</f>
        <v>2896.2001853568122</v>
      </c>
      <c r="J86" s="769">
        <f>SUMIF(G12:G80,"SB",J12:J80)</f>
        <v>0</v>
      </c>
      <c r="K86" s="307"/>
      <c r="L86" s="15"/>
      <c r="M86" s="15"/>
    </row>
    <row r="87" spans="1:31" ht="30" customHeight="1">
      <c r="A87" s="1093" t="s">
        <v>25</v>
      </c>
      <c r="B87" s="1094"/>
      <c r="C87" s="1094"/>
      <c r="D87" s="1094"/>
      <c r="E87" s="1094"/>
      <c r="F87" s="1094"/>
      <c r="G87" s="1095"/>
      <c r="H87" s="769">
        <f>SUMIF(G12:G79,"SB(AA)",H12:H79)</f>
        <v>384615.38461538462</v>
      </c>
      <c r="I87" s="769">
        <f>SUMIF(G12:G79,"SB(AA)",I12:I79)</f>
        <v>350150.60240963858</v>
      </c>
      <c r="J87" s="769">
        <f ca="1">SUMIF(G12:G80,"SB(AA)",J12:J79)</f>
        <v>323795.18072289164</v>
      </c>
      <c r="K87" s="7"/>
    </row>
    <row r="88" spans="1:31">
      <c r="A88" s="1093" t="s">
        <v>87</v>
      </c>
      <c r="B88" s="1094"/>
      <c r="C88" s="1094"/>
      <c r="D88" s="1094"/>
      <c r="E88" s="1094"/>
      <c r="F88" s="1094"/>
      <c r="G88" s="1095"/>
      <c r="H88" s="769">
        <f>SUMIF(G12:G80,"SB(VR)",H12:H80)</f>
        <v>5068350.3243744206</v>
      </c>
      <c r="I88" s="769">
        <f>SUMIF(G12:G80,"SB(VR)",I12:I80)</f>
        <v>5034464.7822057465</v>
      </c>
      <c r="J88" s="769">
        <f>SUMIF(G12:G80,"SB(VR)",J12:J80)</f>
        <v>5034464.7822057465</v>
      </c>
      <c r="K88" s="307"/>
      <c r="L88" s="15"/>
      <c r="M88" s="15"/>
    </row>
    <row r="89" spans="1:31">
      <c r="A89" s="1093" t="s">
        <v>27</v>
      </c>
      <c r="B89" s="1094"/>
      <c r="C89" s="1094"/>
      <c r="D89" s="1094"/>
      <c r="E89" s="1094"/>
      <c r="F89" s="1094"/>
      <c r="G89" s="1095"/>
      <c r="H89" s="769">
        <f>SUMIF(G12:G80,"SB(P)",H12:H80)</f>
        <v>0</v>
      </c>
      <c r="I89" s="769">
        <f>SUMIF(G12:G80,"SB(P)",I12:I80)</f>
        <v>0</v>
      </c>
      <c r="J89" s="769">
        <f>SUMIF(G12:G80,"SB(P)",J12:J80)</f>
        <v>25515.523632993514</v>
      </c>
      <c r="K89" s="307"/>
      <c r="L89" s="15"/>
      <c r="M89" s="15"/>
    </row>
    <row r="90" spans="1:31">
      <c r="A90" s="1087" t="s">
        <v>26</v>
      </c>
      <c r="B90" s="1088"/>
      <c r="C90" s="1088"/>
      <c r="D90" s="1088"/>
      <c r="E90" s="1088"/>
      <c r="F90" s="1088"/>
      <c r="G90" s="1089"/>
      <c r="H90" s="767">
        <f>SUMIF(G13:G80,"SB(AAL)",H13:H80)</f>
        <v>0</v>
      </c>
      <c r="I90" s="767">
        <f>SUMIF(G13:G80,"SB(AAL)",I13:I80)</f>
        <v>0</v>
      </c>
      <c r="J90" s="767">
        <f ca="1">SUMIF(G16:G84,"SB(X110AAL)",J16:J80)</f>
        <v>0</v>
      </c>
      <c r="K90" s="307"/>
      <c r="L90" s="15"/>
      <c r="M90" s="15"/>
      <c r="O90" s="69"/>
    </row>
    <row r="91" spans="1:31">
      <c r="A91" s="1087" t="s">
        <v>89</v>
      </c>
      <c r="B91" s="1088"/>
      <c r="C91" s="1088"/>
      <c r="D91" s="1088"/>
      <c r="E91" s="1088"/>
      <c r="F91" s="1088"/>
      <c r="G91" s="1089"/>
      <c r="H91" s="767">
        <f>SUMIF(G13:G80,"SB(VRL)",H13:H80)</f>
        <v>960379.98146431893</v>
      </c>
      <c r="I91" s="767">
        <f>SUMIF(G13:G80,"SB(VRL)",I13:I80)</f>
        <v>477930.95458758116</v>
      </c>
      <c r="J91" s="767">
        <f>SUMIF(G13:G80,"SB(VRL)",J13:J80)</f>
        <v>477930.95458758116</v>
      </c>
      <c r="K91" s="7"/>
    </row>
    <row r="92" spans="1:31">
      <c r="A92" s="1090" t="s">
        <v>19</v>
      </c>
      <c r="B92" s="1091"/>
      <c r="C92" s="1091"/>
      <c r="D92" s="1091"/>
      <c r="E92" s="1091"/>
      <c r="F92" s="1091"/>
      <c r="G92" s="1092"/>
      <c r="H92" s="831">
        <f>H93+H94+H95</f>
        <v>2123204.3558850791</v>
      </c>
      <c r="I92" s="831">
        <f>I93+I94+I95</f>
        <v>0</v>
      </c>
      <c r="J92" s="831">
        <f>J93+J94+J95</f>
        <v>314672.15013901761</v>
      </c>
      <c r="K92" s="308"/>
      <c r="L92" s="23"/>
      <c r="M92" s="23"/>
    </row>
    <row r="93" spans="1:31">
      <c r="A93" s="1084" t="s">
        <v>28</v>
      </c>
      <c r="B93" s="1085"/>
      <c r="C93" s="1085"/>
      <c r="D93" s="1085"/>
      <c r="E93" s="1085"/>
      <c r="F93" s="1085"/>
      <c r="G93" s="1086"/>
      <c r="H93" s="769">
        <f>SUMIF(G12:G80,"ES",H12:H80)</f>
        <v>1958207.8313253014</v>
      </c>
      <c r="I93" s="769">
        <f>SUMIF(G12:G80,"ES",I12:I80)</f>
        <v>0</v>
      </c>
      <c r="J93" s="769">
        <f>SUMIF(G12:G80,"ES",J12:J80)</f>
        <v>289156.6265060241</v>
      </c>
      <c r="K93" s="7"/>
    </row>
    <row r="94" spans="1:31">
      <c r="A94" s="1066" t="s">
        <v>29</v>
      </c>
      <c r="B94" s="1067"/>
      <c r="C94" s="1067"/>
      <c r="D94" s="1067"/>
      <c r="E94" s="1067"/>
      <c r="F94" s="1067"/>
      <c r="G94" s="1068"/>
      <c r="H94" s="769">
        <f>SUMIF(G13:G80,"LRVB",H13:H80)</f>
        <v>47729.379054680263</v>
      </c>
      <c r="I94" s="769">
        <f>SUMIF(G13:G80,"LRVB",I13:I80)</f>
        <v>0</v>
      </c>
      <c r="J94" s="769">
        <f>SUMIF(G13:G80,"LRVB",J13:J80)</f>
        <v>25515.523632993514</v>
      </c>
      <c r="K94" s="7"/>
    </row>
    <row r="95" spans="1:31">
      <c r="A95" s="1066" t="s">
        <v>77</v>
      </c>
      <c r="B95" s="1067"/>
      <c r="C95" s="1067"/>
      <c r="D95" s="1067"/>
      <c r="E95" s="1067"/>
      <c r="F95" s="1067"/>
      <c r="G95" s="1068"/>
      <c r="H95" s="769">
        <f>SUMIF(G12:G80,"Kt",H12:H80)</f>
        <v>117267.1455050973</v>
      </c>
      <c r="I95" s="769">
        <f>SUMIF(G12:G80,"Kt",I12:I80)</f>
        <v>0</v>
      </c>
      <c r="J95" s="769">
        <f>SUMIF(G12:G80,"Kt",J12:J80)</f>
        <v>0</v>
      </c>
      <c r="K95" s="7"/>
    </row>
    <row r="96" spans="1:31" ht="13.5" thickBot="1">
      <c r="A96" s="1081" t="s">
        <v>20</v>
      </c>
      <c r="B96" s="1082"/>
      <c r="C96" s="1082"/>
      <c r="D96" s="1082"/>
      <c r="E96" s="1082"/>
      <c r="F96" s="1082"/>
      <c r="G96" s="1083"/>
      <c r="H96" s="832">
        <f>H92+H84</f>
        <v>8597544.022242818</v>
      </c>
      <c r="I96" s="832">
        <f>I92+I84</f>
        <v>5865442.5393883232</v>
      </c>
      <c r="J96" s="832">
        <f ca="1">J92+J84</f>
        <v>6176378.5912882313</v>
      </c>
      <c r="K96" s="63"/>
      <c r="L96" s="2"/>
      <c r="M96" s="2"/>
      <c r="N96" s="26"/>
    </row>
    <row r="99" spans="8:10">
      <c r="H99" s="177"/>
      <c r="I99" s="177"/>
      <c r="J99" s="177"/>
    </row>
    <row r="101" spans="8:10">
      <c r="H101" s="177"/>
    </row>
  </sheetData>
  <mergeCells count="141">
    <mergeCell ref="N72:N73"/>
    <mergeCell ref="A85:G85"/>
    <mergeCell ref="A86:G86"/>
    <mergeCell ref="A82:G82"/>
    <mergeCell ref="A83:G83"/>
    <mergeCell ref="A84:G84"/>
    <mergeCell ref="B79:G79"/>
    <mergeCell ref="F75:F77"/>
    <mergeCell ref="F69:F71"/>
    <mergeCell ref="K79:N79"/>
    <mergeCell ref="K80:N80"/>
    <mergeCell ref="K78:N78"/>
    <mergeCell ref="K69:K71"/>
    <mergeCell ref="A69:A71"/>
    <mergeCell ref="B69:B71"/>
    <mergeCell ref="C69:C71"/>
    <mergeCell ref="D69:D71"/>
    <mergeCell ref="E69:E71"/>
    <mergeCell ref="K72:K74"/>
    <mergeCell ref="A95:G95"/>
    <mergeCell ref="A72:A74"/>
    <mergeCell ref="B72:B74"/>
    <mergeCell ref="C72:C74"/>
    <mergeCell ref="D72:D74"/>
    <mergeCell ref="E72:E74"/>
    <mergeCell ref="F72:F74"/>
    <mergeCell ref="A96:G96"/>
    <mergeCell ref="A93:G93"/>
    <mergeCell ref="A94:G94"/>
    <mergeCell ref="A91:G91"/>
    <mergeCell ref="A92:G92"/>
    <mergeCell ref="A89:G89"/>
    <mergeCell ref="A90:G90"/>
    <mergeCell ref="A87:G87"/>
    <mergeCell ref="A88:G88"/>
    <mergeCell ref="B80:G80"/>
    <mergeCell ref="A81:G81"/>
    <mergeCell ref="C78:G78"/>
    <mergeCell ref="A75:A77"/>
    <mergeCell ref="B75:B77"/>
    <mergeCell ref="C75:C77"/>
    <mergeCell ref="D75:D77"/>
    <mergeCell ref="E75:E77"/>
    <mergeCell ref="D66:D68"/>
    <mergeCell ref="E66:E68"/>
    <mergeCell ref="F66:F68"/>
    <mergeCell ref="K66:K68"/>
    <mergeCell ref="C64:G64"/>
    <mergeCell ref="K64:N64"/>
    <mergeCell ref="C65:N65"/>
    <mergeCell ref="D62:D63"/>
    <mergeCell ref="E61:E63"/>
    <mergeCell ref="A37:A38"/>
    <mergeCell ref="B37:B38"/>
    <mergeCell ref="C37:C38"/>
    <mergeCell ref="D37:D38"/>
    <mergeCell ref="E37:E38"/>
    <mergeCell ref="F37:F38"/>
    <mergeCell ref="K37:K38"/>
    <mergeCell ref="D52:D54"/>
    <mergeCell ref="K52:K53"/>
    <mergeCell ref="D43:D44"/>
    <mergeCell ref="D56:D59"/>
    <mergeCell ref="K57:K58"/>
    <mergeCell ref="D46:D48"/>
    <mergeCell ref="E46:E48"/>
    <mergeCell ref="D49:D50"/>
    <mergeCell ref="C39:G39"/>
    <mergeCell ref="K39:N39"/>
    <mergeCell ref="C40:N40"/>
    <mergeCell ref="E42:E44"/>
    <mergeCell ref="E56:E60"/>
    <mergeCell ref="C31:G31"/>
    <mergeCell ref="C32:N32"/>
    <mergeCell ref="A33:A36"/>
    <mergeCell ref="B33:B36"/>
    <mergeCell ref="C33:C36"/>
    <mergeCell ref="D33:D36"/>
    <mergeCell ref="E33:E36"/>
    <mergeCell ref="F33:F36"/>
    <mergeCell ref="K33:K35"/>
    <mergeCell ref="A26:A28"/>
    <mergeCell ref="B26:B28"/>
    <mergeCell ref="C26:C28"/>
    <mergeCell ref="D26:D28"/>
    <mergeCell ref="E26:E28"/>
    <mergeCell ref="F26:F28"/>
    <mergeCell ref="L29:L30"/>
    <mergeCell ref="K26:K28"/>
    <mergeCell ref="A29:A30"/>
    <mergeCell ref="B29:B30"/>
    <mergeCell ref="C29:C30"/>
    <mergeCell ref="D29:D30"/>
    <mergeCell ref="E29:E30"/>
    <mergeCell ref="F29:F30"/>
    <mergeCell ref="K29:K30"/>
    <mergeCell ref="F21:F22"/>
    <mergeCell ref="K21:K22"/>
    <mergeCell ref="A23:A25"/>
    <mergeCell ref="B23:B25"/>
    <mergeCell ref="C23:C25"/>
    <mergeCell ref="D23:D25"/>
    <mergeCell ref="F23:F25"/>
    <mergeCell ref="F17:F19"/>
    <mergeCell ref="A21:A22"/>
    <mergeCell ref="B21:B22"/>
    <mergeCell ref="C21:C22"/>
    <mergeCell ref="D21:D22"/>
    <mergeCell ref="E21:E22"/>
    <mergeCell ref="A17:A19"/>
    <mergeCell ref="B17:B19"/>
    <mergeCell ref="C17:C19"/>
    <mergeCell ref="D17:D18"/>
    <mergeCell ref="E17:E19"/>
    <mergeCell ref="K23:K25"/>
    <mergeCell ref="E24:E25"/>
    <mergeCell ref="A9:N9"/>
    <mergeCell ref="B10:N10"/>
    <mergeCell ref="C11:N11"/>
    <mergeCell ref="E12:E15"/>
    <mergeCell ref="F12:F15"/>
    <mergeCell ref="K14:K15"/>
    <mergeCell ref="D14:D15"/>
    <mergeCell ref="K6:K7"/>
    <mergeCell ref="L6:N6"/>
    <mergeCell ref="A8:N8"/>
    <mergeCell ref="I5:I7"/>
    <mergeCell ref="J5:J7"/>
    <mergeCell ref="K5:N5"/>
    <mergeCell ref="F5:F7"/>
    <mergeCell ref="G5:G7"/>
    <mergeCell ref="H5:H7"/>
    <mergeCell ref="A1:N1"/>
    <mergeCell ref="A2:N2"/>
    <mergeCell ref="A3:N3"/>
    <mergeCell ref="L4:N4"/>
    <mergeCell ref="A5:A7"/>
    <mergeCell ref="B5:B7"/>
    <mergeCell ref="C5:C7"/>
    <mergeCell ref="D5:D7"/>
    <mergeCell ref="E5:E7"/>
  </mergeCells>
  <pageMargins left="0.78740157480314965" right="0.19685039370078741" top="0.78740157480314965" bottom="0.39370078740157483" header="0.31496062992125984" footer="0.31496062992125984"/>
  <pageSetup paperSize="9" scale="70" orientation="portrait" r:id="rId1"/>
  <rowBreaks count="1" manualBreakCount="1">
    <brk id="55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9"/>
  <sheetViews>
    <sheetView topLeftCell="A13" zoomScaleNormal="100" zoomScaleSheetLayoutView="100" workbookViewId="0">
      <selection activeCell="AJ7" sqref="AJ7"/>
    </sheetView>
  </sheetViews>
  <sheetFormatPr defaultRowHeight="12.75"/>
  <cols>
    <col min="1" max="4" width="2.7109375" style="5" customWidth="1"/>
    <col min="5" max="5" width="31.5703125" style="5" customWidth="1"/>
    <col min="6" max="6" width="3.5703125" style="5" customWidth="1"/>
    <col min="7" max="7" width="3.85546875" style="5" customWidth="1"/>
    <col min="8" max="8" width="3.42578125" style="17" customWidth="1"/>
    <col min="9" max="9" width="12.42578125" style="17" customWidth="1"/>
    <col min="10" max="10" width="8.7109375" style="9" customWidth="1"/>
    <col min="11" max="11" width="7.85546875" style="28" customWidth="1"/>
    <col min="12" max="12" width="7.7109375" style="28" customWidth="1"/>
    <col min="13" max="13" width="6.140625" style="28" customWidth="1"/>
    <col min="14" max="14" width="8.140625" style="28" customWidth="1"/>
    <col min="15" max="15" width="7.5703125" style="28" customWidth="1"/>
    <col min="16" max="16" width="7.42578125" style="28" customWidth="1"/>
    <col min="17" max="17" width="6.140625" style="28" customWidth="1"/>
    <col min="18" max="18" width="7.85546875" style="28" customWidth="1"/>
    <col min="19" max="19" width="0.140625" style="28" hidden="1" customWidth="1"/>
    <col min="20" max="20" width="7.7109375" style="28" hidden="1" customWidth="1"/>
    <col min="21" max="21" width="5.42578125" style="28" hidden="1" customWidth="1"/>
    <col min="22" max="22" width="7.5703125" style="28" hidden="1" customWidth="1"/>
    <col min="23" max="24" width="8.140625" style="28" customWidth="1"/>
    <col min="25" max="25" width="28.140625" style="5" customWidth="1"/>
    <col min="26" max="26" width="3.7109375" style="5" customWidth="1"/>
    <col min="27" max="27" width="4" style="5" customWidth="1"/>
    <col min="28" max="28" width="4.28515625" style="28" customWidth="1"/>
    <col min="29" max="16384" width="9.140625" style="2"/>
  </cols>
  <sheetData>
    <row r="1" spans="1:37" ht="15.75">
      <c r="A1" s="918" t="s">
        <v>113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918"/>
      <c r="Y1" s="918"/>
      <c r="Z1" s="918"/>
      <c r="AA1" s="918"/>
      <c r="AB1" s="918"/>
    </row>
    <row r="2" spans="1:37" ht="15.75">
      <c r="A2" s="919" t="s">
        <v>35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  <c r="AA2" s="919"/>
      <c r="AB2" s="919"/>
    </row>
    <row r="3" spans="1:37" ht="15.75">
      <c r="A3" s="920" t="s">
        <v>22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  <c r="O3" s="920"/>
      <c r="P3" s="920"/>
      <c r="Q3" s="920"/>
      <c r="R3" s="920"/>
      <c r="S3" s="920"/>
      <c r="T3" s="920"/>
      <c r="U3" s="920"/>
      <c r="V3" s="920"/>
      <c r="W3" s="920"/>
      <c r="X3" s="920"/>
      <c r="Y3" s="920"/>
      <c r="Z3" s="920"/>
      <c r="AA3" s="920"/>
      <c r="AB3" s="920"/>
    </row>
    <row r="4" spans="1:37" ht="13.5" thickBot="1">
      <c r="Z4" s="921" t="s">
        <v>0</v>
      </c>
      <c r="AA4" s="922"/>
      <c r="AB4" s="922"/>
    </row>
    <row r="5" spans="1:37" ht="30" customHeight="1">
      <c r="A5" s="923" t="s">
        <v>23</v>
      </c>
      <c r="B5" s="926" t="s">
        <v>1</v>
      </c>
      <c r="C5" s="926" t="s">
        <v>2</v>
      </c>
      <c r="D5" s="926" t="s">
        <v>98</v>
      </c>
      <c r="E5" s="929" t="s">
        <v>15</v>
      </c>
      <c r="F5" s="1271" t="s">
        <v>3</v>
      </c>
      <c r="G5" s="926" t="s">
        <v>99</v>
      </c>
      <c r="H5" s="1283" t="s">
        <v>4</v>
      </c>
      <c r="I5" s="1286" t="s">
        <v>100</v>
      </c>
      <c r="J5" s="960" t="s">
        <v>5</v>
      </c>
      <c r="K5" s="1197" t="s">
        <v>101</v>
      </c>
      <c r="L5" s="1198"/>
      <c r="M5" s="1198"/>
      <c r="N5" s="1199"/>
      <c r="O5" s="1197" t="s">
        <v>102</v>
      </c>
      <c r="P5" s="1198"/>
      <c r="Q5" s="1198"/>
      <c r="R5" s="1199"/>
      <c r="S5" s="1197" t="s">
        <v>103</v>
      </c>
      <c r="T5" s="1198"/>
      <c r="U5" s="1198"/>
      <c r="V5" s="1199"/>
      <c r="W5" s="1280" t="s">
        <v>68</v>
      </c>
      <c r="X5" s="1280" t="s">
        <v>104</v>
      </c>
      <c r="Y5" s="963" t="s">
        <v>14</v>
      </c>
      <c r="Z5" s="964"/>
      <c r="AA5" s="964"/>
      <c r="AB5" s="965"/>
    </row>
    <row r="6" spans="1:37" ht="13.5" customHeight="1">
      <c r="A6" s="924"/>
      <c r="B6" s="927"/>
      <c r="C6" s="927"/>
      <c r="D6" s="927"/>
      <c r="E6" s="930"/>
      <c r="F6" s="1272"/>
      <c r="G6" s="927"/>
      <c r="H6" s="1284"/>
      <c r="I6" s="1287"/>
      <c r="J6" s="961"/>
      <c r="K6" s="1274" t="s">
        <v>6</v>
      </c>
      <c r="L6" s="1276" t="s">
        <v>7</v>
      </c>
      <c r="M6" s="1277"/>
      <c r="N6" s="1278" t="s">
        <v>21</v>
      </c>
      <c r="O6" s="1274" t="s">
        <v>6</v>
      </c>
      <c r="P6" s="1276" t="s">
        <v>7</v>
      </c>
      <c r="Q6" s="1277"/>
      <c r="R6" s="1278" t="s">
        <v>21</v>
      </c>
      <c r="S6" s="1274" t="s">
        <v>6</v>
      </c>
      <c r="T6" s="1276" t="s">
        <v>7</v>
      </c>
      <c r="U6" s="1277"/>
      <c r="V6" s="1278" t="s">
        <v>21</v>
      </c>
      <c r="W6" s="1281"/>
      <c r="X6" s="1281"/>
      <c r="Y6" s="952" t="s">
        <v>15</v>
      </c>
      <c r="Z6" s="954" t="s">
        <v>161</v>
      </c>
      <c r="AA6" s="955"/>
      <c r="AB6" s="956"/>
    </row>
    <row r="7" spans="1:37" ht="80.25" customHeight="1" thickBot="1">
      <c r="A7" s="925"/>
      <c r="B7" s="928"/>
      <c r="C7" s="928"/>
      <c r="D7" s="928"/>
      <c r="E7" s="931"/>
      <c r="F7" s="1273"/>
      <c r="G7" s="928"/>
      <c r="H7" s="1285"/>
      <c r="I7" s="1288"/>
      <c r="J7" s="962"/>
      <c r="K7" s="1275"/>
      <c r="L7" s="4" t="s">
        <v>6</v>
      </c>
      <c r="M7" s="3" t="s">
        <v>16</v>
      </c>
      <c r="N7" s="1279"/>
      <c r="O7" s="1275"/>
      <c r="P7" s="4" t="s">
        <v>6</v>
      </c>
      <c r="Q7" s="3" t="s">
        <v>16</v>
      </c>
      <c r="R7" s="1279"/>
      <c r="S7" s="1275"/>
      <c r="T7" s="4" t="s">
        <v>6</v>
      </c>
      <c r="U7" s="3" t="s">
        <v>16</v>
      </c>
      <c r="V7" s="1279"/>
      <c r="W7" s="1282"/>
      <c r="X7" s="1282"/>
      <c r="Y7" s="953"/>
      <c r="Z7" s="501" t="s">
        <v>30</v>
      </c>
      <c r="AA7" s="501" t="s">
        <v>85</v>
      </c>
      <c r="AB7" s="502" t="s">
        <v>105</v>
      </c>
    </row>
    <row r="8" spans="1:37" s="18" customFormat="1">
      <c r="A8" s="957" t="s">
        <v>69</v>
      </c>
      <c r="B8" s="958"/>
      <c r="C8" s="958"/>
      <c r="D8" s="958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958"/>
      <c r="Q8" s="958"/>
      <c r="R8" s="958"/>
      <c r="S8" s="958"/>
      <c r="T8" s="958"/>
      <c r="U8" s="958"/>
      <c r="V8" s="958"/>
      <c r="W8" s="958"/>
      <c r="X8" s="958"/>
      <c r="Y8" s="958"/>
      <c r="Z8" s="958"/>
      <c r="AA8" s="958"/>
      <c r="AB8" s="959"/>
    </row>
    <row r="9" spans="1:37" s="18" customFormat="1">
      <c r="A9" s="935" t="s">
        <v>57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6"/>
      <c r="W9" s="936"/>
      <c r="X9" s="936"/>
      <c r="Y9" s="936"/>
      <c r="Z9" s="936"/>
      <c r="AA9" s="936"/>
      <c r="AB9" s="937"/>
    </row>
    <row r="10" spans="1:37" ht="15" customHeight="1">
      <c r="A10" s="281" t="s">
        <v>8</v>
      </c>
      <c r="B10" s="938" t="s">
        <v>54</v>
      </c>
      <c r="C10" s="939"/>
      <c r="D10" s="939"/>
      <c r="E10" s="939"/>
      <c r="F10" s="939"/>
      <c r="G10" s="939"/>
      <c r="H10" s="939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  <c r="AB10" s="940"/>
    </row>
    <row r="11" spans="1:37">
      <c r="A11" s="282" t="s">
        <v>8</v>
      </c>
      <c r="B11" s="42" t="s">
        <v>8</v>
      </c>
      <c r="C11" s="941" t="s">
        <v>49</v>
      </c>
      <c r="D11" s="942"/>
      <c r="E11" s="942"/>
      <c r="F11" s="942"/>
      <c r="G11" s="942"/>
      <c r="H11" s="942"/>
      <c r="I11" s="942"/>
      <c r="J11" s="942"/>
      <c r="K11" s="942"/>
      <c r="L11" s="942"/>
      <c r="M11" s="942"/>
      <c r="N11" s="942"/>
      <c r="O11" s="942"/>
      <c r="P11" s="942"/>
      <c r="Q11" s="942"/>
      <c r="R11" s="942"/>
      <c r="S11" s="942"/>
      <c r="T11" s="942"/>
      <c r="U11" s="942"/>
      <c r="V11" s="942"/>
      <c r="W11" s="942"/>
      <c r="X11" s="942"/>
      <c r="Y11" s="942"/>
      <c r="Z11" s="942"/>
      <c r="AA11" s="942"/>
      <c r="AB11" s="943"/>
    </row>
    <row r="12" spans="1:37" ht="25.5">
      <c r="A12" s="283" t="s">
        <v>8</v>
      </c>
      <c r="B12" s="13" t="s">
        <v>8</v>
      </c>
      <c r="C12" s="58" t="s">
        <v>8</v>
      </c>
      <c r="D12" s="102"/>
      <c r="E12" s="316" t="s">
        <v>66</v>
      </c>
      <c r="F12" s="944" t="s">
        <v>70</v>
      </c>
      <c r="G12" s="1187" t="s">
        <v>37</v>
      </c>
      <c r="H12" s="946" t="s">
        <v>33</v>
      </c>
      <c r="I12" s="1216" t="s">
        <v>107</v>
      </c>
      <c r="J12" s="103"/>
      <c r="K12" s="185"/>
      <c r="L12" s="186"/>
      <c r="M12" s="186"/>
      <c r="N12" s="187"/>
      <c r="O12" s="185"/>
      <c r="P12" s="186"/>
      <c r="Q12" s="186"/>
      <c r="R12" s="187"/>
      <c r="S12" s="104"/>
      <c r="T12" s="105"/>
      <c r="U12" s="105"/>
      <c r="V12" s="106"/>
      <c r="W12" s="232"/>
      <c r="X12" s="577"/>
      <c r="Y12" s="317"/>
      <c r="Z12" s="318"/>
      <c r="AA12" s="65"/>
      <c r="AB12" s="319"/>
    </row>
    <row r="13" spans="1:37" ht="25.5">
      <c r="A13" s="283"/>
      <c r="B13" s="13"/>
      <c r="C13" s="58"/>
      <c r="D13" s="102"/>
      <c r="E13" s="108" t="s">
        <v>36</v>
      </c>
      <c r="F13" s="944"/>
      <c r="G13" s="1187"/>
      <c r="H13" s="946"/>
      <c r="I13" s="1180"/>
      <c r="J13" s="43" t="s">
        <v>86</v>
      </c>
      <c r="K13" s="188">
        <f>L13+N13</f>
        <v>17047</v>
      </c>
      <c r="L13" s="189">
        <v>17047</v>
      </c>
      <c r="M13" s="189"/>
      <c r="N13" s="190"/>
      <c r="O13" s="188">
        <f>P13+R13</f>
        <v>17158.8</v>
      </c>
      <c r="P13" s="314">
        <v>17158.8</v>
      </c>
      <c r="Q13" s="189"/>
      <c r="R13" s="190"/>
      <c r="S13" s="109">
        <f>T13+V13</f>
        <v>0</v>
      </c>
      <c r="T13" s="110">
        <v>0</v>
      </c>
      <c r="U13" s="110"/>
      <c r="V13" s="111"/>
      <c r="W13" s="232">
        <v>17028</v>
      </c>
      <c r="X13" s="577">
        <v>17028</v>
      </c>
      <c r="Y13" s="33" t="s">
        <v>78</v>
      </c>
      <c r="Z13" s="34">
        <v>67</v>
      </c>
      <c r="AA13" s="251">
        <v>67</v>
      </c>
      <c r="AB13" s="242">
        <v>67</v>
      </c>
    </row>
    <row r="14" spans="1:37" ht="15" customHeight="1">
      <c r="A14" s="283"/>
      <c r="B14" s="13"/>
      <c r="C14" s="58"/>
      <c r="D14" s="102"/>
      <c r="E14" s="68"/>
      <c r="F14" s="944"/>
      <c r="G14" s="1187"/>
      <c r="H14" s="946"/>
      <c r="I14" s="101"/>
      <c r="J14" s="43" t="s">
        <v>88</v>
      </c>
      <c r="K14" s="188"/>
      <c r="L14" s="189"/>
      <c r="M14" s="189"/>
      <c r="N14" s="190"/>
      <c r="O14" s="188">
        <f>P14+R14</f>
        <v>0</v>
      </c>
      <c r="P14" s="315">
        <v>0</v>
      </c>
      <c r="Q14" s="189"/>
      <c r="R14" s="190"/>
      <c r="S14" s="109"/>
      <c r="T14" s="110"/>
      <c r="U14" s="110"/>
      <c r="V14" s="111"/>
      <c r="W14" s="228"/>
      <c r="X14" s="557"/>
      <c r="Y14" s="1293" t="s">
        <v>78</v>
      </c>
      <c r="Z14" s="236">
        <v>1.7</v>
      </c>
      <c r="AA14" s="236">
        <v>1.7</v>
      </c>
      <c r="AB14" s="320">
        <v>1.7</v>
      </c>
    </row>
    <row r="15" spans="1:37" ht="15" customHeight="1">
      <c r="A15" s="283"/>
      <c r="B15" s="13"/>
      <c r="C15" s="58"/>
      <c r="D15" s="102"/>
      <c r="E15" s="950" t="s">
        <v>67</v>
      </c>
      <c r="F15" s="944"/>
      <c r="G15" s="1187"/>
      <c r="H15" s="946"/>
      <c r="I15" s="1216" t="s">
        <v>118</v>
      </c>
      <c r="J15" s="43" t="s">
        <v>86</v>
      </c>
      <c r="K15" s="188">
        <f>L15</f>
        <v>153</v>
      </c>
      <c r="L15" s="189">
        <v>153</v>
      </c>
      <c r="M15" s="189"/>
      <c r="N15" s="190"/>
      <c r="O15" s="188">
        <f>P15</f>
        <v>180</v>
      </c>
      <c r="P15" s="189">
        <v>180</v>
      </c>
      <c r="Q15" s="189"/>
      <c r="R15" s="190"/>
      <c r="S15" s="109">
        <f>T15</f>
        <v>0</v>
      </c>
      <c r="T15" s="110">
        <v>0</v>
      </c>
      <c r="U15" s="110"/>
      <c r="V15" s="111"/>
      <c r="W15" s="229">
        <v>255</v>
      </c>
      <c r="X15" s="567">
        <v>255</v>
      </c>
      <c r="Y15" s="1291"/>
      <c r="Z15" s="321"/>
      <c r="AA15" s="322"/>
      <c r="AB15" s="323"/>
      <c r="AD15" s="63"/>
      <c r="AE15" s="63"/>
      <c r="AF15" s="63"/>
      <c r="AG15" s="63"/>
      <c r="AH15" s="63"/>
      <c r="AI15" s="63"/>
      <c r="AJ15" s="63"/>
      <c r="AK15" s="63"/>
    </row>
    <row r="16" spans="1:37" ht="18" customHeight="1" thickBot="1">
      <c r="A16" s="284"/>
      <c r="B16" s="14"/>
      <c r="C16" s="59"/>
      <c r="D16" s="112"/>
      <c r="E16" s="951"/>
      <c r="F16" s="945"/>
      <c r="G16" s="1188"/>
      <c r="H16" s="947"/>
      <c r="I16" s="1185"/>
      <c r="J16" s="53" t="s">
        <v>9</v>
      </c>
      <c r="K16" s="113">
        <f t="shared" ref="K16:V16" si="0">SUM(K12:K15)</f>
        <v>17200</v>
      </c>
      <c r="L16" s="114">
        <f t="shared" si="0"/>
        <v>17200</v>
      </c>
      <c r="M16" s="114">
        <f t="shared" si="0"/>
        <v>0</v>
      </c>
      <c r="N16" s="115">
        <f t="shared" si="0"/>
        <v>0</v>
      </c>
      <c r="O16" s="113">
        <f t="shared" si="0"/>
        <v>17338.8</v>
      </c>
      <c r="P16" s="114">
        <f t="shared" si="0"/>
        <v>17338.8</v>
      </c>
      <c r="Q16" s="114">
        <f t="shared" si="0"/>
        <v>0</v>
      </c>
      <c r="R16" s="115">
        <f t="shared" si="0"/>
        <v>0</v>
      </c>
      <c r="S16" s="113">
        <f t="shared" si="0"/>
        <v>0</v>
      </c>
      <c r="T16" s="114">
        <f t="shared" si="0"/>
        <v>0</v>
      </c>
      <c r="U16" s="114">
        <f t="shared" si="0"/>
        <v>0</v>
      </c>
      <c r="V16" s="115">
        <f t="shared" si="0"/>
        <v>0</v>
      </c>
      <c r="W16" s="206">
        <f t="shared" ref="W16" si="1">SUM(W12:W15)</f>
        <v>17283</v>
      </c>
      <c r="X16" s="561">
        <f t="shared" ref="X16" si="2">SUM(X12:X15)</f>
        <v>17283</v>
      </c>
      <c r="Y16" s="312"/>
      <c r="Z16" s="24"/>
      <c r="AA16" s="252"/>
      <c r="AB16" s="243"/>
      <c r="AD16" s="63"/>
      <c r="AE16" s="63"/>
      <c r="AF16" s="63"/>
      <c r="AG16" s="63"/>
      <c r="AH16" s="63"/>
      <c r="AI16" s="63"/>
      <c r="AJ16" s="63"/>
      <c r="AK16" s="63"/>
    </row>
    <row r="17" spans="1:37" ht="37.5" customHeight="1">
      <c r="A17" s="283" t="s">
        <v>8</v>
      </c>
      <c r="B17" s="13" t="s">
        <v>8</v>
      </c>
      <c r="C17" s="60" t="s">
        <v>10</v>
      </c>
      <c r="D17" s="102"/>
      <c r="E17" s="313" t="s">
        <v>71</v>
      </c>
      <c r="F17" s="29" t="s">
        <v>70</v>
      </c>
      <c r="G17" s="25" t="s">
        <v>37</v>
      </c>
      <c r="H17" s="116" t="s">
        <v>33</v>
      </c>
      <c r="I17" s="352"/>
      <c r="J17" s="117" t="s">
        <v>42</v>
      </c>
      <c r="K17" s="191"/>
      <c r="L17" s="192"/>
      <c r="M17" s="192"/>
      <c r="N17" s="193"/>
      <c r="O17" s="191"/>
      <c r="P17" s="192"/>
      <c r="Q17" s="192"/>
      <c r="R17" s="193"/>
      <c r="S17" s="118"/>
      <c r="T17" s="119"/>
      <c r="U17" s="119"/>
      <c r="V17" s="140"/>
      <c r="W17" s="233"/>
      <c r="X17" s="566"/>
      <c r="Y17" s="340"/>
      <c r="Z17" s="341"/>
      <c r="AA17" s="342"/>
      <c r="AB17" s="343"/>
      <c r="AD17" s="63"/>
      <c r="AE17" s="63"/>
      <c r="AF17" s="63"/>
      <c r="AG17" s="63"/>
      <c r="AH17" s="63"/>
      <c r="AI17" s="63"/>
      <c r="AJ17" s="63"/>
      <c r="AK17" s="63"/>
    </row>
    <row r="18" spans="1:37" ht="26.25" customHeight="1">
      <c r="A18" s="976"/>
      <c r="B18" s="979"/>
      <c r="C18" s="982"/>
      <c r="D18" s="84"/>
      <c r="E18" s="1296" t="s">
        <v>96</v>
      </c>
      <c r="F18" s="992"/>
      <c r="G18" s="1294"/>
      <c r="H18" s="1295"/>
      <c r="I18" s="1292" t="s">
        <v>146</v>
      </c>
      <c r="J18" s="325" t="s">
        <v>42</v>
      </c>
      <c r="K18" s="326">
        <f>L18+N18</f>
        <v>159.6</v>
      </c>
      <c r="L18" s="327">
        <v>159.6</v>
      </c>
      <c r="M18" s="328"/>
      <c r="N18" s="329"/>
      <c r="O18" s="326">
        <f>P18+R18</f>
        <v>254.3</v>
      </c>
      <c r="P18" s="327">
        <v>254.3</v>
      </c>
      <c r="Q18" s="328"/>
      <c r="R18" s="329"/>
      <c r="S18" s="330">
        <f>T18+V18</f>
        <v>0</v>
      </c>
      <c r="T18" s="331">
        <v>0</v>
      </c>
      <c r="U18" s="332"/>
      <c r="V18" s="333"/>
      <c r="W18" s="334">
        <v>260</v>
      </c>
      <c r="X18" s="572">
        <v>260</v>
      </c>
      <c r="Y18" s="344" t="s">
        <v>79</v>
      </c>
      <c r="Z18" s="345">
        <v>1.3</v>
      </c>
      <c r="AA18" s="346">
        <v>1.3</v>
      </c>
      <c r="AB18" s="347">
        <v>1.3</v>
      </c>
      <c r="AD18" s="63"/>
      <c r="AE18" s="63"/>
      <c r="AF18" s="63"/>
      <c r="AG18" s="63"/>
      <c r="AH18" s="63"/>
      <c r="AI18" s="63"/>
      <c r="AJ18" s="63"/>
      <c r="AK18" s="63"/>
    </row>
    <row r="19" spans="1:37" ht="16.5" customHeight="1">
      <c r="A19" s="976"/>
      <c r="B19" s="979"/>
      <c r="C19" s="982"/>
      <c r="D19" s="84"/>
      <c r="E19" s="1297"/>
      <c r="F19" s="992"/>
      <c r="G19" s="1294"/>
      <c r="H19" s="1295"/>
      <c r="I19" s="1253"/>
      <c r="J19" s="324" t="s">
        <v>59</v>
      </c>
      <c r="K19" s="185">
        <f>L19</f>
        <v>14.7</v>
      </c>
      <c r="L19" s="186">
        <v>14.7</v>
      </c>
      <c r="M19" s="186"/>
      <c r="N19" s="187"/>
      <c r="O19" s="185">
        <f>P19</f>
        <v>0</v>
      </c>
      <c r="P19" s="186">
        <v>0</v>
      </c>
      <c r="Q19" s="186"/>
      <c r="R19" s="187"/>
      <c r="S19" s="104">
        <f>T19</f>
        <v>0</v>
      </c>
      <c r="T19" s="105">
        <v>0</v>
      </c>
      <c r="U19" s="105"/>
      <c r="V19" s="135"/>
      <c r="W19" s="230"/>
      <c r="X19" s="311"/>
      <c r="Y19" s="348" t="s">
        <v>47</v>
      </c>
      <c r="Z19" s="349">
        <v>160</v>
      </c>
      <c r="AA19" s="350">
        <v>160</v>
      </c>
      <c r="AB19" s="351">
        <v>160</v>
      </c>
      <c r="AD19" s="63"/>
      <c r="AE19" s="63"/>
      <c r="AF19" s="63"/>
      <c r="AG19" s="63"/>
      <c r="AH19" s="63"/>
      <c r="AI19" s="63"/>
      <c r="AJ19" s="63"/>
      <c r="AK19" s="63"/>
    </row>
    <row r="20" spans="1:37" ht="16.5" customHeight="1">
      <c r="A20" s="976"/>
      <c r="B20" s="979"/>
      <c r="C20" s="982"/>
      <c r="D20" s="84"/>
      <c r="E20" s="1290" t="s">
        <v>46</v>
      </c>
      <c r="F20" s="992"/>
      <c r="G20" s="1294"/>
      <c r="H20" s="1295"/>
      <c r="I20" s="1253"/>
      <c r="J20" s="325" t="s">
        <v>42</v>
      </c>
      <c r="K20" s="326">
        <f>L20</f>
        <v>40.5</v>
      </c>
      <c r="L20" s="327">
        <v>40.5</v>
      </c>
      <c r="M20" s="336"/>
      <c r="N20" s="337"/>
      <c r="O20" s="326">
        <f>P20</f>
        <v>58</v>
      </c>
      <c r="P20" s="327">
        <v>58</v>
      </c>
      <c r="Q20" s="336"/>
      <c r="R20" s="337"/>
      <c r="S20" s="330">
        <f>T20</f>
        <v>0</v>
      </c>
      <c r="T20" s="331">
        <v>0</v>
      </c>
      <c r="U20" s="338"/>
      <c r="V20" s="339"/>
      <c r="W20" s="334">
        <v>59</v>
      </c>
      <c r="X20" s="568">
        <v>59</v>
      </c>
      <c r="Y20" s="994" t="s">
        <v>48</v>
      </c>
      <c r="Z20" s="31">
        <v>50</v>
      </c>
      <c r="AA20" s="8">
        <v>50</v>
      </c>
      <c r="AB20" s="245">
        <v>50</v>
      </c>
      <c r="AD20" s="63"/>
      <c r="AE20" s="63"/>
      <c r="AF20" s="63"/>
      <c r="AG20" s="63"/>
      <c r="AH20" s="63"/>
      <c r="AI20" s="63"/>
      <c r="AJ20" s="63"/>
      <c r="AK20" s="63"/>
    </row>
    <row r="21" spans="1:37" ht="15.75" customHeight="1">
      <c r="A21" s="285"/>
      <c r="B21" s="79"/>
      <c r="C21" s="80"/>
      <c r="D21" s="84"/>
      <c r="E21" s="1230"/>
      <c r="F21" s="71"/>
      <c r="G21" s="73"/>
      <c r="H21" s="75"/>
      <c r="I21" s="121"/>
      <c r="J21" s="335" t="s">
        <v>43</v>
      </c>
      <c r="K21" s="185"/>
      <c r="L21" s="186"/>
      <c r="M21" s="186"/>
      <c r="N21" s="187"/>
      <c r="O21" s="185"/>
      <c r="P21" s="186"/>
      <c r="Q21" s="186"/>
      <c r="R21" s="187"/>
      <c r="S21" s="104"/>
      <c r="T21" s="105"/>
      <c r="U21" s="105"/>
      <c r="V21" s="135"/>
      <c r="W21" s="230"/>
      <c r="X21" s="311"/>
      <c r="Y21" s="1291"/>
      <c r="Z21" s="31"/>
      <c r="AA21" s="8"/>
      <c r="AB21" s="245"/>
      <c r="AD21" s="63"/>
      <c r="AE21" s="63"/>
      <c r="AF21" s="63"/>
      <c r="AG21" s="63"/>
      <c r="AH21" s="63"/>
      <c r="AI21" s="63"/>
      <c r="AJ21" s="63"/>
      <c r="AK21" s="63"/>
    </row>
    <row r="22" spans="1:37" ht="14.25" customHeight="1" thickBot="1">
      <c r="A22" s="286"/>
      <c r="B22" s="77"/>
      <c r="C22" s="78"/>
      <c r="D22" s="82"/>
      <c r="E22" s="35"/>
      <c r="F22" s="72"/>
      <c r="G22" s="74"/>
      <c r="H22" s="76"/>
      <c r="I22" s="122"/>
      <c r="J22" s="54" t="s">
        <v>9</v>
      </c>
      <c r="K22" s="123">
        <f>SUM(K17:K21)</f>
        <v>214.79999999999998</v>
      </c>
      <c r="L22" s="114">
        <f t="shared" ref="L22:X22" si="3">SUM(L17:L21)</f>
        <v>214.79999999999998</v>
      </c>
      <c r="M22" s="114">
        <f t="shared" si="3"/>
        <v>0</v>
      </c>
      <c r="N22" s="124">
        <f t="shared" si="3"/>
        <v>0</v>
      </c>
      <c r="O22" s="123">
        <f>SUM(O17:O21)</f>
        <v>312.3</v>
      </c>
      <c r="P22" s="114">
        <f t="shared" si="3"/>
        <v>312.3</v>
      </c>
      <c r="Q22" s="114">
        <f t="shared" si="3"/>
        <v>0</v>
      </c>
      <c r="R22" s="124">
        <f t="shared" si="3"/>
        <v>0</v>
      </c>
      <c r="S22" s="123">
        <f t="shared" si="3"/>
        <v>0</v>
      </c>
      <c r="T22" s="114">
        <f t="shared" si="3"/>
        <v>0</v>
      </c>
      <c r="U22" s="114">
        <f t="shared" si="3"/>
        <v>0</v>
      </c>
      <c r="V22" s="142">
        <f t="shared" si="3"/>
        <v>0</v>
      </c>
      <c r="W22" s="123">
        <f t="shared" si="3"/>
        <v>319</v>
      </c>
      <c r="X22" s="561">
        <f t="shared" si="3"/>
        <v>319</v>
      </c>
      <c r="Y22" s="178"/>
      <c r="Z22" s="237"/>
      <c r="AA22" s="37"/>
      <c r="AB22" s="246"/>
      <c r="AD22" s="63"/>
      <c r="AE22" s="63"/>
      <c r="AF22" s="63"/>
      <c r="AG22" s="63"/>
      <c r="AH22" s="63"/>
      <c r="AI22" s="63"/>
      <c r="AJ22" s="63"/>
      <c r="AK22" s="63"/>
    </row>
    <row r="23" spans="1:37" ht="13.5" customHeight="1">
      <c r="A23" s="975" t="s">
        <v>8</v>
      </c>
      <c r="B23" s="978" t="s">
        <v>8</v>
      </c>
      <c r="C23" s="981" t="s">
        <v>32</v>
      </c>
      <c r="D23" s="81"/>
      <c r="E23" s="988" t="s">
        <v>62</v>
      </c>
      <c r="F23" s="989" t="s">
        <v>70</v>
      </c>
      <c r="G23" s="1186" t="s">
        <v>37</v>
      </c>
      <c r="H23" s="972" t="s">
        <v>33</v>
      </c>
      <c r="I23" s="1268" t="s">
        <v>107</v>
      </c>
      <c r="J23" s="125" t="s">
        <v>86</v>
      </c>
      <c r="K23" s="191">
        <f>L23+N23</f>
        <v>300</v>
      </c>
      <c r="L23" s="192">
        <v>300</v>
      </c>
      <c r="M23" s="192"/>
      <c r="N23" s="193"/>
      <c r="O23" s="191">
        <f>P23+R23</f>
        <v>161.19999999999999</v>
      </c>
      <c r="P23" s="192">
        <v>161.19999999999999</v>
      </c>
      <c r="Q23" s="192"/>
      <c r="R23" s="193"/>
      <c r="S23" s="118">
        <f>T23+V23</f>
        <v>0</v>
      </c>
      <c r="T23" s="119">
        <v>0</v>
      </c>
      <c r="U23" s="119"/>
      <c r="V23" s="140"/>
      <c r="W23" s="231">
        <v>100</v>
      </c>
      <c r="X23" s="566">
        <v>100</v>
      </c>
      <c r="Y23" s="973" t="s">
        <v>63</v>
      </c>
      <c r="Z23" s="238">
        <v>100</v>
      </c>
      <c r="AA23" s="64">
        <v>100</v>
      </c>
      <c r="AB23" s="247">
        <v>100</v>
      </c>
      <c r="AD23" s="623"/>
      <c r="AE23" s="63"/>
      <c r="AF23" s="63"/>
      <c r="AG23" s="63"/>
      <c r="AH23" s="63"/>
      <c r="AI23" s="63"/>
      <c r="AJ23" s="63"/>
      <c r="AK23" s="63"/>
    </row>
    <row r="24" spans="1:37" ht="15.75" customHeight="1" thickBot="1">
      <c r="A24" s="976"/>
      <c r="B24" s="980"/>
      <c r="C24" s="983"/>
      <c r="D24" s="82"/>
      <c r="E24" s="951"/>
      <c r="F24" s="945"/>
      <c r="G24" s="1188"/>
      <c r="H24" s="947"/>
      <c r="I24" s="1289"/>
      <c r="J24" s="53" t="s">
        <v>9</v>
      </c>
      <c r="K24" s="113">
        <f t="shared" ref="K24:V24" si="4">SUM(K23:K23)</f>
        <v>300</v>
      </c>
      <c r="L24" s="114">
        <f t="shared" si="4"/>
        <v>300</v>
      </c>
      <c r="M24" s="114">
        <f t="shared" si="4"/>
        <v>0</v>
      </c>
      <c r="N24" s="115">
        <f t="shared" si="4"/>
        <v>0</v>
      </c>
      <c r="O24" s="113">
        <f t="shared" si="4"/>
        <v>161.19999999999999</v>
      </c>
      <c r="P24" s="114">
        <f t="shared" si="4"/>
        <v>161.19999999999999</v>
      </c>
      <c r="Q24" s="114">
        <f t="shared" si="4"/>
        <v>0</v>
      </c>
      <c r="R24" s="115">
        <f t="shared" si="4"/>
        <v>0</v>
      </c>
      <c r="S24" s="113">
        <f t="shared" si="4"/>
        <v>0</v>
      </c>
      <c r="T24" s="114">
        <f t="shared" si="4"/>
        <v>0</v>
      </c>
      <c r="U24" s="114">
        <f t="shared" si="4"/>
        <v>0</v>
      </c>
      <c r="V24" s="206">
        <f t="shared" si="4"/>
        <v>0</v>
      </c>
      <c r="W24" s="123">
        <f t="shared" ref="W24" si="5">SUM(W23:W23)</f>
        <v>100</v>
      </c>
      <c r="X24" s="561">
        <f t="shared" ref="X24" si="6">SUM(X23:X23)</f>
        <v>100</v>
      </c>
      <c r="Y24" s="974"/>
      <c r="Z24" s="239"/>
      <c r="AA24" s="62"/>
      <c r="AB24" s="248"/>
      <c r="AD24" s="63"/>
      <c r="AE24" s="63"/>
      <c r="AF24" s="63"/>
      <c r="AG24" s="63"/>
      <c r="AH24" s="63"/>
      <c r="AI24" s="63"/>
      <c r="AJ24" s="63"/>
      <c r="AK24" s="63"/>
    </row>
    <row r="25" spans="1:37">
      <c r="A25" s="975" t="s">
        <v>8</v>
      </c>
      <c r="B25" s="978" t="s">
        <v>8</v>
      </c>
      <c r="C25" s="981" t="s">
        <v>38</v>
      </c>
      <c r="D25" s="81"/>
      <c r="E25" s="984" t="s">
        <v>155</v>
      </c>
      <c r="F25" s="83" t="s">
        <v>65</v>
      </c>
      <c r="G25" s="1186" t="s">
        <v>37</v>
      </c>
      <c r="H25" s="972" t="s">
        <v>33</v>
      </c>
      <c r="I25" s="1268" t="s">
        <v>107</v>
      </c>
      <c r="J25" s="542" t="s">
        <v>88</v>
      </c>
      <c r="K25" s="191">
        <f>L25+N25</f>
        <v>1860</v>
      </c>
      <c r="L25" s="192">
        <v>60</v>
      </c>
      <c r="M25" s="192"/>
      <c r="N25" s="193">
        <v>1800</v>
      </c>
      <c r="O25" s="191">
        <f>P25+R25</f>
        <v>3278.7000000000003</v>
      </c>
      <c r="P25" s="192">
        <v>0</v>
      </c>
      <c r="Q25" s="192"/>
      <c r="R25" s="193">
        <f>3245.3+33.4</f>
        <v>3278.7000000000003</v>
      </c>
      <c r="S25" s="118">
        <f>T25+V25</f>
        <v>0</v>
      </c>
      <c r="T25" s="119">
        <v>0</v>
      </c>
      <c r="U25" s="119"/>
      <c r="V25" s="140">
        <v>0</v>
      </c>
      <c r="W25" s="231">
        <v>1650.2</v>
      </c>
      <c r="X25" s="566">
        <v>1650.2</v>
      </c>
      <c r="Y25" s="993" t="s">
        <v>154</v>
      </c>
      <c r="Z25" s="31">
        <f>59+50</f>
        <v>109</v>
      </c>
      <c r="AA25" s="8">
        <v>30</v>
      </c>
      <c r="AB25" s="245">
        <v>30</v>
      </c>
      <c r="AD25" s="63"/>
      <c r="AE25" s="63"/>
      <c r="AF25" s="63"/>
      <c r="AG25" s="63"/>
      <c r="AH25" s="63"/>
      <c r="AI25" s="63"/>
      <c r="AJ25" s="63"/>
      <c r="AK25" s="63"/>
    </row>
    <row r="26" spans="1:37">
      <c r="A26" s="976"/>
      <c r="B26" s="979"/>
      <c r="C26" s="982"/>
      <c r="D26" s="84"/>
      <c r="E26" s="985"/>
      <c r="F26" s="996" t="s">
        <v>91</v>
      </c>
      <c r="G26" s="1187"/>
      <c r="H26" s="946"/>
      <c r="I26" s="1269"/>
      <c r="J26" s="543" t="s">
        <v>88</v>
      </c>
      <c r="K26" s="309">
        <f>L26+N26</f>
        <v>0</v>
      </c>
      <c r="L26" s="194"/>
      <c r="M26" s="194"/>
      <c r="N26" s="310"/>
      <c r="O26" s="188">
        <f>P26+R26</f>
        <v>37.299999999999997</v>
      </c>
      <c r="P26" s="194">
        <v>37.299999999999997</v>
      </c>
      <c r="Q26" s="194"/>
      <c r="R26" s="195"/>
      <c r="S26" s="109">
        <f>T26+V26</f>
        <v>0</v>
      </c>
      <c r="T26" s="126"/>
      <c r="U26" s="126"/>
      <c r="V26" s="134"/>
      <c r="W26" s="230"/>
      <c r="X26" s="311"/>
      <c r="Y26" s="994"/>
      <c r="Z26" s="31"/>
      <c r="AA26" s="8"/>
      <c r="AB26" s="245"/>
      <c r="AD26" s="63"/>
      <c r="AE26" s="63"/>
      <c r="AF26" s="63"/>
      <c r="AG26" s="63"/>
      <c r="AH26" s="63"/>
      <c r="AI26" s="63"/>
      <c r="AJ26" s="63"/>
      <c r="AK26" s="63"/>
    </row>
    <row r="27" spans="1:37" ht="13.5" thickBot="1">
      <c r="A27" s="977"/>
      <c r="B27" s="980"/>
      <c r="C27" s="983"/>
      <c r="D27" s="82"/>
      <c r="E27" s="986"/>
      <c r="F27" s="997"/>
      <c r="G27" s="1188"/>
      <c r="H27" s="947"/>
      <c r="I27" s="1270"/>
      <c r="J27" s="53" t="s">
        <v>9</v>
      </c>
      <c r="K27" s="113">
        <f>K25</f>
        <v>1860</v>
      </c>
      <c r="L27" s="114">
        <f t="shared" ref="L27:V27" si="7">SUM(L25:L26)</f>
        <v>60</v>
      </c>
      <c r="M27" s="114">
        <f t="shared" si="7"/>
        <v>0</v>
      </c>
      <c r="N27" s="115">
        <f>N25</f>
        <v>1800</v>
      </c>
      <c r="O27" s="113">
        <f t="shared" si="7"/>
        <v>3316.0000000000005</v>
      </c>
      <c r="P27" s="114">
        <f t="shared" si="7"/>
        <v>37.299999999999997</v>
      </c>
      <c r="Q27" s="114">
        <f t="shared" si="7"/>
        <v>0</v>
      </c>
      <c r="R27" s="115">
        <f t="shared" si="7"/>
        <v>3278.7000000000003</v>
      </c>
      <c r="S27" s="113">
        <f t="shared" si="7"/>
        <v>0</v>
      </c>
      <c r="T27" s="114">
        <f t="shared" si="7"/>
        <v>0</v>
      </c>
      <c r="U27" s="114">
        <f t="shared" si="7"/>
        <v>0</v>
      </c>
      <c r="V27" s="206">
        <f t="shared" si="7"/>
        <v>0</v>
      </c>
      <c r="W27" s="123">
        <f t="shared" ref="W27" si="8">SUM(W25:W26)</f>
        <v>1650.2</v>
      </c>
      <c r="X27" s="561">
        <f t="shared" ref="X27" si="9">SUM(X25:X26)</f>
        <v>1650.2</v>
      </c>
      <c r="Y27" s="995"/>
      <c r="Z27" s="237"/>
      <c r="AA27" s="37"/>
      <c r="AB27" s="246"/>
      <c r="AD27" s="63"/>
      <c r="AE27" s="63"/>
      <c r="AF27" s="63"/>
      <c r="AG27" s="63"/>
      <c r="AH27" s="63"/>
      <c r="AI27" s="63"/>
      <c r="AJ27" s="63"/>
      <c r="AK27" s="63"/>
    </row>
    <row r="28" spans="1:37">
      <c r="A28" s="975" t="s">
        <v>8</v>
      </c>
      <c r="B28" s="978" t="s">
        <v>8</v>
      </c>
      <c r="C28" s="998" t="s">
        <v>37</v>
      </c>
      <c r="D28" s="93"/>
      <c r="E28" s="1001" t="s">
        <v>72</v>
      </c>
      <c r="F28" s="1004" t="s">
        <v>65</v>
      </c>
      <c r="G28" s="1181" t="s">
        <v>37</v>
      </c>
      <c r="H28" s="972" t="s">
        <v>44</v>
      </c>
      <c r="I28" s="1268" t="s">
        <v>108</v>
      </c>
      <c r="J28" s="19" t="s">
        <v>73</v>
      </c>
      <c r="K28" s="196">
        <f>L28+N28</f>
        <v>473</v>
      </c>
      <c r="L28" s="186"/>
      <c r="M28" s="186"/>
      <c r="N28" s="187">
        <v>473</v>
      </c>
      <c r="O28" s="196">
        <f>P28+R28</f>
        <v>404.9</v>
      </c>
      <c r="P28" s="186"/>
      <c r="Q28" s="186"/>
      <c r="R28" s="187">
        <v>404.9</v>
      </c>
      <c r="S28" s="129">
        <f>T28+V28</f>
        <v>0</v>
      </c>
      <c r="T28" s="105"/>
      <c r="U28" s="105"/>
      <c r="V28" s="135">
        <v>0</v>
      </c>
      <c r="W28" s="230"/>
      <c r="X28" s="311"/>
      <c r="Y28" s="993" t="s">
        <v>132</v>
      </c>
      <c r="Z28" s="30"/>
      <c r="AA28" s="36"/>
      <c r="AB28" s="244"/>
      <c r="AD28" s="63"/>
      <c r="AE28" s="63"/>
      <c r="AF28" s="63"/>
      <c r="AG28" s="63"/>
      <c r="AH28" s="63"/>
      <c r="AI28" s="63"/>
      <c r="AJ28" s="63"/>
      <c r="AK28" s="63"/>
    </row>
    <row r="29" spans="1:37" ht="18.75" customHeight="1">
      <c r="A29" s="976"/>
      <c r="B29" s="979"/>
      <c r="C29" s="999"/>
      <c r="D29" s="87"/>
      <c r="E29" s="1002"/>
      <c r="F29" s="1005"/>
      <c r="G29" s="1182"/>
      <c r="H29" s="946"/>
      <c r="I29" s="1298"/>
      <c r="J29" s="19" t="s">
        <v>58</v>
      </c>
      <c r="K29" s="196">
        <f>L29+N29</f>
        <v>4257.6000000000004</v>
      </c>
      <c r="L29" s="194"/>
      <c r="M29" s="194"/>
      <c r="N29" s="195">
        <v>4257.6000000000004</v>
      </c>
      <c r="O29" s="196">
        <f>P29+R29</f>
        <v>3643.8</v>
      </c>
      <c r="P29" s="194"/>
      <c r="Q29" s="194"/>
      <c r="R29" s="195">
        <v>3643.8</v>
      </c>
      <c r="S29" s="129">
        <f>T29+V29</f>
        <v>0</v>
      </c>
      <c r="T29" s="126"/>
      <c r="U29" s="126"/>
      <c r="V29" s="134">
        <v>0</v>
      </c>
      <c r="W29" s="230"/>
      <c r="X29" s="311"/>
      <c r="Y29" s="994"/>
      <c r="Z29" s="31"/>
      <c r="AA29" s="8"/>
      <c r="AB29" s="245"/>
    </row>
    <row r="30" spans="1:37" ht="17.25" customHeight="1" thickBot="1">
      <c r="A30" s="977"/>
      <c r="B30" s="980"/>
      <c r="C30" s="1000"/>
      <c r="D30" s="88"/>
      <c r="E30" s="1003"/>
      <c r="F30" s="1006"/>
      <c r="G30" s="1183"/>
      <c r="H30" s="947"/>
      <c r="I30" s="1289"/>
      <c r="J30" s="56" t="s">
        <v>9</v>
      </c>
      <c r="K30" s="130">
        <f t="shared" ref="K30:V30" si="10">SUM(K28:K29)</f>
        <v>4730.6000000000004</v>
      </c>
      <c r="L30" s="114">
        <f t="shared" si="10"/>
        <v>0</v>
      </c>
      <c r="M30" s="114">
        <f t="shared" si="10"/>
        <v>0</v>
      </c>
      <c r="N30" s="115">
        <f t="shared" si="10"/>
        <v>4730.6000000000004</v>
      </c>
      <c r="O30" s="130">
        <f t="shared" si="10"/>
        <v>4048.7000000000003</v>
      </c>
      <c r="P30" s="114">
        <f t="shared" si="10"/>
        <v>0</v>
      </c>
      <c r="Q30" s="114">
        <f t="shared" si="10"/>
        <v>0</v>
      </c>
      <c r="R30" s="115">
        <f t="shared" si="10"/>
        <v>4048.7000000000003</v>
      </c>
      <c r="S30" s="130">
        <f t="shared" si="10"/>
        <v>0</v>
      </c>
      <c r="T30" s="114">
        <f t="shared" si="10"/>
        <v>0</v>
      </c>
      <c r="U30" s="114">
        <f t="shared" si="10"/>
        <v>0</v>
      </c>
      <c r="V30" s="206">
        <f t="shared" si="10"/>
        <v>0</v>
      </c>
      <c r="W30" s="123"/>
      <c r="X30" s="561"/>
      <c r="Y30" s="995"/>
      <c r="Z30" s="241">
        <v>100</v>
      </c>
      <c r="AA30" s="27"/>
      <c r="AB30" s="250"/>
    </row>
    <row r="31" spans="1:37" ht="16.5" customHeight="1">
      <c r="A31" s="975" t="s">
        <v>8</v>
      </c>
      <c r="B31" s="978" t="s">
        <v>8</v>
      </c>
      <c r="C31" s="981" t="s">
        <v>32</v>
      </c>
      <c r="D31" s="545"/>
      <c r="E31" s="988" t="s">
        <v>137</v>
      </c>
      <c r="F31" s="989"/>
      <c r="G31" s="1186" t="s">
        <v>37</v>
      </c>
      <c r="H31" s="972" t="s">
        <v>33</v>
      </c>
      <c r="I31" s="1268" t="s">
        <v>107</v>
      </c>
      <c r="J31" s="125" t="s">
        <v>59</v>
      </c>
      <c r="K31" s="191"/>
      <c r="L31" s="192"/>
      <c r="M31" s="192"/>
      <c r="N31" s="193"/>
      <c r="O31" s="191">
        <f>R31</f>
        <v>164.8</v>
      </c>
      <c r="P31" s="192"/>
      <c r="Q31" s="192"/>
      <c r="R31" s="193">
        <v>164.8</v>
      </c>
      <c r="S31" s="118">
        <f>T31+V31</f>
        <v>0</v>
      </c>
      <c r="T31" s="119">
        <v>0</v>
      </c>
      <c r="U31" s="119"/>
      <c r="V31" s="140"/>
      <c r="W31" s="231"/>
      <c r="X31" s="566"/>
      <c r="Y31" s="973" t="s">
        <v>138</v>
      </c>
      <c r="Z31" s="1007">
        <v>1600</v>
      </c>
      <c r="AA31" s="64"/>
      <c r="AB31" s="247"/>
      <c r="AD31" s="63"/>
      <c r="AE31" s="63"/>
      <c r="AF31" s="63"/>
      <c r="AG31" s="63"/>
      <c r="AH31" s="63"/>
      <c r="AI31" s="63"/>
      <c r="AJ31" s="63"/>
      <c r="AK31" s="63"/>
    </row>
    <row r="32" spans="1:37" ht="18" customHeight="1" thickBot="1">
      <c r="A32" s="976"/>
      <c r="B32" s="980"/>
      <c r="C32" s="983"/>
      <c r="D32" s="546"/>
      <c r="E32" s="951"/>
      <c r="F32" s="945"/>
      <c r="G32" s="1188"/>
      <c r="H32" s="947"/>
      <c r="I32" s="1289"/>
      <c r="J32" s="53" t="s">
        <v>9</v>
      </c>
      <c r="K32" s="113"/>
      <c r="L32" s="114"/>
      <c r="M32" s="114"/>
      <c r="N32" s="115"/>
      <c r="O32" s="113">
        <f t="shared" ref="O32:X32" si="11">SUM(O31:O31)</f>
        <v>164.8</v>
      </c>
      <c r="P32" s="114">
        <f t="shared" si="11"/>
        <v>0</v>
      </c>
      <c r="Q32" s="114">
        <f t="shared" si="11"/>
        <v>0</v>
      </c>
      <c r="R32" s="115">
        <f t="shared" si="11"/>
        <v>164.8</v>
      </c>
      <c r="S32" s="113">
        <f t="shared" si="11"/>
        <v>0</v>
      </c>
      <c r="T32" s="114">
        <f t="shared" si="11"/>
        <v>0</v>
      </c>
      <c r="U32" s="114">
        <f t="shared" si="11"/>
        <v>0</v>
      </c>
      <c r="V32" s="206">
        <f t="shared" si="11"/>
        <v>0</v>
      </c>
      <c r="W32" s="123">
        <f t="shared" si="11"/>
        <v>0</v>
      </c>
      <c r="X32" s="561">
        <f t="shared" si="11"/>
        <v>0</v>
      </c>
      <c r="Y32" s="974"/>
      <c r="Z32" s="1008"/>
      <c r="AA32" s="62"/>
      <c r="AB32" s="248"/>
      <c r="AD32" s="63"/>
      <c r="AE32" s="63"/>
      <c r="AF32" s="63"/>
      <c r="AG32" s="63"/>
      <c r="AH32" s="63"/>
      <c r="AI32" s="63"/>
      <c r="AJ32" s="63"/>
      <c r="AK32" s="63"/>
    </row>
    <row r="33" spans="1:37">
      <c r="A33" s="976" t="s">
        <v>8</v>
      </c>
      <c r="B33" s="978" t="s">
        <v>8</v>
      </c>
      <c r="C33" s="981" t="s">
        <v>34</v>
      </c>
      <c r="D33" s="520"/>
      <c r="E33" s="988" t="s">
        <v>39</v>
      </c>
      <c r="F33" s="989"/>
      <c r="G33" s="1186" t="s">
        <v>37</v>
      </c>
      <c r="H33" s="972" t="s">
        <v>33</v>
      </c>
      <c r="I33" s="1268" t="s">
        <v>107</v>
      </c>
      <c r="J33" s="534" t="s">
        <v>42</v>
      </c>
      <c r="K33" s="535">
        <f>L33+N33</f>
        <v>9.9</v>
      </c>
      <c r="L33" s="536">
        <v>9.9</v>
      </c>
      <c r="M33" s="536"/>
      <c r="N33" s="537"/>
      <c r="O33" s="535"/>
      <c r="P33" s="536"/>
      <c r="Q33" s="536"/>
      <c r="R33" s="537"/>
      <c r="S33" s="538"/>
      <c r="T33" s="539"/>
      <c r="U33" s="539"/>
      <c r="V33" s="540"/>
      <c r="W33" s="541"/>
      <c r="X33" s="578"/>
      <c r="Y33" s="973"/>
      <c r="Z33" s="240"/>
      <c r="AA33" s="61"/>
      <c r="AB33" s="249"/>
      <c r="AD33" s="63"/>
      <c r="AE33" s="63"/>
      <c r="AF33" s="63"/>
      <c r="AG33" s="63"/>
      <c r="AH33" s="63"/>
      <c r="AI33" s="63"/>
      <c r="AJ33" s="63"/>
      <c r="AK33" s="63"/>
    </row>
    <row r="34" spans="1:37">
      <c r="A34" s="976"/>
      <c r="B34" s="979"/>
      <c r="C34" s="982"/>
      <c r="D34" s="521"/>
      <c r="E34" s="950"/>
      <c r="F34" s="944"/>
      <c r="G34" s="1187"/>
      <c r="H34" s="946"/>
      <c r="I34" s="1269"/>
      <c r="J34" s="533" t="s">
        <v>59</v>
      </c>
      <c r="K34" s="185">
        <f>L34</f>
        <v>23.1</v>
      </c>
      <c r="L34" s="186">
        <v>23.1</v>
      </c>
      <c r="M34" s="186"/>
      <c r="N34" s="187"/>
      <c r="O34" s="185"/>
      <c r="P34" s="186"/>
      <c r="Q34" s="186"/>
      <c r="R34" s="187"/>
      <c r="S34" s="104"/>
      <c r="T34" s="105"/>
      <c r="U34" s="105"/>
      <c r="V34" s="135"/>
      <c r="W34" s="230"/>
      <c r="X34" s="311"/>
      <c r="Y34" s="1251"/>
      <c r="Z34" s="240"/>
      <c r="AA34" s="61"/>
      <c r="AB34" s="249"/>
      <c r="AD34" s="63"/>
      <c r="AE34" s="63"/>
      <c r="AF34" s="63"/>
      <c r="AG34" s="63"/>
      <c r="AH34" s="63"/>
      <c r="AI34" s="63"/>
      <c r="AJ34" s="63"/>
      <c r="AK34" s="63"/>
    </row>
    <row r="35" spans="1:37" ht="13.5" thickBot="1">
      <c r="A35" s="977"/>
      <c r="B35" s="980"/>
      <c r="C35" s="983"/>
      <c r="D35" s="522"/>
      <c r="E35" s="951"/>
      <c r="F35" s="945"/>
      <c r="G35" s="1188"/>
      <c r="H35" s="947"/>
      <c r="I35" s="1270"/>
      <c r="J35" s="53" t="s">
        <v>9</v>
      </c>
      <c r="K35" s="113">
        <f t="shared" ref="K35:N35" si="12">SUM(K33:K34)</f>
        <v>33</v>
      </c>
      <c r="L35" s="114">
        <f t="shared" si="12"/>
        <v>33</v>
      </c>
      <c r="M35" s="114">
        <f t="shared" si="12"/>
        <v>0</v>
      </c>
      <c r="N35" s="115">
        <f t="shared" si="12"/>
        <v>0</v>
      </c>
      <c r="O35" s="113"/>
      <c r="P35" s="114"/>
      <c r="Q35" s="114"/>
      <c r="R35" s="115"/>
      <c r="S35" s="113"/>
      <c r="T35" s="114"/>
      <c r="U35" s="114"/>
      <c r="V35" s="206"/>
      <c r="W35" s="123"/>
      <c r="X35" s="561"/>
      <c r="Y35" s="974"/>
      <c r="Z35" s="240"/>
      <c r="AA35" s="61"/>
      <c r="AB35" s="249"/>
      <c r="AD35" s="63"/>
      <c r="AE35" s="63"/>
      <c r="AF35" s="63"/>
      <c r="AG35" s="63"/>
      <c r="AH35" s="63"/>
      <c r="AI35" s="63"/>
      <c r="AJ35" s="63"/>
      <c r="AK35" s="63"/>
    </row>
    <row r="36" spans="1:37" ht="13.5" thickBot="1">
      <c r="A36" s="287" t="s">
        <v>8</v>
      </c>
      <c r="B36" s="6" t="s">
        <v>8</v>
      </c>
      <c r="C36" s="1009" t="s">
        <v>11</v>
      </c>
      <c r="D36" s="1009"/>
      <c r="E36" s="1009"/>
      <c r="F36" s="1009"/>
      <c r="G36" s="1009"/>
      <c r="H36" s="1009"/>
      <c r="I36" s="1009"/>
      <c r="J36" s="1254"/>
      <c r="K36" s="131">
        <f t="shared" ref="K36:X36" si="13">K30+K35+K27+K24+K22+K16</f>
        <v>24338.400000000001</v>
      </c>
      <c r="L36" s="131">
        <f t="shared" si="13"/>
        <v>17807.8</v>
      </c>
      <c r="M36" s="131">
        <f t="shared" si="13"/>
        <v>0</v>
      </c>
      <c r="N36" s="131">
        <f t="shared" si="13"/>
        <v>6530.6</v>
      </c>
      <c r="O36" s="131">
        <f>O30+O35+O27+O24+O22+O16+O32</f>
        <v>25341.8</v>
      </c>
      <c r="P36" s="131">
        <f t="shared" ref="P36:V36" si="14">P30+P35+P27+P24+P22+P16+P32</f>
        <v>17849.599999999999</v>
      </c>
      <c r="Q36" s="131">
        <f t="shared" si="14"/>
        <v>0</v>
      </c>
      <c r="R36" s="131">
        <f t="shared" si="14"/>
        <v>7492.2000000000007</v>
      </c>
      <c r="S36" s="131">
        <f t="shared" si="14"/>
        <v>0</v>
      </c>
      <c r="T36" s="131">
        <f t="shared" si="14"/>
        <v>0</v>
      </c>
      <c r="U36" s="131">
        <f t="shared" si="14"/>
        <v>0</v>
      </c>
      <c r="V36" s="183">
        <f t="shared" si="14"/>
        <v>0</v>
      </c>
      <c r="W36" s="579">
        <f>W30+W35+W27+W24+W22+W16</f>
        <v>19352.2</v>
      </c>
      <c r="X36" s="579">
        <f t="shared" si="13"/>
        <v>19352.2</v>
      </c>
      <c r="Y36" s="85"/>
      <c r="Z36" s="100"/>
      <c r="AA36" s="100"/>
      <c r="AB36" s="86"/>
    </row>
    <row r="37" spans="1:37" ht="14.25" customHeight="1" thickBot="1">
      <c r="A37" s="287" t="s">
        <v>8</v>
      </c>
      <c r="B37" s="6" t="s">
        <v>10</v>
      </c>
      <c r="C37" s="1010" t="s">
        <v>55</v>
      </c>
      <c r="D37" s="1011"/>
      <c r="E37" s="1011"/>
      <c r="F37" s="1011"/>
      <c r="G37" s="1011"/>
      <c r="H37" s="1011"/>
      <c r="I37" s="1011"/>
      <c r="J37" s="1011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1011"/>
      <c r="V37" s="1011"/>
      <c r="W37" s="1011"/>
      <c r="X37" s="1011"/>
      <c r="Y37" s="1011"/>
      <c r="Z37" s="1011"/>
      <c r="AA37" s="1011"/>
      <c r="AB37" s="1012"/>
    </row>
    <row r="38" spans="1:37" ht="12.75" customHeight="1">
      <c r="A38" s="975" t="s">
        <v>8</v>
      </c>
      <c r="B38" s="978" t="s">
        <v>10</v>
      </c>
      <c r="C38" s="981" t="s">
        <v>8</v>
      </c>
      <c r="D38" s="90"/>
      <c r="E38" s="1013" t="s">
        <v>40</v>
      </c>
      <c r="F38" s="1016" t="s">
        <v>83</v>
      </c>
      <c r="G38" s="1186" t="s">
        <v>37</v>
      </c>
      <c r="H38" s="972" t="s">
        <v>33</v>
      </c>
      <c r="I38" s="1252" t="s">
        <v>107</v>
      </c>
      <c r="J38" s="20" t="s">
        <v>42</v>
      </c>
      <c r="K38" s="197">
        <f>L38+N38</f>
        <v>140</v>
      </c>
      <c r="L38" s="198">
        <v>140</v>
      </c>
      <c r="M38" s="198"/>
      <c r="N38" s="198"/>
      <c r="O38" s="197">
        <f>P38+R38</f>
        <v>165</v>
      </c>
      <c r="P38" s="198">
        <v>165</v>
      </c>
      <c r="Q38" s="198"/>
      <c r="R38" s="199"/>
      <c r="S38" s="182">
        <f>T38+V38</f>
        <v>0</v>
      </c>
      <c r="T38" s="132">
        <v>0</v>
      </c>
      <c r="U38" s="132"/>
      <c r="V38" s="132"/>
      <c r="W38" s="233">
        <v>108</v>
      </c>
      <c r="X38" s="555">
        <v>150</v>
      </c>
      <c r="Y38" s="1019" t="s">
        <v>80</v>
      </c>
      <c r="Z38" s="254">
        <v>4</v>
      </c>
      <c r="AA38" s="227">
        <v>5</v>
      </c>
      <c r="AB38" s="38">
        <v>5</v>
      </c>
    </row>
    <row r="39" spans="1:37">
      <c r="A39" s="976"/>
      <c r="B39" s="979"/>
      <c r="C39" s="982"/>
      <c r="D39" s="91"/>
      <c r="E39" s="1014"/>
      <c r="F39" s="1017"/>
      <c r="G39" s="1187"/>
      <c r="H39" s="946"/>
      <c r="I39" s="1253"/>
      <c r="J39" s="21"/>
      <c r="K39" s="200"/>
      <c r="L39" s="201"/>
      <c r="M39" s="201"/>
      <c r="N39" s="201"/>
      <c r="O39" s="200"/>
      <c r="P39" s="201"/>
      <c r="Q39" s="201"/>
      <c r="R39" s="195"/>
      <c r="S39" s="180"/>
      <c r="T39" s="134"/>
      <c r="U39" s="134"/>
      <c r="V39" s="134"/>
      <c r="W39" s="234"/>
      <c r="X39" s="557"/>
      <c r="Y39" s="1020"/>
      <c r="Z39" s="255"/>
      <c r="AA39" s="217"/>
      <c r="AB39" s="44"/>
    </row>
    <row r="40" spans="1:37">
      <c r="A40" s="976"/>
      <c r="B40" s="979"/>
      <c r="C40" s="982"/>
      <c r="D40" s="91"/>
      <c r="E40" s="1014"/>
      <c r="F40" s="1017"/>
      <c r="G40" s="1187"/>
      <c r="H40" s="946"/>
      <c r="I40" s="1253"/>
      <c r="J40" s="21"/>
      <c r="K40" s="202"/>
      <c r="L40" s="203"/>
      <c r="M40" s="203"/>
      <c r="N40" s="203"/>
      <c r="O40" s="202"/>
      <c r="P40" s="203"/>
      <c r="Q40" s="203"/>
      <c r="R40" s="187"/>
      <c r="S40" s="165"/>
      <c r="T40" s="135"/>
      <c r="U40" s="135"/>
      <c r="V40" s="135"/>
      <c r="W40" s="230"/>
      <c r="X40" s="311"/>
      <c r="Y40" s="1020"/>
      <c r="Z40" s="255"/>
      <c r="AA40" s="217"/>
      <c r="AB40" s="44"/>
    </row>
    <row r="41" spans="1:37" ht="13.5" thickBot="1">
      <c r="A41" s="977"/>
      <c r="B41" s="980"/>
      <c r="C41" s="983"/>
      <c r="D41" s="89"/>
      <c r="E41" s="1015"/>
      <c r="F41" s="1018"/>
      <c r="G41" s="1188"/>
      <c r="H41" s="947"/>
      <c r="I41" s="1189"/>
      <c r="J41" s="53" t="s">
        <v>9</v>
      </c>
      <c r="K41" s="136">
        <f t="shared" ref="K41:V41" si="15">SUM(K38:K40)</f>
        <v>140</v>
      </c>
      <c r="L41" s="137">
        <f t="shared" si="15"/>
        <v>140</v>
      </c>
      <c r="M41" s="137">
        <f t="shared" si="15"/>
        <v>0</v>
      </c>
      <c r="N41" s="137">
        <f t="shared" si="15"/>
        <v>0</v>
      </c>
      <c r="O41" s="136">
        <f t="shared" si="15"/>
        <v>165</v>
      </c>
      <c r="P41" s="137">
        <f t="shared" si="15"/>
        <v>165</v>
      </c>
      <c r="Q41" s="137">
        <f t="shared" si="15"/>
        <v>0</v>
      </c>
      <c r="R41" s="138">
        <f t="shared" si="15"/>
        <v>0</v>
      </c>
      <c r="S41" s="181">
        <f t="shared" si="15"/>
        <v>0</v>
      </c>
      <c r="T41" s="137">
        <f t="shared" si="15"/>
        <v>0</v>
      </c>
      <c r="U41" s="137">
        <f t="shared" si="15"/>
        <v>0</v>
      </c>
      <c r="V41" s="137">
        <f t="shared" si="15"/>
        <v>0</v>
      </c>
      <c r="W41" s="136">
        <f t="shared" ref="W41" si="16">SUM(W38:W40)</f>
        <v>108</v>
      </c>
      <c r="X41" s="556">
        <f t="shared" ref="X41" si="17">SUM(X38:X40)</f>
        <v>150</v>
      </c>
      <c r="Y41" s="139" t="s">
        <v>56</v>
      </c>
      <c r="Z41" s="256">
        <v>1</v>
      </c>
      <c r="AA41" s="218">
        <v>1</v>
      </c>
      <c r="AB41" s="39">
        <v>1</v>
      </c>
    </row>
    <row r="42" spans="1:37" ht="12.75" customHeight="1">
      <c r="A42" s="975" t="s">
        <v>8</v>
      </c>
      <c r="B42" s="978" t="s">
        <v>10</v>
      </c>
      <c r="C42" s="981" t="s">
        <v>10</v>
      </c>
      <c r="D42" s="90"/>
      <c r="E42" s="1013" t="s">
        <v>41</v>
      </c>
      <c r="F42" s="1038" t="s">
        <v>120</v>
      </c>
      <c r="G42" s="1186" t="s">
        <v>37</v>
      </c>
      <c r="H42" s="972" t="s">
        <v>33</v>
      </c>
      <c r="I42" s="1268" t="s">
        <v>107</v>
      </c>
      <c r="J42" s="11" t="s">
        <v>42</v>
      </c>
      <c r="K42" s="204">
        <f>L42+N42</f>
        <v>7.5</v>
      </c>
      <c r="L42" s="192">
        <v>7.5</v>
      </c>
      <c r="M42" s="192"/>
      <c r="N42" s="205"/>
      <c r="O42" s="191">
        <f>P42+R42</f>
        <v>9</v>
      </c>
      <c r="P42" s="192">
        <v>9</v>
      </c>
      <c r="Q42" s="192"/>
      <c r="R42" s="193"/>
      <c r="S42" s="257">
        <f>T42+V42</f>
        <v>0</v>
      </c>
      <c r="T42" s="119">
        <v>0</v>
      </c>
      <c r="U42" s="119"/>
      <c r="V42" s="140"/>
      <c r="W42" s="231">
        <v>7.4</v>
      </c>
      <c r="X42" s="566">
        <v>7.4</v>
      </c>
      <c r="Y42" s="1040" t="s">
        <v>45</v>
      </c>
      <c r="Z42" s="254">
        <v>1</v>
      </c>
      <c r="AA42" s="227">
        <v>1</v>
      </c>
      <c r="AB42" s="38">
        <v>1</v>
      </c>
    </row>
    <row r="43" spans="1:37" ht="13.5" thickBot="1">
      <c r="A43" s="977"/>
      <c r="B43" s="980"/>
      <c r="C43" s="983"/>
      <c r="D43" s="89"/>
      <c r="E43" s="1015"/>
      <c r="F43" s="1039"/>
      <c r="G43" s="1188"/>
      <c r="H43" s="947"/>
      <c r="I43" s="1289"/>
      <c r="J43" s="55" t="s">
        <v>9</v>
      </c>
      <c r="K43" s="130">
        <f t="shared" ref="K43:V43" si="18">SUM(K42:K42)</f>
        <v>7.5</v>
      </c>
      <c r="L43" s="114">
        <f t="shared" si="18"/>
        <v>7.5</v>
      </c>
      <c r="M43" s="114">
        <f t="shared" si="18"/>
        <v>0</v>
      </c>
      <c r="N43" s="206">
        <f t="shared" si="18"/>
        <v>0</v>
      </c>
      <c r="O43" s="113">
        <f t="shared" si="18"/>
        <v>9</v>
      </c>
      <c r="P43" s="114">
        <f t="shared" si="18"/>
        <v>9</v>
      </c>
      <c r="Q43" s="114">
        <f t="shared" si="18"/>
        <v>0</v>
      </c>
      <c r="R43" s="115">
        <f t="shared" si="18"/>
        <v>0</v>
      </c>
      <c r="S43" s="130">
        <f t="shared" si="18"/>
        <v>0</v>
      </c>
      <c r="T43" s="114">
        <f t="shared" si="18"/>
        <v>0</v>
      </c>
      <c r="U43" s="114">
        <f t="shared" si="18"/>
        <v>0</v>
      </c>
      <c r="V43" s="206">
        <f t="shared" si="18"/>
        <v>0</v>
      </c>
      <c r="W43" s="123">
        <f t="shared" ref="W43" si="19">SUM(W42:W42)</f>
        <v>7.4</v>
      </c>
      <c r="X43" s="561">
        <f t="shared" ref="X43" si="20">SUM(X42:X42)</f>
        <v>7.4</v>
      </c>
      <c r="Y43" s="1041"/>
      <c r="Z43" s="216"/>
      <c r="AA43" s="179"/>
      <c r="AB43" s="39"/>
    </row>
    <row r="44" spans="1:37" ht="13.5" thickBot="1">
      <c r="A44" s="288" t="s">
        <v>8</v>
      </c>
      <c r="B44" s="6" t="s">
        <v>10</v>
      </c>
      <c r="C44" s="1009" t="s">
        <v>11</v>
      </c>
      <c r="D44" s="1009"/>
      <c r="E44" s="1009"/>
      <c r="F44" s="1009"/>
      <c r="G44" s="1009"/>
      <c r="H44" s="1009"/>
      <c r="I44" s="1009"/>
      <c r="J44" s="1254"/>
      <c r="K44" s="131">
        <f>K43+K41</f>
        <v>147.5</v>
      </c>
      <c r="L44" s="131">
        <f t="shared" ref="L44:V44" si="21">L43+L41</f>
        <v>147.5</v>
      </c>
      <c r="M44" s="131">
        <f t="shared" si="21"/>
        <v>0</v>
      </c>
      <c r="N44" s="183">
        <f t="shared" si="21"/>
        <v>0</v>
      </c>
      <c r="O44" s="264">
        <f t="shared" si="21"/>
        <v>174</v>
      </c>
      <c r="P44" s="131">
        <f t="shared" si="21"/>
        <v>174</v>
      </c>
      <c r="Q44" s="131">
        <f t="shared" si="21"/>
        <v>0</v>
      </c>
      <c r="R44" s="265">
        <f t="shared" si="21"/>
        <v>0</v>
      </c>
      <c r="S44" s="131">
        <f t="shared" si="21"/>
        <v>0</v>
      </c>
      <c r="T44" s="131">
        <f t="shared" si="21"/>
        <v>0</v>
      </c>
      <c r="U44" s="131">
        <f t="shared" si="21"/>
        <v>0</v>
      </c>
      <c r="V44" s="183">
        <f t="shared" si="21"/>
        <v>0</v>
      </c>
      <c r="W44" s="235">
        <f>W43+W41</f>
        <v>115.4</v>
      </c>
      <c r="X44" s="579">
        <f>X43+X41</f>
        <v>157.4</v>
      </c>
      <c r="Y44" s="1031"/>
      <c r="Z44" s="1031"/>
      <c r="AA44" s="1031"/>
      <c r="AB44" s="1032"/>
    </row>
    <row r="45" spans="1:37" ht="16.5" customHeight="1" thickBot="1">
      <c r="A45" s="287" t="s">
        <v>8</v>
      </c>
      <c r="B45" s="6" t="s">
        <v>32</v>
      </c>
      <c r="C45" s="1010" t="s">
        <v>136</v>
      </c>
      <c r="D45" s="1011"/>
      <c r="E45" s="1011"/>
      <c r="F45" s="1011"/>
      <c r="G45" s="1011"/>
      <c r="H45" s="1011"/>
      <c r="I45" s="1011"/>
      <c r="J45" s="1011"/>
      <c r="K45" s="1011"/>
      <c r="L45" s="1011"/>
      <c r="M45" s="1011"/>
      <c r="N45" s="1011"/>
      <c r="O45" s="1011"/>
      <c r="P45" s="1011"/>
      <c r="Q45" s="1011"/>
      <c r="R45" s="1011"/>
      <c r="S45" s="1011"/>
      <c r="T45" s="1011"/>
      <c r="U45" s="1011"/>
      <c r="V45" s="1011"/>
      <c r="W45" s="1011"/>
      <c r="X45" s="1011"/>
      <c r="Y45" s="1011"/>
      <c r="Z45" s="1011"/>
      <c r="AA45" s="1011"/>
      <c r="AB45" s="1012"/>
    </row>
    <row r="46" spans="1:37" ht="15" customHeight="1">
      <c r="A46" s="289" t="s">
        <v>8</v>
      </c>
      <c r="B46" s="222" t="s">
        <v>32</v>
      </c>
      <c r="C46" s="272" t="s">
        <v>8</v>
      </c>
      <c r="D46" s="225"/>
      <c r="E46" s="399" t="s">
        <v>74</v>
      </c>
      <c r="F46" s="227"/>
      <c r="G46" s="221"/>
      <c r="H46" s="226"/>
      <c r="I46" s="378"/>
      <c r="J46" s="141"/>
      <c r="K46" s="191"/>
      <c r="L46" s="192"/>
      <c r="M46" s="192"/>
      <c r="N46" s="205"/>
      <c r="O46" s="191"/>
      <c r="P46" s="192"/>
      <c r="Q46" s="192"/>
      <c r="R46" s="193"/>
      <c r="S46" s="257"/>
      <c r="T46" s="119"/>
      <c r="U46" s="119"/>
      <c r="V46" s="140"/>
      <c r="W46" s="231"/>
      <c r="X46" s="566"/>
      <c r="Y46" s="260"/>
      <c r="Z46" s="253"/>
      <c r="AA46" s="259"/>
      <c r="AB46" s="38"/>
    </row>
    <row r="47" spans="1:37" ht="26.25" customHeight="1">
      <c r="A47" s="285"/>
      <c r="B47" s="219"/>
      <c r="C47" s="362"/>
      <c r="D47" s="363" t="s">
        <v>8</v>
      </c>
      <c r="E47" s="364" t="s">
        <v>50</v>
      </c>
      <c r="F47" s="1266" t="s">
        <v>133</v>
      </c>
      <c r="G47" s="365" t="s">
        <v>37</v>
      </c>
      <c r="H47" s="366" t="s">
        <v>33</v>
      </c>
      <c r="I47" s="1255" t="s">
        <v>119</v>
      </c>
      <c r="J47" s="12" t="s">
        <v>42</v>
      </c>
      <c r="K47" s="188">
        <f>L47+N47</f>
        <v>55.4</v>
      </c>
      <c r="L47" s="189">
        <v>55.4</v>
      </c>
      <c r="M47" s="189"/>
      <c r="N47" s="207"/>
      <c r="O47" s="188">
        <f>P47+R47</f>
        <v>41.6</v>
      </c>
      <c r="P47" s="189">
        <v>41.6</v>
      </c>
      <c r="Q47" s="189"/>
      <c r="R47" s="190"/>
      <c r="S47" s="128">
        <f>T47+V47</f>
        <v>0</v>
      </c>
      <c r="T47" s="110">
        <v>0</v>
      </c>
      <c r="U47" s="110"/>
      <c r="V47" s="143"/>
      <c r="W47" s="229">
        <v>41.6</v>
      </c>
      <c r="X47" s="567">
        <v>41.6</v>
      </c>
      <c r="Y47" s="384" t="s">
        <v>60</v>
      </c>
      <c r="Z47" s="385">
        <v>17</v>
      </c>
      <c r="AA47" s="385">
        <v>17</v>
      </c>
      <c r="AB47" s="386">
        <v>17</v>
      </c>
    </row>
    <row r="48" spans="1:37" ht="26.25" customHeight="1">
      <c r="A48" s="355"/>
      <c r="B48" s="356"/>
      <c r="C48" s="362"/>
      <c r="D48" s="368" t="s">
        <v>10</v>
      </c>
      <c r="E48" s="369" t="s">
        <v>147</v>
      </c>
      <c r="F48" s="1034"/>
      <c r="G48" s="371" t="s">
        <v>37</v>
      </c>
      <c r="H48" s="366" t="s">
        <v>33</v>
      </c>
      <c r="I48" s="1256"/>
      <c r="J48" s="10" t="s">
        <v>42</v>
      </c>
      <c r="K48" s="188">
        <f>L48+N48</f>
        <v>50</v>
      </c>
      <c r="L48" s="209">
        <v>50</v>
      </c>
      <c r="M48" s="209"/>
      <c r="N48" s="210"/>
      <c r="O48" s="188">
        <f>P48+R48</f>
        <v>50</v>
      </c>
      <c r="P48" s="209">
        <v>50</v>
      </c>
      <c r="Q48" s="209"/>
      <c r="R48" s="214"/>
      <c r="S48" s="128">
        <f>T48+V48</f>
        <v>0</v>
      </c>
      <c r="T48" s="147">
        <v>0</v>
      </c>
      <c r="U48" s="147"/>
      <c r="V48" s="149"/>
      <c r="W48" s="230">
        <v>50</v>
      </c>
      <c r="X48" s="311">
        <v>50</v>
      </c>
      <c r="Y48" s="374" t="s">
        <v>121</v>
      </c>
      <c r="Z48" s="269">
        <v>6.6</v>
      </c>
      <c r="AA48" s="353">
        <v>6.6</v>
      </c>
      <c r="AB48" s="144">
        <v>6.6</v>
      </c>
    </row>
    <row r="49" spans="1:33" ht="13.5" customHeight="1">
      <c r="A49" s="355"/>
      <c r="B49" s="356"/>
      <c r="C49" s="1263"/>
      <c r="D49" s="1264" t="s">
        <v>32</v>
      </c>
      <c r="E49" s="1257" t="s">
        <v>51</v>
      </c>
      <c r="F49" s="1034"/>
      <c r="G49" s="1259" t="s">
        <v>37</v>
      </c>
      <c r="H49" s="1261" t="s">
        <v>33</v>
      </c>
      <c r="I49" s="1227"/>
      <c r="J49" s="379" t="s">
        <v>43</v>
      </c>
      <c r="K49" s="326">
        <f>L49</f>
        <v>58.1</v>
      </c>
      <c r="L49" s="327">
        <v>58.1</v>
      </c>
      <c r="M49" s="327"/>
      <c r="N49" s="380"/>
      <c r="O49" s="326"/>
      <c r="P49" s="327"/>
      <c r="Q49" s="327"/>
      <c r="R49" s="329"/>
      <c r="S49" s="381"/>
      <c r="T49" s="331"/>
      <c r="U49" s="331"/>
      <c r="V49" s="333"/>
      <c r="W49" s="334"/>
      <c r="X49" s="568"/>
      <c r="Y49" s="266"/>
      <c r="Z49" s="268"/>
      <c r="AA49" s="268"/>
      <c r="AB49" s="40"/>
      <c r="AD49" s="63"/>
      <c r="AE49" s="63"/>
      <c r="AF49" s="63"/>
      <c r="AG49" s="63"/>
    </row>
    <row r="50" spans="1:33">
      <c r="A50" s="355"/>
      <c r="B50" s="356"/>
      <c r="C50" s="1263"/>
      <c r="D50" s="1265"/>
      <c r="E50" s="1258"/>
      <c r="F50" s="1034"/>
      <c r="G50" s="1260"/>
      <c r="H50" s="1262"/>
      <c r="I50" s="1227"/>
      <c r="J50" s="158" t="s">
        <v>58</v>
      </c>
      <c r="K50" s="185">
        <f>L50</f>
        <v>329</v>
      </c>
      <c r="L50" s="186">
        <v>329</v>
      </c>
      <c r="M50" s="186"/>
      <c r="N50" s="203"/>
      <c r="O50" s="185"/>
      <c r="P50" s="186"/>
      <c r="Q50" s="186"/>
      <c r="R50" s="187"/>
      <c r="S50" s="129"/>
      <c r="T50" s="105"/>
      <c r="U50" s="105"/>
      <c r="V50" s="135"/>
      <c r="W50" s="230"/>
      <c r="X50" s="311"/>
      <c r="Y50" s="263"/>
      <c r="Z50" s="217"/>
      <c r="AA50" s="217"/>
      <c r="AB50" s="144"/>
      <c r="AD50" s="63"/>
      <c r="AE50" s="63"/>
      <c r="AF50" s="63"/>
      <c r="AG50" s="63"/>
    </row>
    <row r="51" spans="1:33">
      <c r="A51" s="285"/>
      <c r="B51" s="79"/>
      <c r="C51" s="1263"/>
      <c r="D51" s="1264" t="s">
        <v>38</v>
      </c>
      <c r="E51" s="1257" t="s">
        <v>64</v>
      </c>
      <c r="F51" s="1034"/>
      <c r="G51" s="1259" t="s">
        <v>37</v>
      </c>
      <c r="H51" s="1261" t="s">
        <v>33</v>
      </c>
      <c r="I51" s="1227"/>
      <c r="J51" s="379" t="s">
        <v>58</v>
      </c>
      <c r="K51" s="326">
        <f>L51+N51</f>
        <v>441.6</v>
      </c>
      <c r="L51" s="327">
        <v>441.6</v>
      </c>
      <c r="M51" s="327"/>
      <c r="N51" s="380"/>
      <c r="O51" s="326"/>
      <c r="P51" s="327"/>
      <c r="Q51" s="327"/>
      <c r="R51" s="329"/>
      <c r="S51" s="381"/>
      <c r="T51" s="331"/>
      <c r="U51" s="331"/>
      <c r="V51" s="333"/>
      <c r="W51" s="334"/>
      <c r="X51" s="568"/>
      <c r="Y51" s="262"/>
      <c r="Z51" s="267"/>
      <c r="AA51" s="268"/>
      <c r="AB51" s="148"/>
      <c r="AD51" s="63"/>
      <c r="AE51" s="63"/>
      <c r="AF51" s="63"/>
      <c r="AG51" s="63"/>
    </row>
    <row r="52" spans="1:33">
      <c r="A52" s="285"/>
      <c r="B52" s="79"/>
      <c r="C52" s="1263"/>
      <c r="D52" s="1265"/>
      <c r="E52" s="1258"/>
      <c r="F52" s="1267"/>
      <c r="G52" s="1260"/>
      <c r="H52" s="1262"/>
      <c r="I52" s="1228"/>
      <c r="J52" s="158" t="s">
        <v>59</v>
      </c>
      <c r="K52" s="185">
        <f>L52+N52</f>
        <v>87.7</v>
      </c>
      <c r="L52" s="186">
        <v>87.7</v>
      </c>
      <c r="M52" s="186"/>
      <c r="N52" s="203"/>
      <c r="O52" s="185"/>
      <c r="P52" s="186"/>
      <c r="Q52" s="186"/>
      <c r="R52" s="187"/>
      <c r="S52" s="129"/>
      <c r="T52" s="105"/>
      <c r="U52" s="105"/>
      <c r="V52" s="135"/>
      <c r="W52" s="230"/>
      <c r="X52" s="311"/>
      <c r="Y52" s="261"/>
      <c r="Z52" s="382"/>
      <c r="AA52" s="270"/>
      <c r="AB52" s="383"/>
    </row>
    <row r="53" spans="1:33">
      <c r="A53" s="285"/>
      <c r="B53" s="79"/>
      <c r="C53" s="273"/>
      <c r="D53" s="999" t="s">
        <v>34</v>
      </c>
      <c r="E53" s="1002" t="s">
        <v>94</v>
      </c>
      <c r="F53" s="1005" t="s">
        <v>65</v>
      </c>
      <c r="G53" s="1182" t="s">
        <v>37</v>
      </c>
      <c r="H53" s="946" t="s">
        <v>44</v>
      </c>
      <c r="I53" s="1217" t="s">
        <v>125</v>
      </c>
      <c r="J53" s="145" t="s">
        <v>43</v>
      </c>
      <c r="K53" s="208">
        <f>L53+N53</f>
        <v>68.5</v>
      </c>
      <c r="L53" s="387">
        <v>68.5</v>
      </c>
      <c r="M53" s="194"/>
      <c r="N53" s="201"/>
      <c r="O53" s="208"/>
      <c r="P53" s="387"/>
      <c r="Q53" s="194"/>
      <c r="R53" s="195"/>
      <c r="S53" s="162"/>
      <c r="T53" s="388"/>
      <c r="U53" s="126"/>
      <c r="V53" s="134"/>
      <c r="W53" s="234"/>
      <c r="X53" s="557"/>
      <c r="Y53" s="415"/>
      <c r="Z53" s="258"/>
      <c r="AA53" s="258"/>
      <c r="AB53" s="150"/>
    </row>
    <row r="54" spans="1:33">
      <c r="A54" s="285"/>
      <c r="B54" s="79"/>
      <c r="C54" s="273"/>
      <c r="D54" s="999"/>
      <c r="E54" s="1002"/>
      <c r="F54" s="1005"/>
      <c r="G54" s="1182"/>
      <c r="H54" s="946"/>
      <c r="I54" s="1180"/>
      <c r="J54" s="390" t="s">
        <v>42</v>
      </c>
      <c r="K54" s="391">
        <f>L54+N54</f>
        <v>329.3</v>
      </c>
      <c r="L54" s="392">
        <v>329.3</v>
      </c>
      <c r="M54" s="392"/>
      <c r="N54" s="393"/>
      <c r="O54" s="391"/>
      <c r="P54" s="392"/>
      <c r="Q54" s="392"/>
      <c r="R54" s="394"/>
      <c r="S54" s="395"/>
      <c r="T54" s="396"/>
      <c r="U54" s="396"/>
      <c r="V54" s="397"/>
      <c r="W54" s="398"/>
      <c r="X54" s="560"/>
      <c r="Y54" s="357"/>
      <c r="Z54" s="271"/>
      <c r="AA54" s="271"/>
      <c r="AB54" s="151"/>
      <c r="AC54" s="69"/>
    </row>
    <row r="55" spans="1:33" ht="14.25" customHeight="1">
      <c r="A55" s="285"/>
      <c r="B55" s="79"/>
      <c r="C55" s="273"/>
      <c r="D55" s="999"/>
      <c r="E55" s="1002"/>
      <c r="F55" s="1005"/>
      <c r="G55" s="1182"/>
      <c r="H55" s="946"/>
      <c r="I55" s="1180"/>
      <c r="J55" s="389" t="s">
        <v>58</v>
      </c>
      <c r="K55" s="185">
        <f>L55+N55</f>
        <v>2280.5</v>
      </c>
      <c r="L55" s="194">
        <v>2280.5</v>
      </c>
      <c r="M55" s="194"/>
      <c r="N55" s="201"/>
      <c r="O55" s="185"/>
      <c r="P55" s="194"/>
      <c r="Q55" s="194"/>
      <c r="R55" s="195"/>
      <c r="S55" s="129"/>
      <c r="T55" s="126"/>
      <c r="U55" s="126"/>
      <c r="V55" s="134"/>
      <c r="W55" s="230"/>
      <c r="X55" s="311"/>
      <c r="Y55" s="220"/>
      <c r="Z55" s="416"/>
      <c r="AA55" s="416"/>
      <c r="AB55" s="417"/>
    </row>
    <row r="56" spans="1:33" ht="15.75" customHeight="1" thickBot="1">
      <c r="A56" s="285"/>
      <c r="B56" s="79"/>
      <c r="C56" s="274"/>
      <c r="D56" s="275"/>
      <c r="E56" s="275"/>
      <c r="F56" s="275"/>
      <c r="G56" s="275"/>
      <c r="H56" s="275"/>
      <c r="I56" s="1218" t="s">
        <v>106</v>
      </c>
      <c r="J56" s="1219"/>
      <c r="K56" s="276">
        <f>SUM(K47:K55)</f>
        <v>3700.1000000000004</v>
      </c>
      <c r="L56" s="276">
        <f t="shared" ref="L56:X56" si="22">SUM(L47:L55)</f>
        <v>3700.1000000000004</v>
      </c>
      <c r="M56" s="276">
        <f t="shared" si="22"/>
        <v>0</v>
      </c>
      <c r="N56" s="277">
        <f t="shared" si="22"/>
        <v>0</v>
      </c>
      <c r="O56" s="278">
        <f t="shared" si="22"/>
        <v>91.6</v>
      </c>
      <c r="P56" s="279">
        <f t="shared" si="22"/>
        <v>91.6</v>
      </c>
      <c r="Q56" s="279">
        <f t="shared" si="22"/>
        <v>0</v>
      </c>
      <c r="R56" s="280">
        <f t="shared" si="22"/>
        <v>0</v>
      </c>
      <c r="S56" s="276">
        <f t="shared" si="22"/>
        <v>0</v>
      </c>
      <c r="T56" s="276">
        <f t="shared" si="22"/>
        <v>0</v>
      </c>
      <c r="U56" s="276">
        <f t="shared" si="22"/>
        <v>0</v>
      </c>
      <c r="V56" s="277">
        <f t="shared" si="22"/>
        <v>0</v>
      </c>
      <c r="W56" s="514">
        <f t="shared" si="22"/>
        <v>91.6</v>
      </c>
      <c r="X56" s="516">
        <f t="shared" si="22"/>
        <v>91.6</v>
      </c>
      <c r="Y56" s="418"/>
      <c r="Z56" s="419"/>
      <c r="AA56" s="419"/>
      <c r="AB56" s="420"/>
    </row>
    <row r="57" spans="1:33" ht="27" customHeight="1">
      <c r="A57" s="358" t="s">
        <v>8</v>
      </c>
      <c r="B57" s="359" t="s">
        <v>32</v>
      </c>
      <c r="C57" s="272" t="s">
        <v>10</v>
      </c>
      <c r="D57" s="155"/>
      <c r="E57" s="156" t="s">
        <v>140</v>
      </c>
      <c r="F57" s="400"/>
      <c r="G57" s="401"/>
      <c r="H57" s="155"/>
      <c r="I57" s="378"/>
      <c r="J57" s="11"/>
      <c r="K57" s="191"/>
      <c r="L57" s="192"/>
      <c r="M57" s="192"/>
      <c r="N57" s="193"/>
      <c r="O57" s="191"/>
      <c r="P57" s="192"/>
      <c r="Q57" s="192"/>
      <c r="R57" s="193"/>
      <c r="S57" s="118"/>
      <c r="T57" s="119"/>
      <c r="U57" s="119"/>
      <c r="V57" s="120"/>
      <c r="W57" s="231"/>
      <c r="X57" s="566"/>
      <c r="Y57" s="913"/>
      <c r="Z57" s="342"/>
      <c r="AA57" s="342"/>
      <c r="AB57" s="402"/>
    </row>
    <row r="58" spans="1:33" ht="13.5" customHeight="1">
      <c r="A58" s="903"/>
      <c r="B58" s="904"/>
      <c r="C58" s="907"/>
      <c r="D58" s="906" t="s">
        <v>8</v>
      </c>
      <c r="E58" s="1229" t="s">
        <v>93</v>
      </c>
      <c r="F58" s="908" t="s">
        <v>169</v>
      </c>
      <c r="G58" s="905" t="s">
        <v>37</v>
      </c>
      <c r="H58" s="902" t="s">
        <v>33</v>
      </c>
      <c r="I58" s="1226" t="s">
        <v>119</v>
      </c>
      <c r="J58" s="21" t="s">
        <v>42</v>
      </c>
      <c r="K58" s="208">
        <f>L58+N58</f>
        <v>263.29999999999995</v>
      </c>
      <c r="L58" s="194">
        <v>162.69999999999999</v>
      </c>
      <c r="M58" s="194"/>
      <c r="N58" s="195">
        <v>100.6</v>
      </c>
      <c r="O58" s="208">
        <f>P58+R58</f>
        <v>420.8</v>
      </c>
      <c r="P58" s="194">
        <v>228</v>
      </c>
      <c r="Q58" s="194"/>
      <c r="R58" s="195">
        <v>192.8</v>
      </c>
      <c r="S58" s="146">
        <f>T58+V58</f>
        <v>0</v>
      </c>
      <c r="T58" s="126">
        <v>0</v>
      </c>
      <c r="U58" s="126"/>
      <c r="V58" s="127"/>
      <c r="W58" s="234">
        <v>420</v>
      </c>
      <c r="X58" s="557">
        <v>420</v>
      </c>
      <c r="Y58" s="917" t="s">
        <v>171</v>
      </c>
      <c r="Z58" s="8">
        <v>237</v>
      </c>
      <c r="AA58" s="8">
        <v>230</v>
      </c>
      <c r="AB58" s="44">
        <v>230</v>
      </c>
    </row>
    <row r="59" spans="1:33" ht="27" customHeight="1">
      <c r="A59" s="283"/>
      <c r="B59" s="13"/>
      <c r="C59" s="291"/>
      <c r="D59" s="946"/>
      <c r="E59" s="1230"/>
      <c r="F59" s="1224"/>
      <c r="G59" s="354"/>
      <c r="H59" s="376"/>
      <c r="I59" s="1227"/>
      <c r="J59" s="21"/>
      <c r="K59" s="208"/>
      <c r="L59" s="194"/>
      <c r="M59" s="194"/>
      <c r="N59" s="195"/>
      <c r="O59" s="208"/>
      <c r="P59" s="194"/>
      <c r="Q59" s="194"/>
      <c r="R59" s="195"/>
      <c r="S59" s="146"/>
      <c r="T59" s="126"/>
      <c r="U59" s="126"/>
      <c r="V59" s="127"/>
      <c r="W59" s="234"/>
      <c r="X59" s="557"/>
      <c r="Y59" s="407" t="s">
        <v>170</v>
      </c>
      <c r="Z59" s="405">
        <v>50</v>
      </c>
      <c r="AA59" s="405">
        <v>50</v>
      </c>
      <c r="AB59" s="406">
        <v>50</v>
      </c>
    </row>
    <row r="60" spans="1:33" ht="24.75" customHeight="1">
      <c r="A60" s="283"/>
      <c r="B60" s="13"/>
      <c r="C60" s="291"/>
      <c r="D60" s="1223"/>
      <c r="E60" s="1231"/>
      <c r="F60" s="1225"/>
      <c r="G60" s="157"/>
      <c r="H60" s="404"/>
      <c r="I60" s="1227"/>
      <c r="J60" s="46"/>
      <c r="K60" s="185"/>
      <c r="L60" s="186"/>
      <c r="M60" s="186"/>
      <c r="N60" s="187"/>
      <c r="O60" s="185"/>
      <c r="P60" s="186"/>
      <c r="Q60" s="186"/>
      <c r="R60" s="187"/>
      <c r="S60" s="104"/>
      <c r="T60" s="105"/>
      <c r="U60" s="105"/>
      <c r="V60" s="106"/>
      <c r="W60" s="230"/>
      <c r="X60" s="311"/>
      <c r="Y60" s="408" t="s">
        <v>122</v>
      </c>
      <c r="Z60" s="350">
        <v>1</v>
      </c>
      <c r="AA60" s="350">
        <v>1</v>
      </c>
      <c r="AB60" s="409">
        <v>1</v>
      </c>
    </row>
    <row r="61" spans="1:33" ht="25.5" customHeight="1">
      <c r="A61" s="283"/>
      <c r="B61" s="13"/>
      <c r="C61" s="291"/>
      <c r="D61" s="414" t="s">
        <v>10</v>
      </c>
      <c r="E61" s="663" t="s">
        <v>123</v>
      </c>
      <c r="F61" s="494"/>
      <c r="G61" s="495" t="s">
        <v>37</v>
      </c>
      <c r="H61" s="414" t="s">
        <v>33</v>
      </c>
      <c r="I61" s="1228"/>
      <c r="J61" s="12" t="s">
        <v>42</v>
      </c>
      <c r="K61" s="185"/>
      <c r="L61" s="186"/>
      <c r="M61" s="186"/>
      <c r="N61" s="187"/>
      <c r="O61" s="185">
        <f>P61</f>
        <v>30</v>
      </c>
      <c r="P61" s="186">
        <v>30</v>
      </c>
      <c r="Q61" s="186"/>
      <c r="R61" s="187"/>
      <c r="S61" s="104"/>
      <c r="T61" s="105"/>
      <c r="U61" s="105"/>
      <c r="V61" s="106"/>
      <c r="W61" s="230"/>
      <c r="X61" s="311"/>
      <c r="Y61" s="411" t="s">
        <v>124</v>
      </c>
      <c r="Z61" s="410">
        <v>1</v>
      </c>
      <c r="AA61" s="410"/>
      <c r="AB61" s="412"/>
    </row>
    <row r="62" spans="1:33" ht="51.75" customHeight="1">
      <c r="A62" s="283"/>
      <c r="B62" s="13"/>
      <c r="C62" s="291"/>
      <c r="D62" s="223" t="s">
        <v>32</v>
      </c>
      <c r="E62" s="370" t="s">
        <v>52</v>
      </c>
      <c r="F62" s="413"/>
      <c r="G62" s="495" t="s">
        <v>37</v>
      </c>
      <c r="H62" s="414" t="s">
        <v>33</v>
      </c>
      <c r="I62" s="916" t="s">
        <v>107</v>
      </c>
      <c r="J62" s="158" t="s">
        <v>43</v>
      </c>
      <c r="K62" s="185">
        <f>L62+N62</f>
        <v>44.7</v>
      </c>
      <c r="L62" s="186">
        <v>44.7</v>
      </c>
      <c r="M62" s="186"/>
      <c r="N62" s="187"/>
      <c r="O62" s="185"/>
      <c r="P62" s="186"/>
      <c r="Q62" s="186"/>
      <c r="R62" s="187"/>
      <c r="S62" s="104"/>
      <c r="T62" s="105"/>
      <c r="U62" s="105"/>
      <c r="V62" s="111"/>
      <c r="W62" s="229"/>
      <c r="X62" s="567"/>
      <c r="Y62" s="403"/>
      <c r="Z62" s="422"/>
      <c r="AA62" s="423"/>
      <c r="AB62" s="386"/>
    </row>
    <row r="63" spans="1:33" ht="13.5" thickBot="1">
      <c r="A63" s="290"/>
      <c r="B63" s="360"/>
      <c r="C63" s="292"/>
      <c r="D63" s="293"/>
      <c r="E63" s="293"/>
      <c r="F63" s="293"/>
      <c r="G63" s="293"/>
      <c r="H63" s="293"/>
      <c r="I63" s="1206" t="s">
        <v>106</v>
      </c>
      <c r="J63" s="1220"/>
      <c r="K63" s="294">
        <f>SUM(K58:K62)</f>
        <v>307.99999999999994</v>
      </c>
      <c r="L63" s="294">
        <f t="shared" ref="L63:X63" si="23">SUM(L58:L62)</f>
        <v>207.39999999999998</v>
      </c>
      <c r="M63" s="294">
        <f t="shared" si="23"/>
        <v>0</v>
      </c>
      <c r="N63" s="294">
        <f t="shared" si="23"/>
        <v>100.6</v>
      </c>
      <c r="O63" s="294">
        <f t="shared" si="23"/>
        <v>450.8</v>
      </c>
      <c r="P63" s="294">
        <f t="shared" si="23"/>
        <v>258</v>
      </c>
      <c r="Q63" s="294">
        <f t="shared" si="23"/>
        <v>0</v>
      </c>
      <c r="R63" s="294">
        <f t="shared" si="23"/>
        <v>192.8</v>
      </c>
      <c r="S63" s="294">
        <f t="shared" si="23"/>
        <v>0</v>
      </c>
      <c r="T63" s="294">
        <f t="shared" si="23"/>
        <v>0</v>
      </c>
      <c r="U63" s="294">
        <f t="shared" si="23"/>
        <v>0</v>
      </c>
      <c r="V63" s="294">
        <f t="shared" si="23"/>
        <v>0</v>
      </c>
      <c r="W63" s="294">
        <f t="shared" si="23"/>
        <v>420</v>
      </c>
      <c r="X63" s="294">
        <f t="shared" si="23"/>
        <v>420</v>
      </c>
      <c r="Y63" s="418"/>
      <c r="Z63" s="421"/>
      <c r="AA63" s="421"/>
      <c r="AB63" s="420"/>
      <c r="AD63" s="698"/>
    </row>
    <row r="64" spans="1:33" ht="15.75" customHeight="1">
      <c r="A64" s="372" t="s">
        <v>8</v>
      </c>
      <c r="B64" s="373" t="s">
        <v>32</v>
      </c>
      <c r="C64" s="305" t="s">
        <v>32</v>
      </c>
      <c r="D64" s="160"/>
      <c r="E64" s="45" t="s">
        <v>148</v>
      </c>
      <c r="F64" s="424" t="s">
        <v>65</v>
      </c>
      <c r="G64" s="425"/>
      <c r="H64" s="492"/>
      <c r="I64" s="378"/>
      <c r="J64" s="298"/>
      <c r="K64" s="299"/>
      <c r="L64" s="300"/>
      <c r="M64" s="300"/>
      <c r="N64" s="513"/>
      <c r="O64" s="713"/>
      <c r="P64" s="300"/>
      <c r="Q64" s="300"/>
      <c r="R64" s="301"/>
      <c r="S64" s="302"/>
      <c r="T64" s="303"/>
      <c r="U64" s="303"/>
      <c r="V64" s="304"/>
      <c r="W64" s="231"/>
      <c r="X64" s="566"/>
      <c r="Y64" s="433"/>
      <c r="Z64" s="434"/>
      <c r="AA64" s="434"/>
      <c r="AB64" s="402"/>
    </row>
    <row r="65" spans="1:32" ht="16.5" customHeight="1">
      <c r="A65" s="355"/>
      <c r="B65" s="356"/>
      <c r="C65" s="377"/>
      <c r="D65" s="442" t="s">
        <v>8</v>
      </c>
      <c r="E65" s="1042" t="s">
        <v>95</v>
      </c>
      <c r="F65" s="726"/>
      <c r="G65" s="493" t="s">
        <v>38</v>
      </c>
      <c r="H65" s="366" t="s">
        <v>44</v>
      </c>
      <c r="I65" s="1221" t="s">
        <v>111</v>
      </c>
      <c r="J65" s="725" t="s">
        <v>61</v>
      </c>
      <c r="K65" s="213">
        <f>L65+N65</f>
        <v>1197.5999999999999</v>
      </c>
      <c r="L65" s="194"/>
      <c r="M65" s="194"/>
      <c r="N65" s="201">
        <v>1197.5999999999999</v>
      </c>
      <c r="O65" s="208">
        <f>R65</f>
        <v>0</v>
      </c>
      <c r="P65" s="194"/>
      <c r="Q65" s="194"/>
      <c r="R65" s="195"/>
      <c r="S65" s="162"/>
      <c r="T65" s="126"/>
      <c r="U65" s="126"/>
      <c r="V65" s="127"/>
      <c r="W65" s="234"/>
      <c r="X65" s="557"/>
      <c r="Y65" s="1240" t="s">
        <v>81</v>
      </c>
      <c r="Z65" s="295">
        <v>100</v>
      </c>
      <c r="AA65" s="295"/>
      <c r="AB65" s="107"/>
      <c r="AF65" s="698"/>
    </row>
    <row r="66" spans="1:32" ht="17.25" customHeight="1">
      <c r="A66" s="355"/>
      <c r="B66" s="356"/>
      <c r="C66" s="377"/>
      <c r="D66" s="92"/>
      <c r="E66" s="1021"/>
      <c r="F66" s="1035" t="s">
        <v>90</v>
      </c>
      <c r="G66" s="504"/>
      <c r="H66" s="505"/>
      <c r="I66" s="1216"/>
      <c r="J66" s="390" t="s">
        <v>43</v>
      </c>
      <c r="K66" s="476">
        <f>L66+N66</f>
        <v>275.39999999999998</v>
      </c>
      <c r="L66" s="392"/>
      <c r="M66" s="392"/>
      <c r="N66" s="393">
        <v>275.39999999999998</v>
      </c>
      <c r="O66" s="391">
        <f>P66+R66</f>
        <v>0</v>
      </c>
      <c r="P66" s="392"/>
      <c r="Q66" s="392"/>
      <c r="R66" s="714"/>
      <c r="S66" s="395">
        <f>T66+V66</f>
        <v>0</v>
      </c>
      <c r="T66" s="396">
        <v>0</v>
      </c>
      <c r="U66" s="396"/>
      <c r="V66" s="477">
        <v>0</v>
      </c>
      <c r="W66" s="478">
        <v>0</v>
      </c>
      <c r="X66" s="570">
        <v>0</v>
      </c>
      <c r="Y66" s="1240"/>
      <c r="Z66" s="295"/>
      <c r="AA66" s="295"/>
      <c r="AB66" s="44"/>
    </row>
    <row r="67" spans="1:32" ht="17.25" customHeight="1">
      <c r="A67" s="634"/>
      <c r="B67" s="635"/>
      <c r="C67" s="636"/>
      <c r="D67" s="637"/>
      <c r="E67" s="1021"/>
      <c r="F67" s="1035"/>
      <c r="G67" s="631"/>
      <c r="H67" s="632"/>
      <c r="I67" s="1216"/>
      <c r="J67" s="163" t="s">
        <v>31</v>
      </c>
      <c r="K67" s="638"/>
      <c r="L67" s="639"/>
      <c r="M67" s="639"/>
      <c r="N67" s="707"/>
      <c r="O67" s="727"/>
      <c r="P67" s="639"/>
      <c r="Q67" s="639"/>
      <c r="R67" s="728"/>
      <c r="S67" s="709"/>
      <c r="T67" s="640"/>
      <c r="U67" s="640"/>
      <c r="V67" s="641"/>
      <c r="W67" s="642"/>
      <c r="X67" s="643"/>
      <c r="Y67" s="633"/>
      <c r="Z67" s="295"/>
      <c r="AA67" s="295"/>
      <c r="AB67" s="44"/>
    </row>
    <row r="68" spans="1:32" ht="17.25" customHeight="1">
      <c r="A68" s="644"/>
      <c r="B68" s="645"/>
      <c r="C68" s="647"/>
      <c r="D68" s="650"/>
      <c r="E68" s="1021"/>
      <c r="F68" s="1035"/>
      <c r="G68" s="648"/>
      <c r="H68" s="646"/>
      <c r="I68" s="1216"/>
      <c r="J68" s="390" t="s">
        <v>42</v>
      </c>
      <c r="K68" s="638"/>
      <c r="L68" s="639"/>
      <c r="M68" s="639"/>
      <c r="N68" s="707"/>
      <c r="O68" s="727">
        <f>P68+R68</f>
        <v>80</v>
      </c>
      <c r="P68" s="639"/>
      <c r="Q68" s="639"/>
      <c r="R68" s="728">
        <v>80</v>
      </c>
      <c r="S68" s="709"/>
      <c r="T68" s="640"/>
      <c r="U68" s="640"/>
      <c r="V68" s="641"/>
      <c r="W68" s="642"/>
      <c r="X68" s="643"/>
      <c r="Y68" s="649"/>
      <c r="Z68" s="295"/>
      <c r="AA68" s="295"/>
      <c r="AB68" s="44"/>
    </row>
    <row r="69" spans="1:32" ht="18" customHeight="1">
      <c r="A69" s="355"/>
      <c r="B69" s="356"/>
      <c r="C69" s="377"/>
      <c r="D69" s="529"/>
      <c r="E69" s="1043"/>
      <c r="F69" s="1249"/>
      <c r="G69" s="375"/>
      <c r="H69" s="508"/>
      <c r="I69" s="1222"/>
      <c r="J69" s="161" t="s">
        <v>58</v>
      </c>
      <c r="K69" s="523">
        <f>L69+N69</f>
        <v>3380.7</v>
      </c>
      <c r="L69" s="524"/>
      <c r="M69" s="524"/>
      <c r="N69" s="708">
        <v>3380.7</v>
      </c>
      <c r="O69" s="523">
        <f>P69+R69</f>
        <v>0</v>
      </c>
      <c r="P69" s="524"/>
      <c r="Q69" s="524"/>
      <c r="R69" s="715"/>
      <c r="S69" s="710">
        <f>T69+V69</f>
        <v>0</v>
      </c>
      <c r="T69" s="525">
        <v>0</v>
      </c>
      <c r="U69" s="525"/>
      <c r="V69" s="526">
        <v>0</v>
      </c>
      <c r="W69" s="527">
        <v>0</v>
      </c>
      <c r="X69" s="571">
        <v>0</v>
      </c>
      <c r="Y69" s="479"/>
      <c r="Z69" s="480"/>
      <c r="AA69" s="480"/>
      <c r="AB69" s="41"/>
    </row>
    <row r="70" spans="1:32" ht="13.5" customHeight="1">
      <c r="A70" s="510"/>
      <c r="B70" s="511"/>
      <c r="C70" s="512"/>
      <c r="D70" s="91" t="s">
        <v>10</v>
      </c>
      <c r="E70" s="1021" t="s">
        <v>84</v>
      </c>
      <c r="F70" s="1249"/>
      <c r="G70" s="504" t="s">
        <v>38</v>
      </c>
      <c r="H70" s="505" t="s">
        <v>44</v>
      </c>
      <c r="I70" s="1221" t="s">
        <v>112</v>
      </c>
      <c r="J70" s="481" t="s">
        <v>31</v>
      </c>
      <c r="K70" s="482">
        <f>L70+N70</f>
        <v>0</v>
      </c>
      <c r="L70" s="483">
        <v>0</v>
      </c>
      <c r="M70" s="483"/>
      <c r="N70" s="483"/>
      <c r="O70" s="482">
        <f>P70+R70</f>
        <v>0</v>
      </c>
      <c r="P70" s="483"/>
      <c r="Q70" s="483"/>
      <c r="R70" s="484"/>
      <c r="S70" s="711">
        <f>T70+V70</f>
        <v>0</v>
      </c>
      <c r="T70" s="485">
        <v>0</v>
      </c>
      <c r="U70" s="485"/>
      <c r="V70" s="486"/>
      <c r="W70" s="487">
        <v>10</v>
      </c>
      <c r="X70" s="572"/>
      <c r="Y70" s="2" t="s">
        <v>131</v>
      </c>
      <c r="Z70" s="518"/>
      <c r="AA70" s="518">
        <v>1</v>
      </c>
      <c r="AB70" s="519"/>
    </row>
    <row r="71" spans="1:32">
      <c r="A71" s="510"/>
      <c r="B71" s="511"/>
      <c r="C71" s="512"/>
      <c r="D71" s="91"/>
      <c r="E71" s="1021"/>
      <c r="F71" s="1249"/>
      <c r="G71" s="503"/>
      <c r="H71" s="505"/>
      <c r="I71" s="1216"/>
      <c r="J71" s="163" t="s">
        <v>61</v>
      </c>
      <c r="K71" s="200"/>
      <c r="L71" s="201"/>
      <c r="M71" s="201"/>
      <c r="N71" s="201"/>
      <c r="O71" s="200"/>
      <c r="P71" s="201"/>
      <c r="Q71" s="201"/>
      <c r="R71" s="195"/>
      <c r="S71" s="180"/>
      <c r="T71" s="134"/>
      <c r="U71" s="134"/>
      <c r="V71" s="127"/>
      <c r="W71" s="234"/>
      <c r="X71" s="557">
        <v>88.1</v>
      </c>
      <c r="Y71" s="1247" t="s">
        <v>157</v>
      </c>
      <c r="Z71" s="296"/>
      <c r="AA71" s="296">
        <v>70</v>
      </c>
      <c r="AB71" s="66">
        <v>100</v>
      </c>
    </row>
    <row r="72" spans="1:32">
      <c r="A72" s="510"/>
      <c r="B72" s="511"/>
      <c r="C72" s="512"/>
      <c r="D72" s="91"/>
      <c r="E72" s="1021"/>
      <c r="F72" s="1249"/>
      <c r="G72" s="503"/>
      <c r="H72" s="505"/>
      <c r="I72" s="1216"/>
      <c r="J72" s="517" t="s">
        <v>59</v>
      </c>
      <c r="K72" s="457"/>
      <c r="L72" s="393"/>
      <c r="M72" s="393"/>
      <c r="N72" s="393"/>
      <c r="O72" s="457"/>
      <c r="P72" s="393"/>
      <c r="Q72" s="393"/>
      <c r="R72" s="394"/>
      <c r="S72" s="712"/>
      <c r="T72" s="397"/>
      <c r="U72" s="397"/>
      <c r="V72" s="477"/>
      <c r="W72" s="398"/>
      <c r="X72" s="560">
        <v>88.1</v>
      </c>
      <c r="Y72" s="1248"/>
      <c r="Z72" s="296"/>
      <c r="AA72" s="296"/>
      <c r="AB72" s="66"/>
    </row>
    <row r="73" spans="1:32" ht="15.75" customHeight="1">
      <c r="A73" s="510"/>
      <c r="B73" s="511"/>
      <c r="C73" s="509"/>
      <c r="D73" s="528"/>
      <c r="E73" s="1043"/>
      <c r="F73" s="1249"/>
      <c r="G73" s="506"/>
      <c r="H73" s="508"/>
      <c r="I73" s="1246"/>
      <c r="J73" s="46" t="s">
        <v>58</v>
      </c>
      <c r="K73" s="202"/>
      <c r="L73" s="203">
        <v>0</v>
      </c>
      <c r="M73" s="203"/>
      <c r="N73" s="203"/>
      <c r="O73" s="202"/>
      <c r="P73" s="203"/>
      <c r="Q73" s="203"/>
      <c r="R73" s="187"/>
      <c r="S73" s="165"/>
      <c r="T73" s="135">
        <v>0</v>
      </c>
      <c r="U73" s="135"/>
      <c r="V73" s="106"/>
      <c r="W73" s="230"/>
      <c r="X73" s="311">
        <v>998.4</v>
      </c>
      <c r="Y73" s="498"/>
      <c r="Z73" s="499"/>
      <c r="AA73" s="499"/>
      <c r="AB73" s="500"/>
    </row>
    <row r="74" spans="1:32" ht="27" customHeight="1">
      <c r="A74" s="976"/>
      <c r="B74" s="979"/>
      <c r="C74" s="1299"/>
      <c r="D74" s="92" t="s">
        <v>32</v>
      </c>
      <c r="E74" s="1002" t="s">
        <v>129</v>
      </c>
      <c r="F74" s="1249"/>
      <c r="G74" s="493" t="s">
        <v>38</v>
      </c>
      <c r="H74" s="507" t="s">
        <v>44</v>
      </c>
      <c r="I74" s="1244" t="s">
        <v>130</v>
      </c>
      <c r="J74" s="490" t="s">
        <v>42</v>
      </c>
      <c r="K74" s="491">
        <f>L74+N74</f>
        <v>120</v>
      </c>
      <c r="L74" s="327"/>
      <c r="M74" s="327"/>
      <c r="N74" s="380">
        <v>120</v>
      </c>
      <c r="O74" s="326"/>
      <c r="P74" s="327"/>
      <c r="Q74" s="327"/>
      <c r="R74" s="329"/>
      <c r="S74" s="381"/>
      <c r="T74" s="331"/>
      <c r="U74" s="331"/>
      <c r="V74" s="447"/>
      <c r="W74" s="446"/>
      <c r="X74" s="573"/>
      <c r="Y74" s="1242" t="s">
        <v>158</v>
      </c>
      <c r="Z74" s="488">
        <v>100</v>
      </c>
      <c r="AA74" s="488"/>
      <c r="AB74" s="489"/>
    </row>
    <row r="75" spans="1:32" ht="41.25" customHeight="1">
      <c r="A75" s="976"/>
      <c r="B75" s="979"/>
      <c r="C75" s="1299"/>
      <c r="D75" s="164"/>
      <c r="E75" s="1241"/>
      <c r="F75" s="1250"/>
      <c r="G75" s="375"/>
      <c r="H75" s="367"/>
      <c r="I75" s="1245"/>
      <c r="J75" s="161" t="s">
        <v>31</v>
      </c>
      <c r="K75" s="196"/>
      <c r="L75" s="186"/>
      <c r="M75" s="186"/>
      <c r="N75" s="203"/>
      <c r="O75" s="185">
        <f>R75+P75</f>
        <v>58</v>
      </c>
      <c r="P75" s="186"/>
      <c r="Q75" s="186"/>
      <c r="R75" s="187">
        <v>58</v>
      </c>
      <c r="S75" s="129"/>
      <c r="T75" s="105"/>
      <c r="U75" s="105"/>
      <c r="V75" s="106"/>
      <c r="W75" s="441"/>
      <c r="X75" s="574"/>
      <c r="Y75" s="1243"/>
      <c r="Z75" s="480"/>
      <c r="AA75" s="480"/>
      <c r="AB75" s="41"/>
    </row>
    <row r="76" spans="1:32" ht="17.25" customHeight="1" thickBot="1">
      <c r="A76" s="361"/>
      <c r="B76" s="360"/>
      <c r="C76" s="292"/>
      <c r="D76" s="275"/>
      <c r="E76" s="275"/>
      <c r="F76" s="275"/>
      <c r="G76" s="275"/>
      <c r="H76" s="275"/>
      <c r="I76" s="1218" t="s">
        <v>106</v>
      </c>
      <c r="J76" s="1207"/>
      <c r="K76" s="278">
        <f t="shared" ref="K76:X76" si="24">SUM(K65:K75)</f>
        <v>4973.7</v>
      </c>
      <c r="L76" s="278">
        <f t="shared" si="24"/>
        <v>0</v>
      </c>
      <c r="M76" s="278">
        <f t="shared" si="24"/>
        <v>0</v>
      </c>
      <c r="N76" s="514">
        <f t="shared" si="24"/>
        <v>4973.7</v>
      </c>
      <c r="O76" s="278">
        <f t="shared" si="24"/>
        <v>138</v>
      </c>
      <c r="P76" s="716">
        <f t="shared" si="24"/>
        <v>0</v>
      </c>
      <c r="Q76" s="716">
        <f t="shared" si="24"/>
        <v>0</v>
      </c>
      <c r="R76" s="717">
        <f>SUM(R65:R75)</f>
        <v>138</v>
      </c>
      <c r="S76" s="279">
        <f t="shared" si="24"/>
        <v>0</v>
      </c>
      <c r="T76" s="278">
        <f t="shared" si="24"/>
        <v>0</v>
      </c>
      <c r="U76" s="278">
        <f t="shared" si="24"/>
        <v>0</v>
      </c>
      <c r="V76" s="516">
        <f t="shared" si="24"/>
        <v>0</v>
      </c>
      <c r="W76" s="514">
        <f t="shared" si="24"/>
        <v>10</v>
      </c>
      <c r="X76" s="516">
        <f t="shared" si="24"/>
        <v>1174.5999999999999</v>
      </c>
      <c r="Y76" s="418"/>
      <c r="Z76" s="421"/>
      <c r="AA76" s="421"/>
      <c r="AB76" s="420"/>
    </row>
    <row r="77" spans="1:32" ht="28.5" customHeight="1">
      <c r="A77" s="372" t="s">
        <v>8</v>
      </c>
      <c r="B77" s="373" t="s">
        <v>32</v>
      </c>
      <c r="C77" s="305" t="s">
        <v>38</v>
      </c>
      <c r="D77" s="160"/>
      <c r="E77" s="45" t="s">
        <v>139</v>
      </c>
      <c r="F77" s="424"/>
      <c r="G77" s="425"/>
      <c r="H77" s="155"/>
      <c r="I77" s="378"/>
      <c r="J77" s="298"/>
      <c r="K77" s="299"/>
      <c r="L77" s="300"/>
      <c r="M77" s="300"/>
      <c r="N77" s="301"/>
      <c r="O77" s="704"/>
      <c r="P77" s="705"/>
      <c r="Q77" s="705"/>
      <c r="R77" s="706"/>
      <c r="S77" s="302"/>
      <c r="T77" s="303"/>
      <c r="U77" s="303"/>
      <c r="V77" s="304"/>
      <c r="W77" s="231">
        <v>0</v>
      </c>
      <c r="X77" s="566">
        <v>0</v>
      </c>
      <c r="Y77" s="433"/>
      <c r="Z77" s="434"/>
      <c r="AA77" s="434"/>
      <c r="AB77" s="402"/>
    </row>
    <row r="78" spans="1:32" ht="18.75" customHeight="1">
      <c r="A78" s="1070"/>
      <c r="B78" s="1073"/>
      <c r="C78" s="1299"/>
      <c r="D78" s="448" t="s">
        <v>8</v>
      </c>
      <c r="E78" s="1309" t="s">
        <v>53</v>
      </c>
      <c r="F78" s="1238" t="s">
        <v>141</v>
      </c>
      <c r="G78" s="1259" t="s">
        <v>38</v>
      </c>
      <c r="H78" s="1311" t="s">
        <v>33</v>
      </c>
      <c r="I78" s="1221" t="s">
        <v>114</v>
      </c>
      <c r="J78" s="445" t="s">
        <v>42</v>
      </c>
      <c r="K78" s="446">
        <f>L78+N79</f>
        <v>96.5</v>
      </c>
      <c r="L78" s="327">
        <v>96.5</v>
      </c>
      <c r="M78" s="327"/>
      <c r="N78" s="380"/>
      <c r="O78" s="326">
        <f>P78+R78</f>
        <v>130.19999999999999</v>
      </c>
      <c r="P78" s="327">
        <v>130.19999999999999</v>
      </c>
      <c r="Q78" s="327"/>
      <c r="R78" s="329"/>
      <c r="S78" s="330">
        <f>T78+V78</f>
        <v>0</v>
      </c>
      <c r="T78" s="331"/>
      <c r="U78" s="331"/>
      <c r="V78" s="447"/>
      <c r="W78" s="334">
        <v>130</v>
      </c>
      <c r="X78" s="568">
        <v>130</v>
      </c>
      <c r="Y78" s="1232" t="s">
        <v>163</v>
      </c>
      <c r="Z78" s="268">
        <v>1.3</v>
      </c>
      <c r="AA78" s="268">
        <v>1.3</v>
      </c>
      <c r="AB78" s="1208">
        <v>1.3</v>
      </c>
    </row>
    <row r="79" spans="1:32" ht="20.25" customHeight="1">
      <c r="A79" s="1070"/>
      <c r="B79" s="1073"/>
      <c r="C79" s="1299"/>
      <c r="D79" s="449"/>
      <c r="E79" s="1310"/>
      <c r="F79" s="1239"/>
      <c r="G79" s="1260"/>
      <c r="H79" s="1312"/>
      <c r="I79" s="1246"/>
      <c r="J79" s="432" t="s">
        <v>43</v>
      </c>
      <c r="K79" s="443"/>
      <c r="L79" s="444"/>
      <c r="M79" s="186"/>
      <c r="N79" s="203"/>
      <c r="O79" s="185"/>
      <c r="P79" s="186"/>
      <c r="Q79" s="186"/>
      <c r="R79" s="187"/>
      <c r="S79" s="104">
        <f>T79+V79</f>
        <v>0</v>
      </c>
      <c r="T79" s="105">
        <v>0</v>
      </c>
      <c r="U79" s="105"/>
      <c r="V79" s="106"/>
      <c r="W79" s="230"/>
      <c r="X79" s="311"/>
      <c r="Y79" s="1233"/>
      <c r="Z79" s="270"/>
      <c r="AA79" s="270"/>
      <c r="AB79" s="1209"/>
    </row>
    <row r="80" spans="1:32" ht="14.25" customHeight="1">
      <c r="A80" s="1302"/>
      <c r="B80" s="1303"/>
      <c r="C80" s="1304"/>
      <c r="D80" s="1307" t="s">
        <v>10</v>
      </c>
      <c r="E80" s="1166" t="s">
        <v>115</v>
      </c>
      <c r="F80" s="755"/>
      <c r="G80" s="1175" t="s">
        <v>82</v>
      </c>
      <c r="H80" s="1134" t="s">
        <v>33</v>
      </c>
      <c r="I80" s="1221" t="s">
        <v>119</v>
      </c>
      <c r="J80" s="460" t="s">
        <v>59</v>
      </c>
      <c r="K80" s="461"/>
      <c r="L80" s="462"/>
      <c r="M80" s="462"/>
      <c r="N80" s="463"/>
      <c r="O80" s="461"/>
      <c r="P80" s="462"/>
      <c r="Q80" s="462"/>
      <c r="R80" s="463"/>
      <c r="S80" s="464"/>
      <c r="T80" s="465"/>
      <c r="U80" s="465"/>
      <c r="V80" s="466"/>
      <c r="W80" s="467"/>
      <c r="X80" s="575"/>
      <c r="Y80" s="1234" t="s">
        <v>126</v>
      </c>
      <c r="Z80" s="426">
        <v>2</v>
      </c>
      <c r="AA80" s="471"/>
      <c r="AB80" s="472"/>
    </row>
    <row r="81" spans="1:28" ht="14.25" customHeight="1">
      <c r="A81" s="1102"/>
      <c r="B81" s="1105"/>
      <c r="C81" s="1305"/>
      <c r="D81" s="1307"/>
      <c r="E81" s="1166"/>
      <c r="F81" s="755"/>
      <c r="G81" s="1175"/>
      <c r="H81" s="1134"/>
      <c r="I81" s="1180"/>
      <c r="J81" s="450" t="s">
        <v>42</v>
      </c>
      <c r="K81" s="451">
        <f>N81</f>
        <v>0</v>
      </c>
      <c r="L81" s="452"/>
      <c r="M81" s="452"/>
      <c r="N81" s="453">
        <v>0</v>
      </c>
      <c r="O81" s="451">
        <f>R81</f>
        <v>0</v>
      </c>
      <c r="P81" s="452"/>
      <c r="Q81" s="452"/>
      <c r="R81" s="453">
        <v>0</v>
      </c>
      <c r="S81" s="454">
        <f>V81</f>
        <v>0</v>
      </c>
      <c r="T81" s="455"/>
      <c r="U81" s="455"/>
      <c r="V81" s="456">
        <v>0</v>
      </c>
      <c r="W81" s="457"/>
      <c r="X81" s="576"/>
      <c r="Y81" s="1235"/>
      <c r="Z81" s="473"/>
      <c r="AA81" s="474"/>
      <c r="AB81" s="475"/>
    </row>
    <row r="82" spans="1:28" ht="14.25" customHeight="1">
      <c r="A82" s="1162"/>
      <c r="B82" s="1163"/>
      <c r="C82" s="1306"/>
      <c r="D82" s="1308"/>
      <c r="E82" s="1167"/>
      <c r="F82" s="755"/>
      <c r="G82" s="1176"/>
      <c r="H82" s="1178"/>
      <c r="I82" s="1180"/>
      <c r="J82" s="450" t="s">
        <v>61</v>
      </c>
      <c r="K82" s="451"/>
      <c r="L82" s="452"/>
      <c r="M82" s="452"/>
      <c r="N82" s="458"/>
      <c r="O82" s="451"/>
      <c r="P82" s="452"/>
      <c r="Q82" s="452"/>
      <c r="R82" s="458"/>
      <c r="S82" s="454"/>
      <c r="T82" s="455"/>
      <c r="U82" s="455"/>
      <c r="V82" s="459"/>
      <c r="W82" s="457"/>
      <c r="X82" s="576"/>
      <c r="Y82" s="1236" t="s">
        <v>127</v>
      </c>
      <c r="Z82" s="470">
        <v>8.4</v>
      </c>
      <c r="AA82" s="295"/>
      <c r="AB82" s="169"/>
    </row>
    <row r="83" spans="1:28" ht="17.100000000000001" customHeight="1">
      <c r="A83" s="1162"/>
      <c r="B83" s="1163"/>
      <c r="C83" s="1306"/>
      <c r="D83" s="1307"/>
      <c r="E83" s="1166"/>
      <c r="F83" s="756"/>
      <c r="G83" s="1175"/>
      <c r="H83" s="1134"/>
      <c r="I83" s="435"/>
      <c r="J83" s="436" t="s">
        <v>31</v>
      </c>
      <c r="K83" s="437"/>
      <c r="L83" s="438"/>
      <c r="M83" s="438"/>
      <c r="N83" s="468"/>
      <c r="O83" s="437"/>
      <c r="P83" s="438"/>
      <c r="Q83" s="438"/>
      <c r="R83" s="468"/>
      <c r="S83" s="439"/>
      <c r="T83" s="440"/>
      <c r="U83" s="440"/>
      <c r="V83" s="469"/>
      <c r="W83" s="441"/>
      <c r="X83" s="574"/>
      <c r="Y83" s="1237"/>
      <c r="Z83" s="427"/>
      <c r="AA83" s="427"/>
      <c r="AB83" s="428"/>
    </row>
    <row r="84" spans="1:28" ht="17.25" customHeight="1" thickBot="1">
      <c r="A84" s="361"/>
      <c r="B84" s="360"/>
      <c r="C84" s="292"/>
      <c r="D84" s="293"/>
      <c r="E84" s="293"/>
      <c r="F84" s="293"/>
      <c r="G84" s="293"/>
      <c r="H84" s="293"/>
      <c r="I84" s="1206" t="s">
        <v>106</v>
      </c>
      <c r="J84" s="1207"/>
      <c r="K84" s="294">
        <f>SUM(K78:K83)</f>
        <v>96.5</v>
      </c>
      <c r="L84" s="294">
        <f t="shared" ref="L84:X84" si="25">SUM(L78:L83)</f>
        <v>96.5</v>
      </c>
      <c r="M84" s="294">
        <f t="shared" si="25"/>
        <v>0</v>
      </c>
      <c r="N84" s="294">
        <f t="shared" si="25"/>
        <v>0</v>
      </c>
      <c r="O84" s="294">
        <f t="shared" si="25"/>
        <v>130.19999999999999</v>
      </c>
      <c r="P84" s="294">
        <f t="shared" si="25"/>
        <v>130.19999999999999</v>
      </c>
      <c r="Q84" s="294">
        <f t="shared" si="25"/>
        <v>0</v>
      </c>
      <c r="R84" s="294">
        <f t="shared" si="25"/>
        <v>0</v>
      </c>
      <c r="S84" s="294">
        <f t="shared" si="25"/>
        <v>0</v>
      </c>
      <c r="T84" s="294">
        <f t="shared" si="25"/>
        <v>0</v>
      </c>
      <c r="U84" s="294">
        <f t="shared" si="25"/>
        <v>0</v>
      </c>
      <c r="V84" s="294">
        <f t="shared" si="25"/>
        <v>0</v>
      </c>
      <c r="W84" s="565">
        <f t="shared" si="25"/>
        <v>130</v>
      </c>
      <c r="X84" s="569">
        <f t="shared" si="25"/>
        <v>130</v>
      </c>
      <c r="Y84" s="418"/>
      <c r="Z84" s="421"/>
      <c r="AA84" s="421"/>
      <c r="AB84" s="420"/>
    </row>
    <row r="85" spans="1:28" ht="13.5" thickBot="1">
      <c r="A85" s="288" t="s">
        <v>8</v>
      </c>
      <c r="B85" s="6" t="s">
        <v>32</v>
      </c>
      <c r="C85" s="1009" t="s">
        <v>11</v>
      </c>
      <c r="D85" s="1009"/>
      <c r="E85" s="1009"/>
      <c r="F85" s="1009"/>
      <c r="G85" s="1009"/>
      <c r="H85" s="1009"/>
      <c r="I85" s="1009"/>
      <c r="J85" s="1009"/>
      <c r="K85" s="159">
        <f t="shared" ref="K85:X85" si="26">K84+K76+K63+K56</f>
        <v>9078.2999999999993</v>
      </c>
      <c r="L85" s="159">
        <f t="shared" si="26"/>
        <v>4004.0000000000005</v>
      </c>
      <c r="M85" s="159">
        <f t="shared" si="26"/>
        <v>0</v>
      </c>
      <c r="N85" s="159">
        <f t="shared" si="26"/>
        <v>5074.3</v>
      </c>
      <c r="O85" s="159">
        <f t="shared" si="26"/>
        <v>810.6</v>
      </c>
      <c r="P85" s="159">
        <f t="shared" si="26"/>
        <v>479.79999999999995</v>
      </c>
      <c r="Q85" s="159">
        <f t="shared" si="26"/>
        <v>0</v>
      </c>
      <c r="R85" s="159">
        <f t="shared" si="26"/>
        <v>330.8</v>
      </c>
      <c r="S85" s="159">
        <f t="shared" si="26"/>
        <v>0</v>
      </c>
      <c r="T85" s="159">
        <f t="shared" si="26"/>
        <v>0</v>
      </c>
      <c r="U85" s="159">
        <f t="shared" si="26"/>
        <v>0</v>
      </c>
      <c r="V85" s="159">
        <f t="shared" si="26"/>
        <v>0</v>
      </c>
      <c r="W85" s="550">
        <f t="shared" si="26"/>
        <v>651.6</v>
      </c>
      <c r="X85" s="562">
        <f t="shared" si="26"/>
        <v>1816.1999999999998</v>
      </c>
      <c r="Y85" s="1055"/>
      <c r="Z85" s="1056"/>
      <c r="AA85" s="1056"/>
      <c r="AB85" s="1057"/>
    </row>
    <row r="86" spans="1:28" ht="13.5" thickBot="1">
      <c r="A86" s="287" t="s">
        <v>8</v>
      </c>
      <c r="B86" s="6" t="s">
        <v>38</v>
      </c>
      <c r="C86" s="1058" t="s">
        <v>149</v>
      </c>
      <c r="D86" s="1059"/>
      <c r="E86" s="1059"/>
      <c r="F86" s="1059"/>
      <c r="G86" s="1059"/>
      <c r="H86" s="1059"/>
      <c r="I86" s="1059"/>
      <c r="J86" s="1060"/>
      <c r="K86" s="1060"/>
      <c r="L86" s="1060"/>
      <c r="M86" s="1060"/>
      <c r="N86" s="1060"/>
      <c r="O86" s="1060"/>
      <c r="P86" s="1060"/>
      <c r="Q86" s="1060"/>
      <c r="R86" s="1060"/>
      <c r="S86" s="1059"/>
      <c r="T86" s="1059"/>
      <c r="U86" s="1059"/>
      <c r="V86" s="1059"/>
      <c r="W86" s="1060"/>
      <c r="X86" s="1060"/>
      <c r="Y86" s="1059"/>
      <c r="Z86" s="1059"/>
      <c r="AA86" s="1059"/>
      <c r="AB86" s="1061"/>
    </row>
    <row r="87" spans="1:28" ht="16.5" customHeight="1">
      <c r="A87" s="693" t="s">
        <v>8</v>
      </c>
      <c r="B87" s="694" t="s">
        <v>38</v>
      </c>
      <c r="C87" s="687" t="s">
        <v>8</v>
      </c>
      <c r="D87" s="695"/>
      <c r="E87" s="1046" t="s">
        <v>97</v>
      </c>
      <c r="F87" s="1004" t="s">
        <v>65</v>
      </c>
      <c r="G87" s="1181" t="s">
        <v>37</v>
      </c>
      <c r="H87" s="1049" t="s">
        <v>44</v>
      </c>
      <c r="I87" s="1213" t="s">
        <v>110</v>
      </c>
      <c r="J87" s="701" t="s">
        <v>43</v>
      </c>
      <c r="K87" s="204">
        <v>200</v>
      </c>
      <c r="L87" s="192"/>
      <c r="M87" s="192"/>
      <c r="N87" s="193">
        <v>200</v>
      </c>
      <c r="O87" s="191">
        <f>P87+R87</f>
        <v>0</v>
      </c>
      <c r="P87" s="192"/>
      <c r="Q87" s="192"/>
      <c r="R87" s="193"/>
      <c r="S87" s="718">
        <f>T87+V87</f>
        <v>0</v>
      </c>
      <c r="T87" s="212"/>
      <c r="U87" s="212"/>
      <c r="V87" s="198">
        <v>0</v>
      </c>
      <c r="W87" s="732"/>
      <c r="X87" s="566"/>
      <c r="Y87" s="1210" t="s">
        <v>134</v>
      </c>
      <c r="Z87" s="734"/>
      <c r="AA87" s="621"/>
      <c r="AB87" s="735"/>
    </row>
    <row r="88" spans="1:28">
      <c r="A88" s="685"/>
      <c r="B88" s="686"/>
      <c r="C88" s="688"/>
      <c r="D88" s="696"/>
      <c r="E88" s="1047"/>
      <c r="F88" s="1005"/>
      <c r="G88" s="1182"/>
      <c r="H88" s="1050"/>
      <c r="I88" s="1214"/>
      <c r="J88" s="702" t="s">
        <v>42</v>
      </c>
      <c r="K88" s="700"/>
      <c r="L88" s="189"/>
      <c r="M88" s="189"/>
      <c r="N88" s="190"/>
      <c r="O88" s="188">
        <f>P88+R88</f>
        <v>6.8</v>
      </c>
      <c r="P88" s="189"/>
      <c r="Q88" s="189"/>
      <c r="R88" s="190">
        <v>6.8</v>
      </c>
      <c r="S88" s="196"/>
      <c r="T88" s="194"/>
      <c r="U88" s="194"/>
      <c r="V88" s="201"/>
      <c r="W88" s="733"/>
      <c r="X88" s="567"/>
      <c r="Y88" s="1211"/>
      <c r="Z88" s="736">
        <v>100</v>
      </c>
      <c r="AA88" s="622"/>
      <c r="AB88" s="737"/>
    </row>
    <row r="89" spans="1:28">
      <c r="A89" s="685"/>
      <c r="B89" s="686"/>
      <c r="C89" s="688"/>
      <c r="D89" s="696"/>
      <c r="E89" s="1047"/>
      <c r="F89" s="1005"/>
      <c r="G89" s="1182"/>
      <c r="H89" s="1050"/>
      <c r="I89" s="1214"/>
      <c r="J89" s="702" t="s">
        <v>31</v>
      </c>
      <c r="K89" s="700"/>
      <c r="L89" s="189"/>
      <c r="M89" s="189"/>
      <c r="N89" s="190"/>
      <c r="O89" s="188">
        <f>P89+R89</f>
        <v>152.6</v>
      </c>
      <c r="P89" s="189"/>
      <c r="Q89" s="189"/>
      <c r="R89" s="190">
        <v>152.6</v>
      </c>
      <c r="S89" s="162"/>
      <c r="T89" s="162"/>
      <c r="U89" s="162"/>
      <c r="V89" s="180"/>
      <c r="W89" s="229"/>
      <c r="X89" s="567"/>
      <c r="Y89" s="1211"/>
      <c r="Z89" s="736"/>
      <c r="AA89" s="622"/>
      <c r="AB89" s="737"/>
    </row>
    <row r="90" spans="1:28" ht="13.5" thickBot="1">
      <c r="A90" s="691"/>
      <c r="B90" s="692"/>
      <c r="C90" s="689"/>
      <c r="D90" s="697"/>
      <c r="E90" s="1048"/>
      <c r="F90" s="1006"/>
      <c r="G90" s="1183"/>
      <c r="H90" s="1051"/>
      <c r="I90" s="1215"/>
      <c r="J90" s="703" t="s">
        <v>9</v>
      </c>
      <c r="K90" s="130">
        <f>K87</f>
        <v>200</v>
      </c>
      <c r="L90" s="130"/>
      <c r="M90" s="130"/>
      <c r="N90" s="124">
        <f>N87</f>
        <v>200</v>
      </c>
      <c r="O90" s="113">
        <f>P90+R90</f>
        <v>159.4</v>
      </c>
      <c r="P90" s="130"/>
      <c r="Q90" s="130"/>
      <c r="R90" s="124">
        <f>R87+R88+R89</f>
        <v>159.4</v>
      </c>
      <c r="S90" s="130">
        <f>S87</f>
        <v>0</v>
      </c>
      <c r="T90" s="130"/>
      <c r="U90" s="130"/>
      <c r="V90" s="142">
        <f>V87</f>
        <v>0</v>
      </c>
      <c r="W90" s="123"/>
      <c r="X90" s="561"/>
      <c r="Y90" s="1212"/>
      <c r="Z90" s="738"/>
      <c r="AA90" s="739"/>
      <c r="AB90" s="740"/>
    </row>
    <row r="91" spans="1:28" ht="29.25" customHeight="1">
      <c r="A91" s="1070" t="s">
        <v>8</v>
      </c>
      <c r="B91" s="1073" t="s">
        <v>38</v>
      </c>
      <c r="C91" s="999" t="s">
        <v>10</v>
      </c>
      <c r="D91" s="999"/>
      <c r="E91" s="1002" t="s">
        <v>92</v>
      </c>
      <c r="F91" s="1146" t="s">
        <v>143</v>
      </c>
      <c r="G91" s="1182" t="s">
        <v>37</v>
      </c>
      <c r="H91" s="1136" t="s">
        <v>44</v>
      </c>
      <c r="I91" s="690" t="s">
        <v>112</v>
      </c>
      <c r="J91" s="67" t="s">
        <v>42</v>
      </c>
      <c r="K91" s="191">
        <f>N91</f>
        <v>180</v>
      </c>
      <c r="L91" s="192"/>
      <c r="M91" s="192"/>
      <c r="N91" s="193">
        <v>180</v>
      </c>
      <c r="O91" s="191">
        <f>R91</f>
        <v>32.4</v>
      </c>
      <c r="P91" s="192"/>
      <c r="Q91" s="192"/>
      <c r="R91" s="193">
        <v>32.4</v>
      </c>
      <c r="S91" s="118">
        <f>V91</f>
        <v>0</v>
      </c>
      <c r="T91" s="119"/>
      <c r="U91" s="119"/>
      <c r="V91" s="140">
        <v>0</v>
      </c>
      <c r="W91" s="202"/>
      <c r="X91" s="558"/>
      <c r="Y91" s="1142" t="s">
        <v>153</v>
      </c>
      <c r="Z91" s="544">
        <v>100</v>
      </c>
      <c r="AA91" s="297"/>
      <c r="AB91" s="167"/>
    </row>
    <row r="92" spans="1:28" ht="21.75" customHeight="1">
      <c r="A92" s="1070"/>
      <c r="B92" s="1073"/>
      <c r="C92" s="999"/>
      <c r="D92" s="999"/>
      <c r="E92" s="1002"/>
      <c r="F92" s="1146"/>
      <c r="G92" s="1182"/>
      <c r="H92" s="1136"/>
      <c r="I92" s="1216" t="s">
        <v>119</v>
      </c>
      <c r="J92" s="67" t="s">
        <v>42</v>
      </c>
      <c r="K92" s="202"/>
      <c r="L92" s="186"/>
      <c r="M92" s="186"/>
      <c r="N92" s="215"/>
      <c r="O92" s="202">
        <f>R92</f>
        <v>49.9</v>
      </c>
      <c r="P92" s="186"/>
      <c r="Q92" s="186"/>
      <c r="R92" s="215">
        <v>49.9</v>
      </c>
      <c r="S92" s="515"/>
      <c r="T92" s="105"/>
      <c r="U92" s="105"/>
      <c r="V92" s="165"/>
      <c r="W92" s="202"/>
      <c r="X92" s="558"/>
      <c r="Y92" s="1143"/>
      <c r="Z92" s="548"/>
      <c r="AA92" s="547"/>
      <c r="AB92" s="168"/>
    </row>
    <row r="93" spans="1:28" ht="20.25" customHeight="1" thickBot="1">
      <c r="A93" s="1071"/>
      <c r="B93" s="1074"/>
      <c r="C93" s="1000"/>
      <c r="D93" s="1000"/>
      <c r="E93" s="1003"/>
      <c r="F93" s="1147"/>
      <c r="G93" s="1183"/>
      <c r="H93" s="1137"/>
      <c r="I93" s="1189"/>
      <c r="J93" s="54" t="s">
        <v>9</v>
      </c>
      <c r="K93" s="654">
        <f>K91</f>
        <v>180</v>
      </c>
      <c r="L93" s="655">
        <f t="shared" ref="L93:V93" si="27">L91</f>
        <v>0</v>
      </c>
      <c r="M93" s="655">
        <f t="shared" si="27"/>
        <v>0</v>
      </c>
      <c r="N93" s="656">
        <f t="shared" si="27"/>
        <v>180</v>
      </c>
      <c r="O93" s="654">
        <f>O92+O91</f>
        <v>82.3</v>
      </c>
      <c r="P93" s="655">
        <f t="shared" si="27"/>
        <v>0</v>
      </c>
      <c r="Q93" s="655">
        <f t="shared" si="27"/>
        <v>0</v>
      </c>
      <c r="R93" s="656">
        <f>R92+R91</f>
        <v>82.3</v>
      </c>
      <c r="S93" s="136">
        <f t="shared" si="27"/>
        <v>0</v>
      </c>
      <c r="T93" s="549">
        <f t="shared" si="27"/>
        <v>0</v>
      </c>
      <c r="U93" s="549">
        <f t="shared" si="27"/>
        <v>0</v>
      </c>
      <c r="V93" s="181">
        <f t="shared" si="27"/>
        <v>0</v>
      </c>
      <c r="W93" s="136"/>
      <c r="X93" s="556"/>
      <c r="Y93" s="1144"/>
      <c r="Z93" s="530"/>
      <c r="AA93" s="224"/>
      <c r="AB93" s="166"/>
    </row>
    <row r="94" spans="1:28">
      <c r="A94" s="1069" t="s">
        <v>8</v>
      </c>
      <c r="B94" s="1072" t="s">
        <v>38</v>
      </c>
      <c r="C94" s="998" t="s">
        <v>32</v>
      </c>
      <c r="D94" s="695"/>
      <c r="E94" s="1001" t="s">
        <v>75</v>
      </c>
      <c r="F94" s="1075" t="s">
        <v>65</v>
      </c>
      <c r="G94" s="1186" t="s">
        <v>37</v>
      </c>
      <c r="H94" s="1078" t="s">
        <v>44</v>
      </c>
      <c r="I94" s="1179" t="s">
        <v>109</v>
      </c>
      <c r="J94" s="531" t="s">
        <v>58</v>
      </c>
      <c r="K94" s="211">
        <f>L94+N94</f>
        <v>1290.4000000000001</v>
      </c>
      <c r="L94" s="212"/>
      <c r="M94" s="212"/>
      <c r="N94" s="199">
        <v>1290.4000000000001</v>
      </c>
      <c r="O94" s="718">
        <f>R94</f>
        <v>3117.5</v>
      </c>
      <c r="P94" s="212"/>
      <c r="Q94" s="212"/>
      <c r="R94" s="199">
        <v>3117.5</v>
      </c>
      <c r="S94" s="699"/>
      <c r="T94" s="154"/>
      <c r="U94" s="154"/>
      <c r="V94" s="132"/>
      <c r="W94" s="233"/>
      <c r="X94" s="555"/>
      <c r="Y94" s="1040" t="s">
        <v>135</v>
      </c>
      <c r="Z94" s="254"/>
      <c r="AA94" s="682"/>
      <c r="AB94" s="1116"/>
    </row>
    <row r="95" spans="1:28">
      <c r="A95" s="1070"/>
      <c r="B95" s="1073"/>
      <c r="C95" s="999"/>
      <c r="D95" s="696"/>
      <c r="E95" s="1002"/>
      <c r="F95" s="1076"/>
      <c r="G95" s="1187"/>
      <c r="H95" s="1079"/>
      <c r="I95" s="1180"/>
      <c r="J95" s="617" t="s">
        <v>31</v>
      </c>
      <c r="K95" s="391">
        <f>L95+N95</f>
        <v>5.6</v>
      </c>
      <c r="L95" s="392">
        <v>5.6</v>
      </c>
      <c r="M95" s="392"/>
      <c r="N95" s="394"/>
      <c r="O95" s="476"/>
      <c r="P95" s="392"/>
      <c r="Q95" s="392"/>
      <c r="R95" s="394"/>
      <c r="S95" s="395"/>
      <c r="T95" s="396"/>
      <c r="U95" s="396"/>
      <c r="V95" s="397"/>
      <c r="W95" s="398"/>
      <c r="X95" s="560"/>
      <c r="Y95" s="1052"/>
      <c r="Z95" s="255"/>
      <c r="AA95" s="684"/>
      <c r="AB95" s="1117"/>
    </row>
    <row r="96" spans="1:28">
      <c r="A96" s="1070"/>
      <c r="B96" s="1073"/>
      <c r="C96" s="999"/>
      <c r="D96" s="696"/>
      <c r="E96" s="1002"/>
      <c r="F96" s="1076"/>
      <c r="G96" s="1187"/>
      <c r="H96" s="1079"/>
      <c r="I96" s="1180"/>
      <c r="J96" s="532" t="s">
        <v>31</v>
      </c>
      <c r="K96" s="391">
        <f>L96</f>
        <v>49.7</v>
      </c>
      <c r="L96" s="392">
        <v>49.7</v>
      </c>
      <c r="M96" s="392"/>
      <c r="N96" s="394"/>
      <c r="O96" s="476"/>
      <c r="P96" s="392"/>
      <c r="Q96" s="392"/>
      <c r="R96" s="394"/>
      <c r="S96" s="395"/>
      <c r="T96" s="396"/>
      <c r="U96" s="396"/>
      <c r="V96" s="397"/>
      <c r="W96" s="398"/>
      <c r="X96" s="560"/>
      <c r="Y96" s="1052"/>
      <c r="Z96" s="255"/>
      <c r="AA96" s="684"/>
      <c r="AB96" s="1117"/>
    </row>
    <row r="97" spans="1:45">
      <c r="A97" s="1070"/>
      <c r="B97" s="1073"/>
      <c r="C97" s="999"/>
      <c r="D97" s="696"/>
      <c r="E97" s="1002"/>
      <c r="F97" s="1076"/>
      <c r="G97" s="1187"/>
      <c r="H97" s="1079"/>
      <c r="I97" s="1180"/>
      <c r="J97" s="532" t="s">
        <v>42</v>
      </c>
      <c r="K97" s="391"/>
      <c r="L97" s="392"/>
      <c r="M97" s="392"/>
      <c r="N97" s="394"/>
      <c r="O97" s="476"/>
      <c r="P97" s="392"/>
      <c r="Q97" s="392"/>
      <c r="R97" s="394"/>
      <c r="S97" s="395"/>
      <c r="T97" s="396"/>
      <c r="U97" s="396"/>
      <c r="V97" s="397"/>
      <c r="W97" s="398"/>
      <c r="X97" s="560"/>
      <c r="Y97" s="1052"/>
      <c r="Z97" s="255"/>
      <c r="AA97" s="684"/>
      <c r="AB97" s="1117"/>
    </row>
    <row r="98" spans="1:45">
      <c r="A98" s="1070"/>
      <c r="B98" s="1073"/>
      <c r="C98" s="999"/>
      <c r="D98" s="696"/>
      <c r="E98" s="1002"/>
      <c r="F98" s="1076"/>
      <c r="G98" s="1187"/>
      <c r="H98" s="1079"/>
      <c r="I98" s="1180"/>
      <c r="J98" s="152" t="s">
        <v>61</v>
      </c>
      <c r="K98" s="185">
        <f>L98+N98</f>
        <v>3540.6</v>
      </c>
      <c r="L98" s="186"/>
      <c r="M98" s="186"/>
      <c r="N98" s="187">
        <v>3540.6</v>
      </c>
      <c r="O98" s="196"/>
      <c r="P98" s="186"/>
      <c r="Q98" s="186"/>
      <c r="R98" s="187"/>
      <c r="S98" s="129">
        <f>T98+V98</f>
        <v>0</v>
      </c>
      <c r="T98" s="105"/>
      <c r="U98" s="105"/>
      <c r="V98" s="135">
        <v>0</v>
      </c>
      <c r="W98" s="230"/>
      <c r="X98" s="311"/>
      <c r="Y98" s="1052"/>
      <c r="Z98" s="255">
        <v>100</v>
      </c>
      <c r="AA98" s="684"/>
      <c r="AB98" s="1117"/>
    </row>
    <row r="99" spans="1:45" ht="13.5" thickBot="1">
      <c r="A99" s="1071"/>
      <c r="B99" s="1074"/>
      <c r="C99" s="1000"/>
      <c r="D99" s="697"/>
      <c r="E99" s="1003"/>
      <c r="F99" s="1077"/>
      <c r="G99" s="1188"/>
      <c r="H99" s="1080"/>
      <c r="I99" s="1189"/>
      <c r="J99" s="53" t="s">
        <v>9</v>
      </c>
      <c r="K99" s="113">
        <f>SUM(K94:K98)</f>
        <v>4886.3</v>
      </c>
      <c r="L99" s="114">
        <f t="shared" ref="L99:V99" si="28">SUM(L94:L98)</f>
        <v>55.300000000000004</v>
      </c>
      <c r="M99" s="114">
        <f t="shared" si="28"/>
        <v>0</v>
      </c>
      <c r="N99" s="115">
        <f t="shared" si="28"/>
        <v>4831</v>
      </c>
      <c r="O99" s="130">
        <f t="shared" si="28"/>
        <v>3117.5</v>
      </c>
      <c r="P99" s="114">
        <f t="shared" si="28"/>
        <v>0</v>
      </c>
      <c r="Q99" s="114">
        <f t="shared" si="28"/>
        <v>0</v>
      </c>
      <c r="R99" s="115">
        <f t="shared" si="28"/>
        <v>3117.5</v>
      </c>
      <c r="S99" s="130">
        <f t="shared" si="28"/>
        <v>0</v>
      </c>
      <c r="T99" s="113">
        <f t="shared" si="28"/>
        <v>0</v>
      </c>
      <c r="U99" s="113">
        <f t="shared" si="28"/>
        <v>0</v>
      </c>
      <c r="V99" s="113">
        <f t="shared" si="28"/>
        <v>0</v>
      </c>
      <c r="W99" s="123"/>
      <c r="X99" s="561"/>
      <c r="Y99" s="1053"/>
      <c r="Z99" s="256"/>
      <c r="AA99" s="683"/>
      <c r="AB99" s="39"/>
    </row>
    <row r="100" spans="1:45" ht="13.5" customHeight="1">
      <c r="A100" s="1101" t="s">
        <v>8</v>
      </c>
      <c r="B100" s="1104" t="s">
        <v>38</v>
      </c>
      <c r="C100" s="1107" t="s">
        <v>38</v>
      </c>
      <c r="D100" s="1165"/>
      <c r="E100" s="1110" t="s">
        <v>128</v>
      </c>
      <c r="F100" s="1170" t="s">
        <v>142</v>
      </c>
      <c r="G100" s="1174" t="s">
        <v>82</v>
      </c>
      <c r="H100" s="1133" t="s">
        <v>44</v>
      </c>
      <c r="I100" s="1179" t="s">
        <v>110</v>
      </c>
      <c r="J100" s="47" t="s">
        <v>58</v>
      </c>
      <c r="K100" s="94"/>
      <c r="L100" s="95"/>
      <c r="M100" s="95"/>
      <c r="N100" s="96"/>
      <c r="O100" s="660"/>
      <c r="P100" s="95"/>
      <c r="Q100" s="95"/>
      <c r="R100" s="96"/>
      <c r="S100" s="651"/>
      <c r="T100" s="49"/>
      <c r="U100" s="49"/>
      <c r="V100" s="50"/>
      <c r="W100" s="431"/>
      <c r="X100" s="559"/>
      <c r="Y100" s="553"/>
      <c r="Z100" s="297"/>
      <c r="AA100" s="297"/>
      <c r="AB100" s="167"/>
    </row>
    <row r="101" spans="1:45" ht="17.100000000000001" customHeight="1">
      <c r="A101" s="1102"/>
      <c r="B101" s="1105"/>
      <c r="C101" s="1108"/>
      <c r="D101" s="1166"/>
      <c r="E101" s="1111"/>
      <c r="F101" s="1171"/>
      <c r="G101" s="1175"/>
      <c r="H101" s="1134"/>
      <c r="I101" s="1180"/>
      <c r="J101" s="48" t="s">
        <v>43</v>
      </c>
      <c r="K101" s="97">
        <f>N101</f>
        <v>20</v>
      </c>
      <c r="L101" s="98"/>
      <c r="M101" s="98"/>
      <c r="N101" s="99">
        <v>20</v>
      </c>
      <c r="O101" s="661">
        <f>R101</f>
        <v>0</v>
      </c>
      <c r="P101" s="98"/>
      <c r="Q101" s="98"/>
      <c r="R101" s="99"/>
      <c r="S101" s="652">
        <f>V101</f>
        <v>0</v>
      </c>
      <c r="T101" s="51"/>
      <c r="U101" s="51"/>
      <c r="V101" s="52">
        <v>0</v>
      </c>
      <c r="W101" s="741"/>
      <c r="X101" s="558"/>
      <c r="Y101" s="1044" t="s">
        <v>156</v>
      </c>
      <c r="Z101" s="295">
        <v>1</v>
      </c>
      <c r="AA101" s="295"/>
      <c r="AB101" s="168"/>
    </row>
    <row r="102" spans="1:45" ht="17.100000000000001" customHeight="1">
      <c r="A102" s="1162"/>
      <c r="B102" s="1163"/>
      <c r="C102" s="1164"/>
      <c r="D102" s="1167"/>
      <c r="E102" s="1169"/>
      <c r="F102" s="1172"/>
      <c r="G102" s="1176"/>
      <c r="H102" s="1178"/>
      <c r="I102" s="1180"/>
      <c r="J102" s="48" t="s">
        <v>42</v>
      </c>
      <c r="K102" s="97"/>
      <c r="L102" s="98"/>
      <c r="M102" s="98"/>
      <c r="N102" s="99"/>
      <c r="O102" s="661"/>
      <c r="P102" s="98"/>
      <c r="Q102" s="98"/>
      <c r="R102" s="99"/>
      <c r="S102" s="652"/>
      <c r="T102" s="51"/>
      <c r="U102" s="51"/>
      <c r="V102" s="497"/>
      <c r="W102" s="741">
        <v>133</v>
      </c>
      <c r="X102" s="558"/>
      <c r="Y102" s="1044"/>
      <c r="Z102" s="295"/>
      <c r="AA102" s="295"/>
      <c r="AB102" s="168"/>
    </row>
    <row r="103" spans="1:45" ht="12.75" customHeight="1">
      <c r="A103" s="1162"/>
      <c r="B103" s="1163"/>
      <c r="C103" s="1164"/>
      <c r="D103" s="1167"/>
      <c r="E103" s="1169"/>
      <c r="F103" s="1172"/>
      <c r="G103" s="1176"/>
      <c r="H103" s="1178"/>
      <c r="I103" s="1180"/>
      <c r="J103" s="48" t="s">
        <v>61</v>
      </c>
      <c r="K103" s="97"/>
      <c r="L103" s="98"/>
      <c r="M103" s="98"/>
      <c r="N103" s="99"/>
      <c r="O103" s="661"/>
      <c r="P103" s="98"/>
      <c r="Q103" s="98"/>
      <c r="R103" s="99"/>
      <c r="S103" s="652"/>
      <c r="T103" s="51"/>
      <c r="U103" s="51"/>
      <c r="V103" s="497"/>
      <c r="W103" s="741"/>
      <c r="X103" s="742"/>
      <c r="Y103" s="1044"/>
      <c r="Z103" s="295"/>
      <c r="AA103" s="295"/>
      <c r="AB103" s="169"/>
    </row>
    <row r="104" spans="1:45" ht="17.100000000000001" customHeight="1" thickBot="1">
      <c r="A104" s="1103"/>
      <c r="B104" s="1106"/>
      <c r="C104" s="1109"/>
      <c r="D104" s="1168"/>
      <c r="E104" s="1112"/>
      <c r="F104" s="1173"/>
      <c r="G104" s="1177"/>
      <c r="H104" s="1135"/>
      <c r="I104" s="170"/>
      <c r="J104" s="57" t="s">
        <v>9</v>
      </c>
      <c r="K104" s="657">
        <f t="shared" ref="K104:V104" si="29">K101</f>
        <v>20</v>
      </c>
      <c r="L104" s="658">
        <f t="shared" si="29"/>
        <v>0</v>
      </c>
      <c r="M104" s="658">
        <f t="shared" si="29"/>
        <v>0</v>
      </c>
      <c r="N104" s="659">
        <f t="shared" si="29"/>
        <v>20</v>
      </c>
      <c r="O104" s="662">
        <f t="shared" si="29"/>
        <v>0</v>
      </c>
      <c r="P104" s="658">
        <f t="shared" si="29"/>
        <v>0</v>
      </c>
      <c r="Q104" s="658">
        <f t="shared" si="29"/>
        <v>0</v>
      </c>
      <c r="R104" s="659"/>
      <c r="S104" s="653">
        <f t="shared" si="29"/>
        <v>0</v>
      </c>
      <c r="T104" s="171">
        <f t="shared" si="29"/>
        <v>0</v>
      </c>
      <c r="U104" s="171">
        <f t="shared" si="29"/>
        <v>0</v>
      </c>
      <c r="V104" s="496">
        <f t="shared" si="29"/>
        <v>0</v>
      </c>
      <c r="W104" s="181">
        <f>W103+W102+W101+W100</f>
        <v>133</v>
      </c>
      <c r="X104" s="556"/>
      <c r="Y104" s="554"/>
      <c r="Z104" s="429"/>
      <c r="AA104" s="429"/>
      <c r="AB104" s="430"/>
    </row>
    <row r="105" spans="1:45" ht="16.5" customHeight="1">
      <c r="A105" s="664" t="s">
        <v>8</v>
      </c>
      <c r="B105" s="667" t="s">
        <v>38</v>
      </c>
      <c r="C105" s="670" t="s">
        <v>37</v>
      </c>
      <c r="D105" s="673"/>
      <c r="E105" s="988" t="s">
        <v>145</v>
      </c>
      <c r="F105" s="1004"/>
      <c r="G105" s="1181" t="s">
        <v>37</v>
      </c>
      <c r="H105" s="1049" t="s">
        <v>33</v>
      </c>
      <c r="I105" s="1184" t="s">
        <v>119</v>
      </c>
      <c r="J105" s="153" t="s">
        <v>42</v>
      </c>
      <c r="K105" s="208"/>
      <c r="L105" s="194"/>
      <c r="M105" s="194"/>
      <c r="N105" s="201"/>
      <c r="O105" s="208"/>
      <c r="P105" s="194"/>
      <c r="Q105" s="194"/>
      <c r="R105" s="195"/>
      <c r="S105" s="699">
        <f>T105+V105</f>
        <v>0</v>
      </c>
      <c r="T105" s="154"/>
      <c r="U105" s="154"/>
      <c r="V105" s="133">
        <v>0</v>
      </c>
      <c r="W105" s="234"/>
      <c r="X105" s="557"/>
      <c r="Y105" s="1040"/>
      <c r="Z105" s="254"/>
      <c r="AA105" s="676"/>
      <c r="AB105" s="38"/>
    </row>
    <row r="106" spans="1:45" ht="16.5" customHeight="1">
      <c r="A106" s="665"/>
      <c r="B106" s="668"/>
      <c r="C106" s="671"/>
      <c r="D106" s="674"/>
      <c r="E106" s="950"/>
      <c r="F106" s="1005"/>
      <c r="G106" s="1182"/>
      <c r="H106" s="1050"/>
      <c r="I106" s="1180"/>
      <c r="J106" s="19"/>
      <c r="K106" s="208">
        <f>L106+N106</f>
        <v>61</v>
      </c>
      <c r="L106" s="194">
        <v>43</v>
      </c>
      <c r="M106" s="194"/>
      <c r="N106" s="201">
        <v>18</v>
      </c>
      <c r="O106" s="185"/>
      <c r="P106" s="194"/>
      <c r="Q106" s="194"/>
      <c r="R106" s="195"/>
      <c r="S106" s="129"/>
      <c r="T106" s="126"/>
      <c r="U106" s="126"/>
      <c r="V106" s="127"/>
      <c r="W106" s="230"/>
      <c r="X106" s="311"/>
      <c r="Y106" s="1052"/>
      <c r="Z106" s="255"/>
      <c r="AA106" s="678"/>
      <c r="AB106" s="44"/>
    </row>
    <row r="107" spans="1:45" ht="13.5" thickBot="1">
      <c r="A107" s="666"/>
      <c r="B107" s="669"/>
      <c r="C107" s="672"/>
      <c r="D107" s="675"/>
      <c r="E107" s="951"/>
      <c r="F107" s="1006"/>
      <c r="G107" s="1183"/>
      <c r="H107" s="1051"/>
      <c r="I107" s="1185"/>
      <c r="J107" s="56" t="s">
        <v>9</v>
      </c>
      <c r="K107" s="113">
        <f>K105</f>
        <v>0</v>
      </c>
      <c r="L107" s="130"/>
      <c r="M107" s="130"/>
      <c r="N107" s="142">
        <f>N105</f>
        <v>0</v>
      </c>
      <c r="O107" s="113">
        <f>O105</f>
        <v>0</v>
      </c>
      <c r="P107" s="114">
        <f>P105</f>
        <v>0</v>
      </c>
      <c r="Q107" s="114"/>
      <c r="R107" s="115">
        <f>R105</f>
        <v>0</v>
      </c>
      <c r="S107" s="130">
        <f>S105</f>
        <v>0</v>
      </c>
      <c r="T107" s="130"/>
      <c r="U107" s="130"/>
      <c r="V107" s="124">
        <f>V105</f>
        <v>0</v>
      </c>
      <c r="W107" s="123"/>
      <c r="X107" s="556"/>
      <c r="Y107" s="1053"/>
      <c r="Z107" s="256"/>
      <c r="AA107" s="677"/>
      <c r="AB107" s="39"/>
    </row>
    <row r="108" spans="1:45" ht="13.5" thickBot="1">
      <c r="A108" s="286" t="s">
        <v>10</v>
      </c>
      <c r="B108" s="77" t="s">
        <v>38</v>
      </c>
      <c r="C108" s="1100" t="s">
        <v>11</v>
      </c>
      <c r="D108" s="1009"/>
      <c r="E108" s="1009"/>
      <c r="F108" s="1009"/>
      <c r="G108" s="1009"/>
      <c r="H108" s="1009"/>
      <c r="I108" s="1009"/>
      <c r="J108" s="1009"/>
      <c r="K108" s="159">
        <f>K104+K93+K90+K99+K107</f>
        <v>5286.3</v>
      </c>
      <c r="L108" s="159">
        <f t="shared" ref="L108:X108" si="30">L104+L93+L90+L99+L107</f>
        <v>55.300000000000004</v>
      </c>
      <c r="M108" s="159">
        <f t="shared" si="30"/>
        <v>0</v>
      </c>
      <c r="N108" s="159">
        <f t="shared" si="30"/>
        <v>5231</v>
      </c>
      <c r="O108" s="159">
        <f t="shared" si="30"/>
        <v>3359.2</v>
      </c>
      <c r="P108" s="159">
        <f t="shared" si="30"/>
        <v>0</v>
      </c>
      <c r="Q108" s="159">
        <f t="shared" si="30"/>
        <v>0</v>
      </c>
      <c r="R108" s="159">
        <f t="shared" si="30"/>
        <v>3359.2</v>
      </c>
      <c r="S108" s="159">
        <f t="shared" si="30"/>
        <v>0</v>
      </c>
      <c r="T108" s="159">
        <f t="shared" si="30"/>
        <v>0</v>
      </c>
      <c r="U108" s="159">
        <f t="shared" si="30"/>
        <v>0</v>
      </c>
      <c r="V108" s="159">
        <f t="shared" si="30"/>
        <v>0</v>
      </c>
      <c r="W108" s="159">
        <f t="shared" si="30"/>
        <v>133</v>
      </c>
      <c r="X108" s="159">
        <f t="shared" si="30"/>
        <v>0</v>
      </c>
      <c r="Y108" s="1031"/>
      <c r="Z108" s="1031"/>
      <c r="AA108" s="1031"/>
      <c r="AB108" s="1032"/>
    </row>
    <row r="109" spans="1:45" ht="13.5" thickBot="1">
      <c r="A109" s="288" t="s">
        <v>8</v>
      </c>
      <c r="B109" s="1131" t="s">
        <v>12</v>
      </c>
      <c r="C109" s="1132"/>
      <c r="D109" s="1132"/>
      <c r="E109" s="1132"/>
      <c r="F109" s="1132"/>
      <c r="G109" s="1132"/>
      <c r="H109" s="1132"/>
      <c r="I109" s="1132"/>
      <c r="J109" s="1132"/>
      <c r="K109" s="306">
        <f t="shared" ref="K109:X109" si="31">K108+K85+K44+K36</f>
        <v>38850.5</v>
      </c>
      <c r="L109" s="306">
        <f t="shared" si="31"/>
        <v>22014.6</v>
      </c>
      <c r="M109" s="306">
        <f t="shared" si="31"/>
        <v>0</v>
      </c>
      <c r="N109" s="306">
        <f t="shared" si="31"/>
        <v>16835.900000000001</v>
      </c>
      <c r="O109" s="306">
        <f t="shared" si="31"/>
        <v>29685.599999999999</v>
      </c>
      <c r="P109" s="306">
        <f t="shared" si="31"/>
        <v>18503.399999999998</v>
      </c>
      <c r="Q109" s="306">
        <f t="shared" si="31"/>
        <v>0</v>
      </c>
      <c r="R109" s="306">
        <f t="shared" si="31"/>
        <v>11182.2</v>
      </c>
      <c r="S109" s="306">
        <f t="shared" si="31"/>
        <v>0</v>
      </c>
      <c r="T109" s="306">
        <f t="shared" si="31"/>
        <v>0</v>
      </c>
      <c r="U109" s="306">
        <f t="shared" si="31"/>
        <v>0</v>
      </c>
      <c r="V109" s="306">
        <f t="shared" si="31"/>
        <v>0</v>
      </c>
      <c r="W109" s="551">
        <f t="shared" si="31"/>
        <v>20252.2</v>
      </c>
      <c r="X109" s="563">
        <f t="shared" si="31"/>
        <v>21325.8</v>
      </c>
      <c r="Y109" s="1138"/>
      <c r="Z109" s="1138"/>
      <c r="AA109" s="1138"/>
      <c r="AB109" s="1139"/>
    </row>
    <row r="110" spans="1:45" ht="13.5" thickBot="1">
      <c r="A110" s="16" t="s">
        <v>37</v>
      </c>
      <c r="B110" s="1096" t="s">
        <v>76</v>
      </c>
      <c r="C110" s="1097"/>
      <c r="D110" s="1097"/>
      <c r="E110" s="1097"/>
      <c r="F110" s="1097"/>
      <c r="G110" s="1097"/>
      <c r="H110" s="1097"/>
      <c r="I110" s="1097"/>
      <c r="J110" s="1097"/>
      <c r="K110" s="172">
        <f t="shared" ref="K110:V110" si="32">K109</f>
        <v>38850.5</v>
      </c>
      <c r="L110" s="173">
        <f t="shared" si="32"/>
        <v>22014.6</v>
      </c>
      <c r="M110" s="173">
        <f t="shared" si="32"/>
        <v>0</v>
      </c>
      <c r="N110" s="174">
        <f t="shared" si="32"/>
        <v>16835.900000000001</v>
      </c>
      <c r="O110" s="172">
        <f>O109</f>
        <v>29685.599999999999</v>
      </c>
      <c r="P110" s="173">
        <f t="shared" si="32"/>
        <v>18503.399999999998</v>
      </c>
      <c r="Q110" s="173">
        <f t="shared" si="32"/>
        <v>0</v>
      </c>
      <c r="R110" s="174">
        <f t="shared" si="32"/>
        <v>11182.2</v>
      </c>
      <c r="S110" s="172">
        <f t="shared" si="32"/>
        <v>0</v>
      </c>
      <c r="T110" s="173">
        <f t="shared" si="32"/>
        <v>0</v>
      </c>
      <c r="U110" s="173">
        <f t="shared" si="32"/>
        <v>0</v>
      </c>
      <c r="V110" s="174">
        <f t="shared" si="32"/>
        <v>0</v>
      </c>
      <c r="W110" s="552">
        <f>W109</f>
        <v>20252.2</v>
      </c>
      <c r="X110" s="564">
        <f t="shared" ref="X110" si="33">X109</f>
        <v>21325.8</v>
      </c>
      <c r="Y110" s="1140"/>
      <c r="Z110" s="1140"/>
      <c r="AA110" s="1140"/>
      <c r="AB110" s="1141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</row>
    <row r="111" spans="1:45" s="22" customFormat="1" ht="28.5" customHeight="1">
      <c r="A111" s="1161" t="s">
        <v>167</v>
      </c>
      <c r="B111" s="1161"/>
      <c r="C111" s="1161"/>
      <c r="D111" s="1161"/>
      <c r="E111" s="1161"/>
      <c r="F111" s="1161"/>
      <c r="G111" s="1161"/>
      <c r="H111" s="1161"/>
      <c r="I111" s="1161"/>
      <c r="J111" s="1161"/>
      <c r="K111" s="1098"/>
      <c r="L111" s="1098"/>
      <c r="M111" s="1098"/>
      <c r="N111" s="1098"/>
      <c r="O111" s="1098"/>
      <c r="P111" s="1098"/>
      <c r="Q111" s="1098"/>
      <c r="R111" s="1098"/>
      <c r="S111" s="1098"/>
      <c r="T111" s="1098"/>
      <c r="U111" s="1098"/>
      <c r="V111" s="1098"/>
      <c r="W111" s="1098"/>
      <c r="X111" s="1098"/>
      <c r="Y111" s="1161"/>
      <c r="Z111" s="1161"/>
      <c r="AA111" s="1161"/>
      <c r="AB111" s="1161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</row>
    <row r="112" spans="1:45" s="22" customFormat="1" ht="12.75" customHeight="1">
      <c r="A112" s="1098"/>
      <c r="B112" s="1099"/>
      <c r="C112" s="1099"/>
      <c r="D112" s="1099"/>
      <c r="E112" s="1099"/>
      <c r="F112" s="1099"/>
      <c r="G112" s="1099"/>
      <c r="H112" s="1099"/>
      <c r="I112" s="1099"/>
      <c r="J112" s="1099"/>
      <c r="K112" s="175"/>
      <c r="L112" s="176"/>
      <c r="M112" s="176"/>
      <c r="N112" s="176"/>
      <c r="O112" s="175"/>
      <c r="P112" s="176"/>
      <c r="Q112" s="176"/>
      <c r="R112" s="176"/>
      <c r="S112" s="175"/>
      <c r="T112" s="176"/>
      <c r="U112" s="176"/>
      <c r="V112" s="176"/>
      <c r="W112" s="176"/>
      <c r="X112" s="176"/>
      <c r="Y112" s="32"/>
      <c r="Z112" s="32"/>
      <c r="AA112" s="32"/>
      <c r="AB112" s="32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</row>
    <row r="113" spans="1:45" s="22" customFormat="1" ht="16.5" customHeight="1" thickBot="1">
      <c r="A113" s="1124" t="s">
        <v>17</v>
      </c>
      <c r="B113" s="1124"/>
      <c r="C113" s="1124"/>
      <c r="D113" s="1124"/>
      <c r="E113" s="1124"/>
      <c r="F113" s="1124"/>
      <c r="G113" s="1124"/>
      <c r="H113" s="1124"/>
      <c r="I113" s="1124"/>
      <c r="J113" s="1124"/>
      <c r="K113" s="1124"/>
      <c r="L113" s="1124"/>
      <c r="M113" s="1124"/>
      <c r="N113" s="112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228"/>
      <c r="Z113" s="1"/>
      <c r="AA113" s="1"/>
      <c r="AB113" s="1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</row>
    <row r="114" spans="1:45" ht="45" customHeight="1" thickBot="1">
      <c r="A114" s="1125" t="s">
        <v>13</v>
      </c>
      <c r="B114" s="1126"/>
      <c r="C114" s="1126"/>
      <c r="D114" s="1126"/>
      <c r="E114" s="1126"/>
      <c r="F114" s="1126"/>
      <c r="G114" s="1126"/>
      <c r="H114" s="1126"/>
      <c r="I114" s="1126"/>
      <c r="J114" s="1127"/>
      <c r="K114" s="1197" t="s">
        <v>101</v>
      </c>
      <c r="L114" s="1198"/>
      <c r="M114" s="1198"/>
      <c r="N114" s="1199"/>
      <c r="O114" s="1197" t="s">
        <v>102</v>
      </c>
      <c r="P114" s="1198"/>
      <c r="Q114" s="1198"/>
      <c r="R114" s="1199"/>
      <c r="S114" s="1125" t="s">
        <v>103</v>
      </c>
      <c r="T114" s="1126"/>
      <c r="U114" s="1126"/>
      <c r="V114" s="1126"/>
      <c r="W114" s="70" t="s">
        <v>116</v>
      </c>
      <c r="X114" s="70" t="s">
        <v>117</v>
      </c>
      <c r="AB114" s="5"/>
    </row>
    <row r="115" spans="1:45">
      <c r="A115" s="1200" t="s">
        <v>18</v>
      </c>
      <c r="B115" s="1201"/>
      <c r="C115" s="1201"/>
      <c r="D115" s="1201"/>
      <c r="E115" s="1201"/>
      <c r="F115" s="1201"/>
      <c r="G115" s="1201"/>
      <c r="H115" s="1201"/>
      <c r="I115" s="1201"/>
      <c r="J115" s="1202"/>
      <c r="K115" s="1203">
        <f>K116+K121+K122</f>
        <v>26272.2</v>
      </c>
      <c r="L115" s="1204"/>
      <c r="M115" s="1204"/>
      <c r="N115" s="1205"/>
      <c r="O115" s="1203">
        <f t="shared" ref="O115" si="34">O116+O121+O122</f>
        <v>22354.6</v>
      </c>
      <c r="P115" s="1204"/>
      <c r="Q115" s="1204"/>
      <c r="R115" s="1205"/>
      <c r="S115" s="1203">
        <f t="shared" ref="S115" si="35">S116+S121+S122</f>
        <v>0</v>
      </c>
      <c r="T115" s="1204"/>
      <c r="U115" s="1204"/>
      <c r="V115" s="1205"/>
      <c r="W115" s="745">
        <f>W116+W121+W122</f>
        <v>20252.2</v>
      </c>
      <c r="X115" s="745">
        <f ca="1">X116+X121+X122</f>
        <v>20239.3</v>
      </c>
      <c r="Y115" s="7"/>
    </row>
    <row r="116" spans="1:45" ht="12.75" customHeight="1">
      <c r="A116" s="1118" t="s">
        <v>144</v>
      </c>
      <c r="B116" s="1119"/>
      <c r="C116" s="1119"/>
      <c r="D116" s="1119"/>
      <c r="E116" s="1119"/>
      <c r="F116" s="1119"/>
      <c r="G116" s="1119"/>
      <c r="H116" s="1119"/>
      <c r="I116" s="1119"/>
      <c r="J116" s="1120"/>
      <c r="K116" s="1151">
        <f>SUM(K117:N120)</f>
        <v>23745.5</v>
      </c>
      <c r="L116" s="1152"/>
      <c r="M116" s="1152"/>
      <c r="N116" s="1153"/>
      <c r="O116" s="1151">
        <f t="shared" ref="O116" si="36">SUM(O117:R120)</f>
        <v>19038.599999999999</v>
      </c>
      <c r="P116" s="1152"/>
      <c r="Q116" s="1152"/>
      <c r="R116" s="1153"/>
      <c r="S116" s="1151">
        <f t="shared" ref="S116" si="37">SUM(S117:V120)</f>
        <v>0</v>
      </c>
      <c r="T116" s="1152"/>
      <c r="U116" s="1152"/>
      <c r="V116" s="1153"/>
      <c r="W116" s="746">
        <f>W117+W118+W119+W120</f>
        <v>18602</v>
      </c>
      <c r="X116" s="746">
        <f ca="1">X117+X118+X119+X120</f>
        <v>18589.099999999999</v>
      </c>
      <c r="Y116" s="7"/>
    </row>
    <row r="117" spans="1:45">
      <c r="A117" s="1121" t="s">
        <v>24</v>
      </c>
      <c r="B117" s="1122"/>
      <c r="C117" s="1122"/>
      <c r="D117" s="1122"/>
      <c r="E117" s="1122"/>
      <c r="F117" s="1122"/>
      <c r="G117" s="1122"/>
      <c r="H117" s="1122"/>
      <c r="I117" s="1122"/>
      <c r="J117" s="1123"/>
      <c r="K117" s="1154">
        <f>SUMIF(J12:J110,"SB",K12:K110)</f>
        <v>55.300000000000004</v>
      </c>
      <c r="L117" s="1155"/>
      <c r="M117" s="1155"/>
      <c r="N117" s="1156"/>
      <c r="O117" s="1154">
        <f>SUMIF(J12:J110,"SB",O12:O110)</f>
        <v>210.6</v>
      </c>
      <c r="P117" s="1155"/>
      <c r="Q117" s="1155"/>
      <c r="R117" s="1156"/>
      <c r="S117" s="1154">
        <f>SUMIF(J12:J110,"SB",S12:S110)</f>
        <v>0</v>
      </c>
      <c r="T117" s="1155"/>
      <c r="U117" s="1155"/>
      <c r="V117" s="1156"/>
      <c r="W117" s="747">
        <f>SUMIF(J12:J110,"SB",W12:W110)</f>
        <v>10</v>
      </c>
      <c r="X117" s="747">
        <f>SUMIF(J12:J110,"SB",X12:X110)</f>
        <v>0</v>
      </c>
      <c r="Y117" s="307"/>
      <c r="Z117" s="15"/>
      <c r="AA117" s="15"/>
    </row>
    <row r="118" spans="1:45">
      <c r="A118" s="1093" t="s">
        <v>25</v>
      </c>
      <c r="B118" s="1094"/>
      <c r="C118" s="1094"/>
      <c r="D118" s="1094"/>
      <c r="E118" s="1094"/>
      <c r="F118" s="1094"/>
      <c r="G118" s="1094"/>
      <c r="H118" s="1094"/>
      <c r="I118" s="1094"/>
      <c r="J118" s="1095"/>
      <c r="K118" s="1157">
        <f>SUMIF(J12:J110,"SB(AA)",K12:K110)</f>
        <v>1452</v>
      </c>
      <c r="L118" s="1158"/>
      <c r="M118" s="1158"/>
      <c r="N118" s="1159"/>
      <c r="O118" s="1157">
        <f>SUMIF(J12:J110,"SB(AA)",O12:O110)</f>
        <v>1328.0000000000002</v>
      </c>
      <c r="P118" s="1158"/>
      <c r="Q118" s="1158"/>
      <c r="R118" s="1159"/>
      <c r="S118" s="1157">
        <f>SUMIF(J12:J110,"SB(AA)",S12:S110)</f>
        <v>0</v>
      </c>
      <c r="T118" s="1158"/>
      <c r="U118" s="1158"/>
      <c r="V118" s="1158"/>
      <c r="W118" s="747">
        <f>SUMIF(J12:J109,"SB(AA)",W12:W109)</f>
        <v>1209</v>
      </c>
      <c r="X118" s="747">
        <f ca="1">SUMIF(J12:J110,"SB(AA)",X12:X109)</f>
        <v>1118</v>
      </c>
      <c r="Y118" s="7"/>
    </row>
    <row r="119" spans="1:45">
      <c r="A119" s="1093" t="s">
        <v>87</v>
      </c>
      <c r="B119" s="1094"/>
      <c r="C119" s="1094"/>
      <c r="D119" s="1094"/>
      <c r="E119" s="1094"/>
      <c r="F119" s="1094"/>
      <c r="G119" s="1094"/>
      <c r="H119" s="1094"/>
      <c r="I119" s="1094"/>
      <c r="J119" s="1095"/>
      <c r="K119" s="1154">
        <f>SUMIF(J12:J110,"SB(VR)",K12:K110)</f>
        <v>17500</v>
      </c>
      <c r="L119" s="1155"/>
      <c r="M119" s="1155"/>
      <c r="N119" s="1156"/>
      <c r="O119" s="1154">
        <f>SUMIF(J12:J110,"SB(VR)",O12:O110)</f>
        <v>17500</v>
      </c>
      <c r="P119" s="1155"/>
      <c r="Q119" s="1155"/>
      <c r="R119" s="1156"/>
      <c r="S119" s="1154">
        <f>SUMIF(J12:J110,"SB(VR)",S12:S110)</f>
        <v>0</v>
      </c>
      <c r="T119" s="1155"/>
      <c r="U119" s="1155"/>
      <c r="V119" s="1155"/>
      <c r="W119" s="747">
        <f>SUMIF(J12:J110,"SB(VR)",W12:W110)</f>
        <v>17383</v>
      </c>
      <c r="X119" s="747">
        <f>SUMIF(J12:J110,"SB(VR)",X12:X110)</f>
        <v>17383</v>
      </c>
      <c r="Y119" s="307"/>
      <c r="Z119" s="15"/>
      <c r="AA119" s="15"/>
    </row>
    <row r="120" spans="1:45">
      <c r="A120" s="1093" t="s">
        <v>27</v>
      </c>
      <c r="B120" s="1094"/>
      <c r="C120" s="1094"/>
      <c r="D120" s="1094"/>
      <c r="E120" s="1094"/>
      <c r="F120" s="1094"/>
      <c r="G120" s="1094"/>
      <c r="H120" s="1094"/>
      <c r="I120" s="1094"/>
      <c r="J120" s="1095"/>
      <c r="K120" s="1154">
        <f>SUMIF(J12:J110,"SB(P)",K12:K110)</f>
        <v>4738.2</v>
      </c>
      <c r="L120" s="1155"/>
      <c r="M120" s="1155"/>
      <c r="N120" s="1156"/>
      <c r="O120" s="1154">
        <f>SUMIF(J12:J110,"SB(P)",O12:O110)</f>
        <v>0</v>
      </c>
      <c r="P120" s="1155"/>
      <c r="Q120" s="1155"/>
      <c r="R120" s="1156"/>
      <c r="S120" s="1154">
        <f>SUMIF(J12:J110,"SB(P)",S12:S110)</f>
        <v>0</v>
      </c>
      <c r="T120" s="1155"/>
      <c r="U120" s="1155"/>
      <c r="V120" s="1155"/>
      <c r="W120" s="747">
        <f>SUMIF(J12:J110,"SB(P)",W12:W110)</f>
        <v>0</v>
      </c>
      <c r="X120" s="747">
        <f>SUMIF(J12:J110,"SB(P)",X12:X110)</f>
        <v>88.1</v>
      </c>
      <c r="Y120" s="307"/>
      <c r="Z120" s="15"/>
      <c r="AA120" s="15"/>
    </row>
    <row r="121" spans="1:45">
      <c r="A121" s="1087" t="s">
        <v>26</v>
      </c>
      <c r="B121" s="1088"/>
      <c r="C121" s="1088"/>
      <c r="D121" s="1088"/>
      <c r="E121" s="1088"/>
      <c r="F121" s="1088"/>
      <c r="G121" s="1088"/>
      <c r="H121" s="1088"/>
      <c r="I121" s="1088"/>
      <c r="J121" s="1089"/>
      <c r="K121" s="1148">
        <f>SUMIF(J13:J110,"SB(AAL)",K13:K110)</f>
        <v>666.7</v>
      </c>
      <c r="L121" s="1149"/>
      <c r="M121" s="1149"/>
      <c r="N121" s="1150"/>
      <c r="O121" s="1148">
        <f>SUMIF(J13:J104,"SB(AAL)",O13:O110)</f>
        <v>0</v>
      </c>
      <c r="P121" s="1149"/>
      <c r="Q121" s="1149"/>
      <c r="R121" s="1150"/>
      <c r="S121" s="1148">
        <f>SUMIF(J13:J110,"SB(AAL)",S13:S110)</f>
        <v>0</v>
      </c>
      <c r="T121" s="1149"/>
      <c r="U121" s="1149"/>
      <c r="V121" s="1149"/>
      <c r="W121" s="748">
        <f>SUMIF(J13:J110,"SB(AAL)",W13:W110)</f>
        <v>0</v>
      </c>
      <c r="X121" s="748">
        <f ca="1">SUMIF(J17:J115,"SB(X110AAL)",X17:X110)</f>
        <v>0</v>
      </c>
      <c r="Y121" s="307"/>
      <c r="Z121" s="15"/>
      <c r="AA121" s="15"/>
      <c r="AC121" s="69"/>
    </row>
    <row r="122" spans="1:45">
      <c r="A122" s="1087" t="s">
        <v>89</v>
      </c>
      <c r="B122" s="1088"/>
      <c r="C122" s="1088"/>
      <c r="D122" s="1088"/>
      <c r="E122" s="1088"/>
      <c r="F122" s="1088"/>
      <c r="G122" s="1088"/>
      <c r="H122" s="1088"/>
      <c r="I122" s="1088"/>
      <c r="J122" s="1089"/>
      <c r="K122" s="1148">
        <f>SUMIF(J13:J110,"SB(VRL)",K13:K110)</f>
        <v>1860</v>
      </c>
      <c r="L122" s="1149"/>
      <c r="M122" s="1149"/>
      <c r="N122" s="1150"/>
      <c r="O122" s="1148">
        <f>SUMIF(J13:J110,"SB(VRL)",O13:O110)</f>
        <v>3316.0000000000005</v>
      </c>
      <c r="P122" s="1149"/>
      <c r="Q122" s="1149"/>
      <c r="R122" s="1150"/>
      <c r="S122" s="1148">
        <f>SUMIF(J13:J110,"SB(VRL)",S13:S110)</f>
        <v>0</v>
      </c>
      <c r="T122" s="1149"/>
      <c r="U122" s="1149"/>
      <c r="V122" s="1149"/>
      <c r="W122" s="748">
        <f>SUMIF(J13:J110,"SB(VRL)",W13:W110)</f>
        <v>1650.2</v>
      </c>
      <c r="X122" s="748">
        <f>SUMIF(J13:J110,"SB(VRL)",X13:X110)</f>
        <v>1650.2</v>
      </c>
      <c r="Y122" s="7"/>
    </row>
    <row r="123" spans="1:45">
      <c r="A123" s="1090" t="s">
        <v>19</v>
      </c>
      <c r="B123" s="1091"/>
      <c r="C123" s="1091"/>
      <c r="D123" s="1091"/>
      <c r="E123" s="1091"/>
      <c r="F123" s="1091"/>
      <c r="G123" s="1091"/>
      <c r="H123" s="1091"/>
      <c r="I123" s="1091"/>
      <c r="J123" s="1092"/>
      <c r="K123" s="1193">
        <f ca="1">SUM(K124:N126)</f>
        <v>12578.300000000001</v>
      </c>
      <c r="L123" s="1194"/>
      <c r="M123" s="1194"/>
      <c r="N123" s="1195"/>
      <c r="O123" s="1193">
        <f ca="1">SUM(O124:R126)</f>
        <v>7331</v>
      </c>
      <c r="P123" s="1194"/>
      <c r="Q123" s="1194"/>
      <c r="R123" s="1195"/>
      <c r="S123" s="1193">
        <f ca="1">SUM(S124:V126)</f>
        <v>0</v>
      </c>
      <c r="T123" s="1194"/>
      <c r="U123" s="1194"/>
      <c r="V123" s="1194"/>
      <c r="W123" s="749">
        <f>W124+W125+W126</f>
        <v>0</v>
      </c>
      <c r="X123" s="749">
        <f>X124+X125+X126</f>
        <v>1086.5</v>
      </c>
      <c r="Y123" s="308"/>
      <c r="Z123" s="23"/>
      <c r="AA123" s="23"/>
    </row>
    <row r="124" spans="1:45">
      <c r="A124" s="1084" t="s">
        <v>28</v>
      </c>
      <c r="B124" s="1085"/>
      <c r="C124" s="1085"/>
      <c r="D124" s="1085"/>
      <c r="E124" s="1085"/>
      <c r="F124" s="1085"/>
      <c r="G124" s="1085"/>
      <c r="H124" s="1085"/>
      <c r="I124" s="1196"/>
      <c r="J124" s="1086"/>
      <c r="K124" s="1154">
        <f ca="1">SUMIF(J12:J110,"ES",K12:K90)</f>
        <v>11979.800000000001</v>
      </c>
      <c r="L124" s="1155"/>
      <c r="M124" s="1155"/>
      <c r="N124" s="1156"/>
      <c r="O124" s="1154">
        <f ca="1">SUMIF(J12:J110,"ES",O12:O90)</f>
        <v>6761.3</v>
      </c>
      <c r="P124" s="1155"/>
      <c r="Q124" s="1155"/>
      <c r="R124" s="1156"/>
      <c r="S124" s="1154">
        <f ca="1">SUMIF(J12:J110,"ES",S12:S90)</f>
        <v>0</v>
      </c>
      <c r="T124" s="1155"/>
      <c r="U124" s="1155"/>
      <c r="V124" s="1155"/>
      <c r="W124" s="747">
        <f>SUMIF(J12:J110,"ES",W12:W110)</f>
        <v>0</v>
      </c>
      <c r="X124" s="747">
        <f>SUMIF(J12:J110,"ES",X12:X110)</f>
        <v>998.4</v>
      </c>
      <c r="Y124" s="7"/>
    </row>
    <row r="125" spans="1:45">
      <c r="A125" s="1066" t="s">
        <v>29</v>
      </c>
      <c r="B125" s="1067"/>
      <c r="C125" s="1067"/>
      <c r="D125" s="1067"/>
      <c r="E125" s="1067"/>
      <c r="F125" s="1067"/>
      <c r="G125" s="1067"/>
      <c r="H125" s="1067"/>
      <c r="I125" s="1160"/>
      <c r="J125" s="1068"/>
      <c r="K125" s="1154">
        <f>SUMIF(J13:J110,"LRVB",K13:K110)</f>
        <v>125.5</v>
      </c>
      <c r="L125" s="1155"/>
      <c r="M125" s="1155"/>
      <c r="N125" s="1156"/>
      <c r="O125" s="1154">
        <f>SUMIF(J13:J110,"LRVB",O13:O110)</f>
        <v>164.8</v>
      </c>
      <c r="P125" s="1155"/>
      <c r="Q125" s="1155"/>
      <c r="R125" s="1156"/>
      <c r="S125" s="1154">
        <f>SUMIF(J13:J110,"LRVB",S13:S110)</f>
        <v>0</v>
      </c>
      <c r="T125" s="1155"/>
      <c r="U125" s="1155"/>
      <c r="V125" s="1155"/>
      <c r="W125" s="747">
        <f>SUMIF(J13:J110,"LRVB",W13:W110)</f>
        <v>0</v>
      </c>
      <c r="X125" s="747">
        <f>SUMIF(J13:J110,"LRVB",X13:X110)</f>
        <v>88.1</v>
      </c>
      <c r="Y125" s="7"/>
    </row>
    <row r="126" spans="1:45">
      <c r="A126" s="1066" t="s">
        <v>77</v>
      </c>
      <c r="B126" s="1067"/>
      <c r="C126" s="1067"/>
      <c r="D126" s="1067"/>
      <c r="E126" s="1067"/>
      <c r="F126" s="1067"/>
      <c r="G126" s="1067"/>
      <c r="H126" s="1067"/>
      <c r="I126" s="1160"/>
      <c r="J126" s="1068"/>
      <c r="K126" s="1154">
        <f>SUMIF(J12:J110,"Kt",K12:K110)</f>
        <v>473</v>
      </c>
      <c r="L126" s="1155"/>
      <c r="M126" s="1155"/>
      <c r="N126" s="1156"/>
      <c r="O126" s="1154">
        <f>SUMIF(J12:J110,"Kt",O12:O110)</f>
        <v>404.9</v>
      </c>
      <c r="P126" s="1155"/>
      <c r="Q126" s="1155"/>
      <c r="R126" s="1156"/>
      <c r="S126" s="1154">
        <f>SUMIF(J12:J110,"Kt",S12:S110)</f>
        <v>0</v>
      </c>
      <c r="T126" s="1155"/>
      <c r="U126" s="1155"/>
      <c r="V126" s="1155"/>
      <c r="W126" s="747">
        <f>SUMIF(J12:J110,"Kt",W12:W110)</f>
        <v>0</v>
      </c>
      <c r="X126" s="747">
        <f>SUMIF(J12:J110,"Kt",X12:X110)</f>
        <v>0</v>
      </c>
      <c r="Y126" s="7"/>
    </row>
    <row r="127" spans="1:45" ht="13.5" thickBot="1">
      <c r="A127" s="1081" t="s">
        <v>20</v>
      </c>
      <c r="B127" s="1082"/>
      <c r="C127" s="1082"/>
      <c r="D127" s="1082"/>
      <c r="E127" s="1082"/>
      <c r="F127" s="1082"/>
      <c r="G127" s="1082"/>
      <c r="H127" s="1082"/>
      <c r="I127" s="1082"/>
      <c r="J127" s="1083"/>
      <c r="K127" s="1190">
        <f ca="1">SUM(K115,K123)</f>
        <v>38850.5</v>
      </c>
      <c r="L127" s="1191"/>
      <c r="M127" s="1191"/>
      <c r="N127" s="1192"/>
      <c r="O127" s="1190">
        <f ca="1">SUM(O115,O123)</f>
        <v>29685.599999999999</v>
      </c>
      <c r="P127" s="1191"/>
      <c r="Q127" s="1191"/>
      <c r="R127" s="1192"/>
      <c r="S127" s="1190">
        <f ca="1">SUM(S115,S123)</f>
        <v>0</v>
      </c>
      <c r="T127" s="1191"/>
      <c r="U127" s="1191"/>
      <c r="V127" s="1191"/>
      <c r="W127" s="750">
        <f>W123+W115</f>
        <v>20252.2</v>
      </c>
      <c r="X127" s="750">
        <f ca="1">X123+X115</f>
        <v>21325.8</v>
      </c>
      <c r="Y127" s="63"/>
      <c r="Z127" s="2"/>
      <c r="AA127" s="2"/>
      <c r="AB127" s="26"/>
    </row>
    <row r="128" spans="1:45">
      <c r="N128" s="834" t="s">
        <v>160</v>
      </c>
      <c r="O128" s="1300">
        <f ca="1">O127/3.4528*1000</f>
        <v>8597544.0222428162</v>
      </c>
      <c r="P128" s="1301"/>
      <c r="Q128" s="835"/>
      <c r="R128" s="835"/>
      <c r="S128" s="835"/>
      <c r="T128" s="835"/>
      <c r="U128" s="835"/>
      <c r="V128" s="835"/>
      <c r="W128" s="835">
        <f>W127/3.4528*1000</f>
        <v>5865442.5393883232</v>
      </c>
      <c r="X128" s="835">
        <f ca="1">X127/3.4528*1000</f>
        <v>6176378.5912882295</v>
      </c>
    </row>
    <row r="129" spans="11:11">
      <c r="K129" s="177"/>
    </row>
  </sheetData>
  <mergeCells count="291">
    <mergeCell ref="A74:A75"/>
    <mergeCell ref="B74:B75"/>
    <mergeCell ref="C74:C75"/>
    <mergeCell ref="C36:J36"/>
    <mergeCell ref="B42:B43"/>
    <mergeCell ref="A38:A41"/>
    <mergeCell ref="O128:P128"/>
    <mergeCell ref="H33:H35"/>
    <mergeCell ref="I33:I35"/>
    <mergeCell ref="A80:A83"/>
    <mergeCell ref="B80:B83"/>
    <mergeCell ref="C80:C83"/>
    <mergeCell ref="D80:D83"/>
    <mergeCell ref="A78:A79"/>
    <mergeCell ref="B78:B79"/>
    <mergeCell ref="C78:C79"/>
    <mergeCell ref="E78:E79"/>
    <mergeCell ref="G78:G79"/>
    <mergeCell ref="H78:H79"/>
    <mergeCell ref="I78:I79"/>
    <mergeCell ref="C38:C41"/>
    <mergeCell ref="E38:E41"/>
    <mergeCell ref="F38:F41"/>
    <mergeCell ref="O125:R125"/>
    <mergeCell ref="A25:A27"/>
    <mergeCell ref="B25:B27"/>
    <mergeCell ref="C25:C27"/>
    <mergeCell ref="A28:A30"/>
    <mergeCell ref="A42:A43"/>
    <mergeCell ref="I28:I30"/>
    <mergeCell ref="C42:C43"/>
    <mergeCell ref="Y94:Y99"/>
    <mergeCell ref="A33:A35"/>
    <mergeCell ref="B33:B35"/>
    <mergeCell ref="C33:C35"/>
    <mergeCell ref="E33:E35"/>
    <mergeCell ref="F33:F35"/>
    <mergeCell ref="G33:G35"/>
    <mergeCell ref="E42:E43"/>
    <mergeCell ref="F42:F43"/>
    <mergeCell ref="G42:G43"/>
    <mergeCell ref="H42:H43"/>
    <mergeCell ref="I42:I43"/>
    <mergeCell ref="Y42:Y43"/>
    <mergeCell ref="B38:B41"/>
    <mergeCell ref="E25:E27"/>
    <mergeCell ref="G25:G27"/>
    <mergeCell ref="Y38:Y40"/>
    <mergeCell ref="A31:A32"/>
    <mergeCell ref="B31:B32"/>
    <mergeCell ref="C31:C32"/>
    <mergeCell ref="E31:E32"/>
    <mergeCell ref="F31:F32"/>
    <mergeCell ref="G31:G32"/>
    <mergeCell ref="H31:H32"/>
    <mergeCell ref="I31:I32"/>
    <mergeCell ref="Y31:Y32"/>
    <mergeCell ref="I15:I16"/>
    <mergeCell ref="Y14:Y15"/>
    <mergeCell ref="A18:A20"/>
    <mergeCell ref="B18:B20"/>
    <mergeCell ref="C18:C20"/>
    <mergeCell ref="F18:F20"/>
    <mergeCell ref="G18:G20"/>
    <mergeCell ref="H18:H20"/>
    <mergeCell ref="E18:E19"/>
    <mergeCell ref="L6:M6"/>
    <mergeCell ref="N6:N7"/>
    <mergeCell ref="Y5:AB5"/>
    <mergeCell ref="A8:AB8"/>
    <mergeCell ref="B23:B24"/>
    <mergeCell ref="C23:C24"/>
    <mergeCell ref="E23:E24"/>
    <mergeCell ref="F23:F24"/>
    <mergeCell ref="G23:G24"/>
    <mergeCell ref="H23:H24"/>
    <mergeCell ref="I23:I24"/>
    <mergeCell ref="Y23:Y24"/>
    <mergeCell ref="E20:E21"/>
    <mergeCell ref="Y20:Y21"/>
    <mergeCell ref="A23:A24"/>
    <mergeCell ref="I18:I20"/>
    <mergeCell ref="A9:AB9"/>
    <mergeCell ref="B10:AB10"/>
    <mergeCell ref="C11:AB11"/>
    <mergeCell ref="F12:F16"/>
    <mergeCell ref="G12:G16"/>
    <mergeCell ref="H12:H16"/>
    <mergeCell ref="I12:I13"/>
    <mergeCell ref="E15:E16"/>
    <mergeCell ref="O126:R126"/>
    <mergeCell ref="O127:R127"/>
    <mergeCell ref="S5:V5"/>
    <mergeCell ref="S6:S7"/>
    <mergeCell ref="T6:U6"/>
    <mergeCell ref="V6:V7"/>
    <mergeCell ref="S114:V114"/>
    <mergeCell ref="S115:V115"/>
    <mergeCell ref="S117:V117"/>
    <mergeCell ref="S118:V118"/>
    <mergeCell ref="S119:V119"/>
    <mergeCell ref="S120:V120"/>
    <mergeCell ref="S123:V123"/>
    <mergeCell ref="S124:V124"/>
    <mergeCell ref="S125:V125"/>
    <mergeCell ref="S126:V126"/>
    <mergeCell ref="S127:V127"/>
    <mergeCell ref="O117:R117"/>
    <mergeCell ref="O118:R118"/>
    <mergeCell ref="O123:R123"/>
    <mergeCell ref="O124:R124"/>
    <mergeCell ref="O114:R114"/>
    <mergeCell ref="O115:R115"/>
    <mergeCell ref="C37:AB37"/>
    <mergeCell ref="A1:AB1"/>
    <mergeCell ref="A2:AB2"/>
    <mergeCell ref="A3:AB3"/>
    <mergeCell ref="A5:A7"/>
    <mergeCell ref="B5:B7"/>
    <mergeCell ref="C5:C7"/>
    <mergeCell ref="D5:D7"/>
    <mergeCell ref="E5:E7"/>
    <mergeCell ref="F5:F7"/>
    <mergeCell ref="O5:R5"/>
    <mergeCell ref="O6:O7"/>
    <mergeCell ref="P6:Q6"/>
    <mergeCell ref="R6:R7"/>
    <mergeCell ref="W5:W7"/>
    <mergeCell ref="X5:X7"/>
    <mergeCell ref="G5:G7"/>
    <mergeCell ref="H5:H7"/>
    <mergeCell ref="I5:I7"/>
    <mergeCell ref="Y6:Y7"/>
    <mergeCell ref="Z4:AB4"/>
    <mergeCell ref="Z6:AB6"/>
    <mergeCell ref="J5:J7"/>
    <mergeCell ref="K5:N5"/>
    <mergeCell ref="K6:K7"/>
    <mergeCell ref="E49:E50"/>
    <mergeCell ref="G49:G50"/>
    <mergeCell ref="H49:H50"/>
    <mergeCell ref="F47:F52"/>
    <mergeCell ref="H25:H27"/>
    <mergeCell ref="I25:I27"/>
    <mergeCell ref="Y25:Y27"/>
    <mergeCell ref="F26:F27"/>
    <mergeCell ref="B28:B30"/>
    <mergeCell ref="C28:C30"/>
    <mergeCell ref="E28:E30"/>
    <mergeCell ref="F28:F30"/>
    <mergeCell ref="G28:G30"/>
    <mergeCell ref="H28:H30"/>
    <mergeCell ref="Y28:Y30"/>
    <mergeCell ref="Z31:Z32"/>
    <mergeCell ref="G38:G41"/>
    <mergeCell ref="Y65:Y66"/>
    <mergeCell ref="E74:E75"/>
    <mergeCell ref="Y74:Y75"/>
    <mergeCell ref="I74:I75"/>
    <mergeCell ref="E70:E73"/>
    <mergeCell ref="I70:I73"/>
    <mergeCell ref="Y71:Y72"/>
    <mergeCell ref="F66:F75"/>
    <mergeCell ref="Y33:Y35"/>
    <mergeCell ref="H38:H41"/>
    <mergeCell ref="I38:I41"/>
    <mergeCell ref="C44:J44"/>
    <mergeCell ref="Y44:AB44"/>
    <mergeCell ref="C45:AB45"/>
    <mergeCell ref="I47:I52"/>
    <mergeCell ref="E51:E52"/>
    <mergeCell ref="G51:G52"/>
    <mergeCell ref="H51:H52"/>
    <mergeCell ref="C51:C52"/>
    <mergeCell ref="D51:D52"/>
    <mergeCell ref="C49:C50"/>
    <mergeCell ref="D49:D50"/>
    <mergeCell ref="Y78:Y79"/>
    <mergeCell ref="I76:J76"/>
    <mergeCell ref="Y80:Y81"/>
    <mergeCell ref="Y82:Y83"/>
    <mergeCell ref="E80:E83"/>
    <mergeCell ref="G80:G83"/>
    <mergeCell ref="H80:H83"/>
    <mergeCell ref="I80:I82"/>
    <mergeCell ref="F78:F79"/>
    <mergeCell ref="D53:D55"/>
    <mergeCell ref="E53:E55"/>
    <mergeCell ref="F53:F55"/>
    <mergeCell ref="G53:G55"/>
    <mergeCell ref="H53:H55"/>
    <mergeCell ref="I53:I55"/>
    <mergeCell ref="I56:J56"/>
    <mergeCell ref="I63:J63"/>
    <mergeCell ref="E65:E69"/>
    <mergeCell ref="I65:I69"/>
    <mergeCell ref="D59:D60"/>
    <mergeCell ref="F59:F60"/>
    <mergeCell ref="I58:I61"/>
    <mergeCell ref="E58:E60"/>
    <mergeCell ref="I84:J84"/>
    <mergeCell ref="AB78:AB79"/>
    <mergeCell ref="Y85:AB85"/>
    <mergeCell ref="C86:AB86"/>
    <mergeCell ref="Y87:Y90"/>
    <mergeCell ref="F91:F93"/>
    <mergeCell ref="AB94:AB98"/>
    <mergeCell ref="A91:A93"/>
    <mergeCell ref="B91:B93"/>
    <mergeCell ref="C91:C93"/>
    <mergeCell ref="D91:D93"/>
    <mergeCell ref="E91:E93"/>
    <mergeCell ref="G91:G93"/>
    <mergeCell ref="H91:H93"/>
    <mergeCell ref="C85:J85"/>
    <mergeCell ref="E87:E90"/>
    <mergeCell ref="F87:F90"/>
    <mergeCell ref="G87:G90"/>
    <mergeCell ref="H87:H90"/>
    <mergeCell ref="I87:I90"/>
    <mergeCell ref="I92:I93"/>
    <mergeCell ref="Y91:Y93"/>
    <mergeCell ref="A94:A99"/>
    <mergeCell ref="B94:B99"/>
    <mergeCell ref="C94:C99"/>
    <mergeCell ref="E94:E99"/>
    <mergeCell ref="F94:F99"/>
    <mergeCell ref="G94:G99"/>
    <mergeCell ref="H94:H99"/>
    <mergeCell ref="I94:I99"/>
    <mergeCell ref="A127:J127"/>
    <mergeCell ref="K127:N127"/>
    <mergeCell ref="A120:J120"/>
    <mergeCell ref="K120:N120"/>
    <mergeCell ref="A123:J123"/>
    <mergeCell ref="K123:N123"/>
    <mergeCell ref="A124:J124"/>
    <mergeCell ref="K124:N124"/>
    <mergeCell ref="A121:J121"/>
    <mergeCell ref="K121:N121"/>
    <mergeCell ref="A112:J112"/>
    <mergeCell ref="A113:N113"/>
    <mergeCell ref="A114:J114"/>
    <mergeCell ref="K114:N114"/>
    <mergeCell ref="A115:J115"/>
    <mergeCell ref="K115:N115"/>
    <mergeCell ref="A125:J125"/>
    <mergeCell ref="K125:N125"/>
    <mergeCell ref="A126:J126"/>
    <mergeCell ref="K126:N126"/>
    <mergeCell ref="B109:J109"/>
    <mergeCell ref="Y109:AB109"/>
    <mergeCell ref="B110:J110"/>
    <mergeCell ref="Y110:AB110"/>
    <mergeCell ref="A111:AB111"/>
    <mergeCell ref="A100:A104"/>
    <mergeCell ref="B100:B104"/>
    <mergeCell ref="C100:C104"/>
    <mergeCell ref="D100:D104"/>
    <mergeCell ref="E100:E104"/>
    <mergeCell ref="F100:F104"/>
    <mergeCell ref="G100:G104"/>
    <mergeCell ref="H100:H104"/>
    <mergeCell ref="I100:I103"/>
    <mergeCell ref="Y101:Y103"/>
    <mergeCell ref="C108:J108"/>
    <mergeCell ref="Y108:AB108"/>
    <mergeCell ref="E105:E107"/>
    <mergeCell ref="F105:F107"/>
    <mergeCell ref="G105:G107"/>
    <mergeCell ref="H105:H107"/>
    <mergeCell ref="I105:I107"/>
    <mergeCell ref="Y105:Y107"/>
    <mergeCell ref="O121:R121"/>
    <mergeCell ref="S121:V121"/>
    <mergeCell ref="A122:J122"/>
    <mergeCell ref="K122:N122"/>
    <mergeCell ref="O122:R122"/>
    <mergeCell ref="S122:V122"/>
    <mergeCell ref="A116:J116"/>
    <mergeCell ref="K116:N116"/>
    <mergeCell ref="O116:R116"/>
    <mergeCell ref="S116:V116"/>
    <mergeCell ref="O119:R119"/>
    <mergeCell ref="O120:R120"/>
    <mergeCell ref="A119:J119"/>
    <mergeCell ref="K119:N119"/>
    <mergeCell ref="A117:J117"/>
    <mergeCell ref="K117:N117"/>
    <mergeCell ref="A118:J118"/>
    <mergeCell ref="K118:N118"/>
  </mergeCells>
  <printOptions horizontalCentered="1" verticalCentered="1"/>
  <pageMargins left="0" right="0" top="0.39370078740157483" bottom="0.11811023622047245" header="0" footer="0"/>
  <pageSetup paperSize="9" scale="75" orientation="landscape" r:id="rId1"/>
  <rowBreaks count="3" manualBreakCount="3">
    <brk id="41" max="27" man="1"/>
    <brk id="75" max="27" man="1"/>
    <brk id="111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5 programa</vt:lpstr>
      <vt:lpstr>Aiškinamoji lentele</vt:lpstr>
      <vt:lpstr>'5 programa'!Print_Area</vt:lpstr>
      <vt:lpstr>'Aiškinamoji lentele'!Print_Area</vt:lpstr>
      <vt:lpstr>'5 programa'!Print_Titles</vt:lpstr>
      <vt:lpstr>'Aiškinamoji lentele'!Print_Titles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2014-12-04T07:47:31Z</cp:lastPrinted>
  <dcterms:created xsi:type="dcterms:W3CDTF">2007-07-27T10:32:34Z</dcterms:created>
  <dcterms:modified xsi:type="dcterms:W3CDTF">2014-12-17T12:43:00Z</dcterms:modified>
</cp:coreProperties>
</file>