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1605" windowWidth="15480" windowHeight="9780" firstSheet="1" activeTab="1"/>
  </bookViews>
  <sheets>
    <sheet name="Lyginamasis variantas " sheetId="6" state="hidden" r:id="rId1"/>
    <sheet name="7 programa" sheetId="11" r:id="rId2"/>
    <sheet name="Aiškinamoji lentelė" sheetId="10" state="hidden" r:id="rId3"/>
    <sheet name="lyginamasis variantas" sheetId="9" state="hidden" r:id="rId4"/>
  </sheets>
  <definedNames>
    <definedName name="_xlnm.Print_Area" localSheetId="1">'7 programa'!$A$1:$N$149</definedName>
    <definedName name="_xlnm.Print_Area" localSheetId="2">'Aiškinamoji lentelė'!$A$1:$AB$187</definedName>
    <definedName name="_xlnm.Print_Area" localSheetId="0">'Lyginamasis variantas '!$A$1:$R$179</definedName>
    <definedName name="_xlnm.Print_Titles" localSheetId="1">'7 programa'!$5:$7</definedName>
    <definedName name="_xlnm.Print_Titles" localSheetId="2">'Aiškinamoji lentelė'!$5:$7</definedName>
    <definedName name="_xlnm.Print_Titles" localSheetId="0">'Lyginamasis variantas '!$6:$8</definedName>
  </definedNames>
  <calcPr calcId="145621"/>
</workbook>
</file>

<file path=xl/calcChain.xml><?xml version="1.0" encoding="utf-8"?>
<calcChain xmlns="http://schemas.openxmlformats.org/spreadsheetml/2006/main">
  <c r="H38" i="11" l="1"/>
  <c r="I38" i="11"/>
  <c r="J38" i="11"/>
  <c r="H39" i="11"/>
  <c r="I39" i="11"/>
  <c r="J39" i="11"/>
  <c r="H40" i="11"/>
  <c r="I40" i="11"/>
  <c r="J40" i="11"/>
  <c r="J13" i="11"/>
  <c r="I13" i="11"/>
  <c r="H13" i="11"/>
  <c r="H81" i="11" l="1"/>
  <c r="H80" i="11"/>
  <c r="H79" i="11"/>
  <c r="O94" i="10"/>
  <c r="O93" i="10"/>
  <c r="H82" i="11" l="1"/>
  <c r="P88" i="10"/>
  <c r="H74" i="11" l="1"/>
  <c r="O84" i="10"/>
  <c r="J93" i="11" l="1"/>
  <c r="I93" i="11"/>
  <c r="H93" i="11"/>
  <c r="H94" i="11" s="1"/>
  <c r="J50" i="11" l="1"/>
  <c r="J83" i="11"/>
  <c r="I66" i="11"/>
  <c r="I119" i="11"/>
  <c r="I121" i="11" s="1"/>
  <c r="I124" i="11"/>
  <c r="I130" i="11" s="1"/>
  <c r="I131" i="11" s="1"/>
  <c r="I97" i="11"/>
  <c r="W87" i="10" l="1"/>
  <c r="J66" i="11"/>
  <c r="J124" i="11" l="1"/>
  <c r="H124" i="11"/>
  <c r="J119" i="11"/>
  <c r="H119" i="11"/>
  <c r="H121" i="11" s="1"/>
  <c r="I117" i="11"/>
  <c r="I118" i="11" s="1"/>
  <c r="J117" i="11"/>
  <c r="J118" i="11" s="1"/>
  <c r="H117" i="11"/>
  <c r="H118" i="11" s="1"/>
  <c r="J112" i="11"/>
  <c r="I112" i="11"/>
  <c r="H112" i="11"/>
  <c r="H114" i="11" s="1"/>
  <c r="J97" i="11"/>
  <c r="H97" i="11"/>
  <c r="H91" i="11"/>
  <c r="H92" i="11" s="1"/>
  <c r="H84" i="11"/>
  <c r="I83" i="11"/>
  <c r="H83" i="11"/>
  <c r="J76" i="11"/>
  <c r="I76" i="11"/>
  <c r="I78" i="11" s="1"/>
  <c r="H76" i="11"/>
  <c r="H78" i="11" s="1"/>
  <c r="J73" i="11"/>
  <c r="I73" i="11"/>
  <c r="I75" i="11" s="1"/>
  <c r="H66" i="11"/>
  <c r="H75" i="11" s="1"/>
  <c r="J51" i="11"/>
  <c r="J65" i="11" s="1"/>
  <c r="I51" i="11"/>
  <c r="H51" i="11"/>
  <c r="I50" i="11"/>
  <c r="I65" i="11" s="1"/>
  <c r="H50" i="11"/>
  <c r="J49" i="11"/>
  <c r="I49" i="11"/>
  <c r="J36" i="11"/>
  <c r="I36" i="11"/>
  <c r="J35" i="11"/>
  <c r="I35" i="11"/>
  <c r="J34" i="11"/>
  <c r="I34" i="11"/>
  <c r="J33" i="11"/>
  <c r="H32" i="11"/>
  <c r="H31" i="11"/>
  <c r="I30" i="11"/>
  <c r="H29" i="11"/>
  <c r="I24" i="11"/>
  <c r="H24" i="11"/>
  <c r="H65" i="11" l="1"/>
  <c r="J37" i="11"/>
  <c r="I37" i="11"/>
  <c r="H90" i="11"/>
  <c r="H49" i="11"/>
  <c r="J75" i="11"/>
  <c r="I138" i="11"/>
  <c r="J138" i="11"/>
  <c r="H138" i="11"/>
  <c r="H37" i="11"/>
  <c r="I90" i="11"/>
  <c r="I109" i="11"/>
  <c r="I110" i="11" s="1"/>
  <c r="I148" i="11"/>
  <c r="I141" i="11"/>
  <c r="P141" i="10"/>
  <c r="R33" i="10"/>
  <c r="H95" i="11" l="1"/>
  <c r="O83" i="10"/>
  <c r="M83" i="11" l="1"/>
  <c r="N83" i="11"/>
  <c r="L83" i="11"/>
  <c r="AA96" i="10"/>
  <c r="AB96" i="10"/>
  <c r="Z96" i="10"/>
  <c r="O99" i="10"/>
  <c r="K99" i="10"/>
  <c r="K98" i="10"/>
  <c r="O98" i="10"/>
  <c r="W41" i="10" l="1"/>
  <c r="K35" i="10"/>
  <c r="O34" i="10"/>
  <c r="O33" i="10"/>
  <c r="K32" i="10"/>
  <c r="R41" i="10" l="1"/>
  <c r="P18" i="10" l="1"/>
  <c r="L87" i="10" l="1"/>
  <c r="M87" i="10"/>
  <c r="N87" i="10"/>
  <c r="Q87" i="10"/>
  <c r="R87" i="10"/>
  <c r="T87" i="10"/>
  <c r="U87" i="10"/>
  <c r="V87" i="10"/>
  <c r="X87" i="10"/>
  <c r="S86" i="10"/>
  <c r="O31" i="10" l="1"/>
  <c r="O180" i="10" s="1"/>
  <c r="O64" i="10" l="1"/>
  <c r="Q42" i="10" l="1"/>
  <c r="R42" i="10"/>
  <c r="T42" i="10"/>
  <c r="U42" i="10"/>
  <c r="V42" i="10"/>
  <c r="W42" i="10"/>
  <c r="X42" i="10"/>
  <c r="P81" i="10" l="1"/>
  <c r="P87" i="10" s="1"/>
  <c r="P49" i="10"/>
  <c r="P44" i="10"/>
  <c r="P42" i="10" l="1"/>
  <c r="P158" i="10"/>
  <c r="P157" i="10"/>
  <c r="P156" i="10"/>
  <c r="O58" i="10"/>
  <c r="P41" i="10"/>
  <c r="J90" i="11" l="1"/>
  <c r="L106" i="10"/>
  <c r="M106" i="10"/>
  <c r="N106" i="10"/>
  <c r="P106" i="10"/>
  <c r="Q106" i="10"/>
  <c r="R106" i="10"/>
  <c r="S106" i="10"/>
  <c r="T106" i="10"/>
  <c r="U106" i="10"/>
  <c r="V106" i="10"/>
  <c r="W106" i="10"/>
  <c r="X106" i="10"/>
  <c r="O133" i="10" l="1"/>
  <c r="X180" i="10" l="1"/>
  <c r="J142" i="11"/>
  <c r="J147" i="11" l="1"/>
  <c r="J139" i="11"/>
  <c r="J140" i="11"/>
  <c r="J141" i="11"/>
  <c r="H141" i="11"/>
  <c r="H145" i="11"/>
  <c r="H147" i="11"/>
  <c r="H148" i="11"/>
  <c r="H109" i="11"/>
  <c r="H110" i="11" s="1"/>
  <c r="J109" i="11"/>
  <c r="J110" i="11" s="1"/>
  <c r="H146" i="11"/>
  <c r="H143" i="11"/>
  <c r="H142" i="11"/>
  <c r="H140" i="11"/>
  <c r="H139" i="11"/>
  <c r="H130" i="11"/>
  <c r="H131" i="11" s="1"/>
  <c r="H115" i="11"/>
  <c r="H122" i="11" l="1"/>
  <c r="H132" i="11" s="1"/>
  <c r="H144" i="11"/>
  <c r="H137" i="11"/>
  <c r="J148" i="11"/>
  <c r="I147" i="11"/>
  <c r="J146" i="11"/>
  <c r="I146" i="11"/>
  <c r="J145" i="11"/>
  <c r="I145" i="11"/>
  <c r="I144" i="11" s="1"/>
  <c r="J143" i="11"/>
  <c r="I143" i="11"/>
  <c r="I142" i="11"/>
  <c r="I140" i="11"/>
  <c r="I139" i="11"/>
  <c r="J130" i="11"/>
  <c r="J131" i="11" s="1"/>
  <c r="J121" i="11"/>
  <c r="J114" i="11"/>
  <c r="J115" i="11" s="1"/>
  <c r="I114" i="11"/>
  <c r="I115" i="11" s="1"/>
  <c r="J94" i="11"/>
  <c r="I94" i="11"/>
  <c r="J92" i="11"/>
  <c r="I92" i="11"/>
  <c r="J82" i="11"/>
  <c r="I82" i="11"/>
  <c r="J137" i="11" l="1"/>
  <c r="I137" i="11"/>
  <c r="I149" i="11" s="1"/>
  <c r="H149" i="11"/>
  <c r="J144" i="11"/>
  <c r="J149" i="11" s="1"/>
  <c r="J122" i="11"/>
  <c r="J78" i="11"/>
  <c r="I122" i="11"/>
  <c r="I95" i="11"/>
  <c r="J95" i="11" l="1"/>
  <c r="J132" i="11" s="1"/>
  <c r="J133" i="11" s="1"/>
  <c r="H133" i="11"/>
  <c r="O106" i="10" l="1"/>
  <c r="M76" i="10"/>
  <c r="N76" i="10"/>
  <c r="P76" i="10"/>
  <c r="Q76" i="10"/>
  <c r="R76" i="10"/>
  <c r="T76" i="10"/>
  <c r="U76" i="10"/>
  <c r="V76" i="10"/>
  <c r="W76" i="10"/>
  <c r="X76" i="10"/>
  <c r="K163" i="10" l="1"/>
  <c r="K164" i="10" s="1"/>
  <c r="X164" i="10"/>
  <c r="W164" i="10"/>
  <c r="V164" i="10"/>
  <c r="U164" i="10"/>
  <c r="T164" i="10"/>
  <c r="R164" i="10"/>
  <c r="Q164" i="10"/>
  <c r="P164" i="10"/>
  <c r="O164" i="10"/>
  <c r="N164" i="10"/>
  <c r="M164" i="10"/>
  <c r="S162" i="10"/>
  <c r="S164" i="10" s="1"/>
  <c r="L164" i="10"/>
  <c r="L149" i="10" l="1"/>
  <c r="M149" i="10"/>
  <c r="N149" i="10"/>
  <c r="P149" i="10"/>
  <c r="Q149" i="10"/>
  <c r="R149" i="10"/>
  <c r="T149" i="10"/>
  <c r="U149" i="10"/>
  <c r="V149" i="10"/>
  <c r="W149" i="10"/>
  <c r="X149" i="10"/>
  <c r="K104" i="10" l="1"/>
  <c r="K103" i="10"/>
  <c r="K101" i="10"/>
  <c r="K106" i="10" l="1"/>
  <c r="O184" i="10"/>
  <c r="L62" i="10" l="1"/>
  <c r="K62" i="10" l="1"/>
  <c r="O157" i="10"/>
  <c r="O158" i="10"/>
  <c r="O159" i="10"/>
  <c r="O160" i="10"/>
  <c r="O156" i="10"/>
  <c r="V160" i="10"/>
  <c r="T160" i="10"/>
  <c r="S159" i="10"/>
  <c r="S158" i="10"/>
  <c r="S157" i="10"/>
  <c r="S156" i="10"/>
  <c r="L135" i="10"/>
  <c r="M135" i="10"/>
  <c r="N135" i="10"/>
  <c r="P135" i="10"/>
  <c r="Q135" i="10"/>
  <c r="R135" i="10"/>
  <c r="T135" i="10"/>
  <c r="U135" i="10"/>
  <c r="V135" i="10"/>
  <c r="W135" i="10"/>
  <c r="X135" i="10"/>
  <c r="S132" i="10" l="1"/>
  <c r="O132" i="10"/>
  <c r="S131" i="10"/>
  <c r="O131" i="10"/>
  <c r="S130" i="10"/>
  <c r="O130" i="10"/>
  <c r="S129" i="10"/>
  <c r="O129" i="10"/>
  <c r="K129" i="10"/>
  <c r="O124" i="10"/>
  <c r="O90" i="10" l="1"/>
  <c r="O89" i="10"/>
  <c r="O88" i="10"/>
  <c r="L91" i="10"/>
  <c r="M91" i="10"/>
  <c r="N91" i="10"/>
  <c r="P91" i="10"/>
  <c r="Q91" i="10"/>
  <c r="R91" i="10"/>
  <c r="T91" i="10"/>
  <c r="U91" i="10"/>
  <c r="V91" i="10"/>
  <c r="O91" i="10" l="1"/>
  <c r="S83" i="10" l="1"/>
  <c r="K83" i="10"/>
  <c r="S81" i="10" l="1"/>
  <c r="O81" i="10"/>
  <c r="S79" i="10"/>
  <c r="O79" i="10"/>
  <c r="L75" i="10" l="1"/>
  <c r="L76" i="10" s="1"/>
  <c r="S57" i="10"/>
  <c r="O57" i="10"/>
  <c r="K57" i="10"/>
  <c r="O67" i="10"/>
  <c r="O72" i="10"/>
  <c r="O73" i="10"/>
  <c r="O74" i="10"/>
  <c r="O68" i="10"/>
  <c r="K75" i="10" l="1"/>
  <c r="K67" i="10"/>
  <c r="K66" i="10"/>
  <c r="K65" i="10"/>
  <c r="K63" i="10"/>
  <c r="O62" i="10"/>
  <c r="O63" i="10"/>
  <c r="O65" i="10"/>
  <c r="O66" i="10"/>
  <c r="O61" i="10" l="1"/>
  <c r="X108" i="10" l="1"/>
  <c r="W108" i="10"/>
  <c r="V108" i="10"/>
  <c r="U108" i="10"/>
  <c r="T108" i="10"/>
  <c r="R108" i="10"/>
  <c r="Q108" i="10"/>
  <c r="P108" i="10"/>
  <c r="N108" i="10"/>
  <c r="M108" i="10"/>
  <c r="L108" i="10"/>
  <c r="S107" i="10"/>
  <c r="S108" i="10" s="1"/>
  <c r="O107" i="10"/>
  <c r="O108" i="10" s="1"/>
  <c r="K107" i="10"/>
  <c r="K108" i="10" s="1"/>
  <c r="S66" i="10"/>
  <c r="W180" i="10" l="1"/>
  <c r="W179" i="10"/>
  <c r="W178" i="10"/>
  <c r="W177" i="10"/>
  <c r="W161" i="10"/>
  <c r="L167" i="10" l="1"/>
  <c r="K165" i="10"/>
  <c r="K167" i="10" s="1"/>
  <c r="K160" i="10"/>
  <c r="L159" i="10"/>
  <c r="K159" i="10" s="1"/>
  <c r="K158" i="10"/>
  <c r="K157" i="10"/>
  <c r="K156" i="10"/>
  <c r="K155" i="10"/>
  <c r="K148" i="10"/>
  <c r="K147" i="10"/>
  <c r="K149" i="10" l="1"/>
  <c r="K161" i="10"/>
  <c r="K168" i="10" s="1"/>
  <c r="K142" i="10"/>
  <c r="K141" i="10"/>
  <c r="L138" i="10"/>
  <c r="M138" i="10"/>
  <c r="N138" i="10"/>
  <c r="K137" i="10"/>
  <c r="K136" i="10"/>
  <c r="K134" i="10"/>
  <c r="K127" i="10"/>
  <c r="K125" i="10"/>
  <c r="K124" i="10"/>
  <c r="K122" i="10"/>
  <c r="K121" i="10"/>
  <c r="S123" i="10"/>
  <c r="O123" i="10"/>
  <c r="K123" i="10"/>
  <c r="S122" i="10"/>
  <c r="O122" i="10"/>
  <c r="S121" i="10"/>
  <c r="O121" i="10"/>
  <c r="Q139" i="10" l="1"/>
  <c r="X139" i="10"/>
  <c r="W139" i="10"/>
  <c r="K138" i="10"/>
  <c r="U139" i="10"/>
  <c r="T139" i="10"/>
  <c r="P139" i="10"/>
  <c r="X110" i="10" l="1"/>
  <c r="W110" i="10"/>
  <c r="V110" i="10"/>
  <c r="U110" i="10"/>
  <c r="T110" i="10"/>
  <c r="R110" i="10"/>
  <c r="Q110" i="10"/>
  <c r="P110" i="10"/>
  <c r="N110" i="10"/>
  <c r="M110" i="10"/>
  <c r="L110" i="10"/>
  <c r="S109" i="10"/>
  <c r="S110" i="10" s="1"/>
  <c r="O109" i="10"/>
  <c r="O110" i="10" s="1"/>
  <c r="K109" i="10"/>
  <c r="K110" i="10" s="1"/>
  <c r="X116" i="10"/>
  <c r="W116" i="10"/>
  <c r="N116" i="10"/>
  <c r="M116" i="10"/>
  <c r="K115" i="10"/>
  <c r="K114" i="10"/>
  <c r="K113" i="10"/>
  <c r="K112" i="10"/>
  <c r="L111" i="10"/>
  <c r="L116" i="10" s="1"/>
  <c r="K94" i="10"/>
  <c r="K93" i="10"/>
  <c r="K92" i="10"/>
  <c r="K84" i="10"/>
  <c r="K82" i="10"/>
  <c r="K81" i="10"/>
  <c r="K80" i="10"/>
  <c r="K79" i="10"/>
  <c r="K95" i="10" l="1"/>
  <c r="K111" i="10"/>
  <c r="K116" i="10" s="1"/>
  <c r="K61" i="10" l="1"/>
  <c r="K60" i="10"/>
  <c r="K59" i="10"/>
  <c r="K52" i="10"/>
  <c r="K180" i="10" s="1"/>
  <c r="K49" i="10"/>
  <c r="K48" i="10"/>
  <c r="K47" i="10"/>
  <c r="K45" i="10"/>
  <c r="K44" i="10"/>
  <c r="K76" i="10" l="1"/>
  <c r="K53" i="10"/>
  <c r="L53" i="10"/>
  <c r="M53" i="10"/>
  <c r="N53" i="10"/>
  <c r="P53" i="10"/>
  <c r="Q53" i="10"/>
  <c r="R53" i="10"/>
  <c r="T53" i="10"/>
  <c r="U53" i="10"/>
  <c r="V53" i="10"/>
  <c r="W53" i="10"/>
  <c r="X53" i="10"/>
  <c r="L41" i="10"/>
  <c r="M41" i="10"/>
  <c r="N41" i="10"/>
  <c r="Q41" i="10"/>
  <c r="T41" i="10"/>
  <c r="U41" i="10"/>
  <c r="V41" i="10"/>
  <c r="X41" i="10"/>
  <c r="X186" i="10" l="1"/>
  <c r="W186" i="10"/>
  <c r="X185" i="10"/>
  <c r="W185" i="10"/>
  <c r="X184" i="10"/>
  <c r="W184" i="10"/>
  <c r="S184" i="10"/>
  <c r="K184" i="10"/>
  <c r="X183" i="10"/>
  <c r="W183" i="10"/>
  <c r="X181" i="10"/>
  <c r="W181" i="10"/>
  <c r="X178" i="10"/>
  <c r="X177" i="10"/>
  <c r="X167" i="10"/>
  <c r="W167" i="10"/>
  <c r="W168" i="10" s="1"/>
  <c r="V167" i="10"/>
  <c r="T167" i="10"/>
  <c r="R167" i="10"/>
  <c r="P167" i="10"/>
  <c r="S165" i="10"/>
  <c r="S167" i="10" s="1"/>
  <c r="O165" i="10"/>
  <c r="X161" i="10"/>
  <c r="X168" i="10" s="1"/>
  <c r="V161" i="10"/>
  <c r="U161" i="10"/>
  <c r="U168" i="10" s="1"/>
  <c r="R161" i="10"/>
  <c r="R168" i="10" s="1"/>
  <c r="Q161" i="10"/>
  <c r="Q168" i="10" s="1"/>
  <c r="P161" i="10"/>
  <c r="P168" i="10" s="1"/>
  <c r="N161" i="10"/>
  <c r="N168" i="10" s="1"/>
  <c r="M161" i="10"/>
  <c r="M168" i="10" s="1"/>
  <c r="L161" i="10"/>
  <c r="L168" i="10" s="1"/>
  <c r="S155" i="10"/>
  <c r="S160" i="10" s="1"/>
  <c r="O155" i="10"/>
  <c r="O161" i="10" s="1"/>
  <c r="X152" i="10"/>
  <c r="X153" i="10" s="1"/>
  <c r="W152" i="10"/>
  <c r="W153" i="10" s="1"/>
  <c r="V152" i="10"/>
  <c r="V153" i="10" s="1"/>
  <c r="U152" i="10"/>
  <c r="U153" i="10" s="1"/>
  <c r="T152" i="10"/>
  <c r="T153" i="10" s="1"/>
  <c r="R152" i="10"/>
  <c r="R153" i="10" s="1"/>
  <c r="Q152" i="10"/>
  <c r="Q153" i="10" s="1"/>
  <c r="P152" i="10"/>
  <c r="P153" i="10" s="1"/>
  <c r="N152" i="10"/>
  <c r="N153" i="10" s="1"/>
  <c r="M152" i="10"/>
  <c r="M153" i="10" s="1"/>
  <c r="L152" i="10"/>
  <c r="L153" i="10" s="1"/>
  <c r="S150" i="10"/>
  <c r="S152" i="10" s="1"/>
  <c r="O150" i="10"/>
  <c r="O152" i="10" s="1"/>
  <c r="K150" i="10"/>
  <c r="K152" i="10" s="1"/>
  <c r="K153" i="10" s="1"/>
  <c r="S147" i="10"/>
  <c r="S149" i="10" s="1"/>
  <c r="O147" i="10"/>
  <c r="O149" i="10" s="1"/>
  <c r="S178" i="10"/>
  <c r="O178" i="10"/>
  <c r="K178" i="10"/>
  <c r="X144" i="10"/>
  <c r="X145" i="10" s="1"/>
  <c r="W144" i="10"/>
  <c r="W145" i="10" s="1"/>
  <c r="V144" i="10"/>
  <c r="V145" i="10" s="1"/>
  <c r="U144" i="10"/>
  <c r="U145" i="10" s="1"/>
  <c r="T144" i="10"/>
  <c r="T145" i="10" s="1"/>
  <c r="R144" i="10"/>
  <c r="R145" i="10" s="1"/>
  <c r="Q144" i="10"/>
  <c r="Q145" i="10" s="1"/>
  <c r="N144" i="10"/>
  <c r="N145" i="10" s="1"/>
  <c r="M144" i="10"/>
  <c r="M145" i="10" s="1"/>
  <c r="L144" i="10"/>
  <c r="L145" i="10" s="1"/>
  <c r="S143" i="10"/>
  <c r="K143" i="10"/>
  <c r="S142" i="10"/>
  <c r="O142" i="10"/>
  <c r="S141" i="10"/>
  <c r="P144" i="10"/>
  <c r="P145" i="10" s="1"/>
  <c r="V139" i="10"/>
  <c r="R139" i="10"/>
  <c r="N139" i="10"/>
  <c r="M139" i="10"/>
  <c r="L139" i="10"/>
  <c r="S128" i="10"/>
  <c r="O128" i="10"/>
  <c r="K128" i="10"/>
  <c r="S126" i="10"/>
  <c r="O126" i="10"/>
  <c r="K126" i="10"/>
  <c r="S125" i="10"/>
  <c r="O125" i="10"/>
  <c r="S119" i="10"/>
  <c r="O119" i="10"/>
  <c r="K119" i="10"/>
  <c r="X95" i="10"/>
  <c r="W95" i="10"/>
  <c r="V95" i="10"/>
  <c r="U95" i="10"/>
  <c r="T95" i="10"/>
  <c r="R95" i="10"/>
  <c r="Q95" i="10"/>
  <c r="P95" i="10"/>
  <c r="N95" i="10"/>
  <c r="M95" i="10"/>
  <c r="L95" i="10"/>
  <c r="S94" i="10"/>
  <c r="S93" i="10"/>
  <c r="S92" i="10"/>
  <c r="O92" i="10"/>
  <c r="S90" i="10"/>
  <c r="K90" i="10"/>
  <c r="X88" i="10"/>
  <c r="X91" i="10" s="1"/>
  <c r="W88" i="10"/>
  <c r="W91" i="10" s="1"/>
  <c r="S88" i="10"/>
  <c r="K88" i="10"/>
  <c r="K85" i="10"/>
  <c r="K87" i="10" s="1"/>
  <c r="S82" i="10"/>
  <c r="O82" i="10"/>
  <c r="S80" i="10"/>
  <c r="O80" i="10"/>
  <c r="S65" i="10"/>
  <c r="S63" i="10"/>
  <c r="S62" i="10"/>
  <c r="S61" i="10"/>
  <c r="S60" i="10"/>
  <c r="O60" i="10"/>
  <c r="S59" i="10"/>
  <c r="O59" i="10"/>
  <c r="S52" i="10"/>
  <c r="S180" i="10" s="1"/>
  <c r="O52" i="10"/>
  <c r="S49" i="10"/>
  <c r="O49" i="10"/>
  <c r="S48" i="10"/>
  <c r="O48" i="10"/>
  <c r="O177" i="10" s="1"/>
  <c r="S47" i="10"/>
  <c r="O47" i="10"/>
  <c r="S45" i="10"/>
  <c r="O45" i="10"/>
  <c r="S44" i="10"/>
  <c r="S42" i="10" s="1"/>
  <c r="O44" i="10"/>
  <c r="K39" i="10"/>
  <c r="S26" i="10"/>
  <c r="O26" i="10"/>
  <c r="K26" i="10"/>
  <c r="O19" i="10"/>
  <c r="K19" i="10"/>
  <c r="K179" i="10" s="1"/>
  <c r="S18" i="10"/>
  <c r="O18" i="10"/>
  <c r="K18" i="10"/>
  <c r="S16" i="10"/>
  <c r="S15" i="10"/>
  <c r="O15" i="10"/>
  <c r="K15" i="10"/>
  <c r="S14" i="10"/>
  <c r="O14" i="10"/>
  <c r="K14" i="10"/>
  <c r="O87" i="10" l="1"/>
  <c r="V168" i="10"/>
  <c r="O41" i="10"/>
  <c r="O76" i="10"/>
  <c r="S87" i="10"/>
  <c r="O53" i="10"/>
  <c r="O42" i="10"/>
  <c r="O135" i="10"/>
  <c r="S153" i="10"/>
  <c r="S76" i="10"/>
  <c r="O153" i="10"/>
  <c r="K135" i="10"/>
  <c r="K139" i="10" s="1"/>
  <c r="K41" i="10"/>
  <c r="O179" i="10"/>
  <c r="S135" i="10"/>
  <c r="S91" i="10"/>
  <c r="K91" i="10"/>
  <c r="O167" i="10"/>
  <c r="O168" i="10" s="1"/>
  <c r="S185" i="10"/>
  <c r="W182" i="10"/>
  <c r="S53" i="10"/>
  <c r="K185" i="10"/>
  <c r="X182" i="10"/>
  <c r="S181" i="10"/>
  <c r="O185" i="10"/>
  <c r="S179" i="10"/>
  <c r="S41" i="10"/>
  <c r="W176" i="10"/>
  <c r="W175" i="10" s="1"/>
  <c r="W187" i="10" s="1"/>
  <c r="W188" i="10" s="1"/>
  <c r="O186" i="10"/>
  <c r="K181" i="10"/>
  <c r="S186" i="10"/>
  <c r="O181" i="10"/>
  <c r="T117" i="10"/>
  <c r="K144" i="10"/>
  <c r="K145" i="10" s="1"/>
  <c r="K177" i="10"/>
  <c r="O141" i="10"/>
  <c r="O144" i="10" s="1"/>
  <c r="O145" i="10" s="1"/>
  <c r="V117" i="10"/>
  <c r="K176" i="10"/>
  <c r="S183" i="10"/>
  <c r="R117" i="10"/>
  <c r="W117" i="10"/>
  <c r="K186" i="10"/>
  <c r="N117" i="10"/>
  <c r="X117" i="10"/>
  <c r="S144" i="10"/>
  <c r="S145" i="10" s="1"/>
  <c r="S161" i="10"/>
  <c r="S168" i="10" s="1"/>
  <c r="T161" i="10"/>
  <c r="T168" i="10" s="1"/>
  <c r="P117" i="10"/>
  <c r="S176" i="10"/>
  <c r="S177" i="10"/>
  <c r="O183" i="10"/>
  <c r="S95" i="10"/>
  <c r="L117" i="10"/>
  <c r="U117" i="10"/>
  <c r="X176" i="10"/>
  <c r="Q117" i="10"/>
  <c r="K183" i="10"/>
  <c r="O95" i="10"/>
  <c r="M117" i="10"/>
  <c r="K175" i="10" l="1"/>
  <c r="O117" i="10"/>
  <c r="O176" i="10"/>
  <c r="O175" i="10" s="1"/>
  <c r="S139" i="10"/>
  <c r="O139" i="10"/>
  <c r="K117" i="10"/>
  <c r="K169" i="10" s="1"/>
  <c r="O182" i="10"/>
  <c r="N169" i="10"/>
  <c r="N170" i="10" s="1"/>
  <c r="W169" i="10"/>
  <c r="W170" i="10" s="1"/>
  <c r="S182" i="10"/>
  <c r="V169" i="10"/>
  <c r="V170" i="10" s="1"/>
  <c r="S117" i="10"/>
  <c r="M169" i="10"/>
  <c r="M170" i="10" s="1"/>
  <c r="P169" i="10"/>
  <c r="P170" i="10" s="1"/>
  <c r="R169" i="10"/>
  <c r="R170" i="10" s="1"/>
  <c r="K182" i="10"/>
  <c r="X169" i="10"/>
  <c r="X170" i="10" s="1"/>
  <c r="U169" i="10"/>
  <c r="U170" i="10" s="1"/>
  <c r="L169" i="10"/>
  <c r="L170" i="10" s="1"/>
  <c r="Q169" i="10"/>
  <c r="Q170" i="10" s="1"/>
  <c r="S175" i="10"/>
  <c r="O187" i="10" l="1"/>
  <c r="P188" i="10" s="1"/>
  <c r="T169" i="10"/>
  <c r="T170" i="10" s="1"/>
  <c r="K187" i="10"/>
  <c r="S187" i="10"/>
  <c r="O169" i="10"/>
  <c r="O170" i="10" s="1"/>
  <c r="S169" i="10"/>
  <c r="S170" i="10" s="1"/>
  <c r="K170" i="10" l="1"/>
  <c r="X179" i="10" s="1"/>
  <c r="X175" i="10" l="1"/>
  <c r="X187" i="10" s="1"/>
  <c r="X188" i="10" s="1"/>
  <c r="I179" i="9"/>
  <c r="N176" i="9"/>
  <c r="M176" i="9"/>
  <c r="L176" i="9"/>
  <c r="J176" i="9"/>
  <c r="I174" i="9"/>
  <c r="I176" i="9" s="1"/>
  <c r="N173" i="9"/>
  <c r="N177" i="9" s="1"/>
  <c r="M173" i="9"/>
  <c r="M177" i="9" s="1"/>
  <c r="L173" i="9"/>
  <c r="L177" i="9" s="1"/>
  <c r="K173" i="9"/>
  <c r="K177" i="9" s="1"/>
  <c r="J173" i="9"/>
  <c r="J177" i="9" s="1"/>
  <c r="I171" i="9"/>
  <c r="I173" i="9" s="1"/>
  <c r="N170" i="9"/>
  <c r="M170" i="9"/>
  <c r="L170" i="9"/>
  <c r="K170" i="9"/>
  <c r="J170" i="9"/>
  <c r="I164" i="9"/>
  <c r="I170" i="9" s="1"/>
  <c r="K162" i="9"/>
  <c r="N161" i="9"/>
  <c r="N162" i="9" s="1"/>
  <c r="M161" i="9"/>
  <c r="L161" i="9"/>
  <c r="K161" i="9"/>
  <c r="J161" i="9"/>
  <c r="J162" i="9" s="1"/>
  <c r="I159" i="9"/>
  <c r="I161" i="9" s="1"/>
  <c r="N158" i="9"/>
  <c r="K158" i="9"/>
  <c r="I156" i="9"/>
  <c r="N149" i="9"/>
  <c r="M149" i="9"/>
  <c r="L149" i="9"/>
  <c r="I149" i="9" s="1"/>
  <c r="J149" i="9"/>
  <c r="I148" i="9"/>
  <c r="N147" i="9"/>
  <c r="N150" i="9" s="1"/>
  <c r="M147" i="9"/>
  <c r="M150" i="9" s="1"/>
  <c r="L147" i="9"/>
  <c r="L150" i="9" s="1"/>
  <c r="K147" i="9"/>
  <c r="K150" i="9" s="1"/>
  <c r="J147" i="9"/>
  <c r="J150" i="9" s="1"/>
  <c r="I147" i="9"/>
  <c r="I146" i="9"/>
  <c r="I145" i="9"/>
  <c r="N144" i="9"/>
  <c r="M144" i="9"/>
  <c r="L144" i="9"/>
  <c r="K144" i="9"/>
  <c r="J144" i="9"/>
  <c r="I143" i="9"/>
  <c r="I144" i="9" s="1"/>
  <c r="I142" i="9"/>
  <c r="N141" i="9"/>
  <c r="M141" i="9"/>
  <c r="L141" i="9"/>
  <c r="K141" i="9"/>
  <c r="J141" i="9"/>
  <c r="I140" i="9"/>
  <c r="I139" i="9"/>
  <c r="I138" i="9"/>
  <c r="I141" i="9" s="1"/>
  <c r="N135" i="9"/>
  <c r="M135" i="9"/>
  <c r="L135" i="9"/>
  <c r="K135" i="9"/>
  <c r="J135" i="9"/>
  <c r="I134" i="9"/>
  <c r="I133" i="9"/>
  <c r="I135" i="9" s="1"/>
  <c r="N132" i="9"/>
  <c r="M132" i="9"/>
  <c r="L132" i="9"/>
  <c r="K132" i="9"/>
  <c r="J132" i="9"/>
  <c r="I131" i="9"/>
  <c r="I132" i="9" s="1"/>
  <c r="I130" i="9"/>
  <c r="N129" i="9"/>
  <c r="N136" i="9" s="1"/>
  <c r="M129" i="9"/>
  <c r="M136" i="9" s="1"/>
  <c r="L129" i="9"/>
  <c r="L136" i="9" s="1"/>
  <c r="K129" i="9"/>
  <c r="K136" i="9" s="1"/>
  <c r="J129" i="9"/>
  <c r="J136" i="9" s="1"/>
  <c r="I128" i="9"/>
  <c r="I127" i="9"/>
  <c r="I129" i="9" s="1"/>
  <c r="N126" i="9"/>
  <c r="M126" i="9"/>
  <c r="L126" i="9"/>
  <c r="K126" i="9"/>
  <c r="J126" i="9"/>
  <c r="I125" i="9"/>
  <c r="I124" i="9"/>
  <c r="I126" i="9" s="1"/>
  <c r="N123" i="9"/>
  <c r="M123" i="9"/>
  <c r="L123" i="9"/>
  <c r="K123" i="9"/>
  <c r="J123" i="9"/>
  <c r="I119" i="9"/>
  <c r="I123" i="9" s="1"/>
  <c r="N118" i="9"/>
  <c r="M118" i="9"/>
  <c r="L118" i="9"/>
  <c r="K118" i="9"/>
  <c r="J118" i="9"/>
  <c r="I116" i="9"/>
  <c r="I118" i="9" s="1"/>
  <c r="N115" i="9"/>
  <c r="M115" i="9"/>
  <c r="L115" i="9"/>
  <c r="K115" i="9"/>
  <c r="J115" i="9"/>
  <c r="I114" i="9"/>
  <c r="I113" i="9"/>
  <c r="I112" i="9"/>
  <c r="I115" i="9" s="1"/>
  <c r="N109" i="9"/>
  <c r="M109" i="9"/>
  <c r="L109" i="9"/>
  <c r="L110" i="9" s="1"/>
  <c r="K109" i="9"/>
  <c r="K110" i="9" s="1"/>
  <c r="J109" i="9"/>
  <c r="I97" i="9"/>
  <c r="I109" i="9" s="1"/>
  <c r="P95" i="9"/>
  <c r="I95" i="9"/>
  <c r="N94" i="9"/>
  <c r="M94" i="9"/>
  <c r="L94" i="9"/>
  <c r="K94" i="9"/>
  <c r="J94" i="9"/>
  <c r="I93" i="9"/>
  <c r="I92" i="9"/>
  <c r="I91" i="9"/>
  <c r="I94" i="9" s="1"/>
  <c r="N90" i="9"/>
  <c r="M90" i="9"/>
  <c r="L90" i="9"/>
  <c r="K90" i="9"/>
  <c r="J90" i="9"/>
  <c r="I90" i="9"/>
  <c r="I88" i="9"/>
  <c r="N87" i="9"/>
  <c r="M87" i="9"/>
  <c r="L87" i="9"/>
  <c r="K87" i="9"/>
  <c r="I85" i="9"/>
  <c r="I84" i="9"/>
  <c r="I83" i="9"/>
  <c r="J82" i="9"/>
  <c r="J87" i="9" s="1"/>
  <c r="I82" i="9"/>
  <c r="I87" i="9" s="1"/>
  <c r="L81" i="9"/>
  <c r="K81" i="9"/>
  <c r="J81" i="9"/>
  <c r="I80" i="9"/>
  <c r="I79" i="9"/>
  <c r="R78" i="9"/>
  <c r="Q78" i="9"/>
  <c r="P78" i="9"/>
  <c r="N78" i="9"/>
  <c r="N81" i="9" s="1"/>
  <c r="M78" i="9"/>
  <c r="M81" i="9" s="1"/>
  <c r="I78" i="9"/>
  <c r="I81" i="9" s="1"/>
  <c r="N77" i="9"/>
  <c r="M77" i="9"/>
  <c r="L77" i="9"/>
  <c r="K77" i="9"/>
  <c r="J77" i="9"/>
  <c r="I73" i="9"/>
  <c r="L62" i="9"/>
  <c r="K62" i="9"/>
  <c r="I62" i="9"/>
  <c r="I77" i="9" s="1"/>
  <c r="N61" i="9"/>
  <c r="M61" i="9"/>
  <c r="K61" i="9"/>
  <c r="L46" i="9"/>
  <c r="I46" i="9" s="1"/>
  <c r="L45" i="9"/>
  <c r="L61" i="9" s="1"/>
  <c r="J45" i="9"/>
  <c r="I45" i="9" s="1"/>
  <c r="I61" i="9" s="1"/>
  <c r="L44" i="9"/>
  <c r="K44" i="9"/>
  <c r="J44" i="9"/>
  <c r="I43" i="9"/>
  <c r="I42" i="9"/>
  <c r="I44" i="9" s="1"/>
  <c r="I34" i="9"/>
  <c r="N33" i="9"/>
  <c r="N44" i="9" s="1"/>
  <c r="M33" i="9"/>
  <c r="M44" i="9" s="1"/>
  <c r="I33" i="9"/>
  <c r="N32" i="9"/>
  <c r="M32" i="9"/>
  <c r="K32" i="9"/>
  <c r="I30" i="9"/>
  <c r="I28" i="9"/>
  <c r="L13" i="9"/>
  <c r="L32" i="9" s="1"/>
  <c r="J13" i="9"/>
  <c r="I13" i="9" s="1"/>
  <c r="N110" i="9" l="1"/>
  <c r="N178" i="9" s="1"/>
  <c r="N179" i="9" s="1"/>
  <c r="I136" i="9"/>
  <c r="K178" i="9"/>
  <c r="K179" i="9" s="1"/>
  <c r="I177" i="9"/>
  <c r="I150" i="9"/>
  <c r="M110" i="9"/>
  <c r="J61" i="9"/>
  <c r="I30" i="6" l="1"/>
  <c r="J44" i="6" l="1"/>
  <c r="I43" i="6" l="1"/>
  <c r="M32" i="6" l="1"/>
  <c r="I95" i="6"/>
  <c r="J45" i="6" l="1"/>
  <c r="L45" i="6"/>
  <c r="J13" i="6"/>
  <c r="L13" i="6"/>
  <c r="P95" i="6" l="1"/>
  <c r="J77" i="6"/>
  <c r="I73" i="6"/>
  <c r="I28" i="6"/>
  <c r="J82" i="6" l="1"/>
  <c r="J109" i="6"/>
  <c r="K109" i="6"/>
  <c r="L109" i="6"/>
  <c r="I97" i="6"/>
  <c r="K158" i="6" l="1"/>
  <c r="N158" i="6"/>
  <c r="I13" i="6"/>
  <c r="M109" i="6"/>
  <c r="N109" i="6"/>
  <c r="I109" i="6"/>
  <c r="N77" i="6"/>
  <c r="M77" i="6"/>
  <c r="I62" i="6"/>
  <c r="I77" i="6" s="1"/>
  <c r="K62" i="6"/>
  <c r="L62" i="6"/>
  <c r="J61" i="6"/>
  <c r="K61" i="6"/>
  <c r="M61" i="6"/>
  <c r="N61" i="6"/>
  <c r="L46" i="6"/>
  <c r="I46" i="6" s="1"/>
  <c r="I45" i="6"/>
  <c r="K44" i="6"/>
  <c r="L44" i="6"/>
  <c r="I34" i="6"/>
  <c r="I42" i="6"/>
  <c r="N33" i="6"/>
  <c r="N44" i="6" s="1"/>
  <c r="M33" i="6"/>
  <c r="M44" i="6" s="1"/>
  <c r="I33" i="6"/>
  <c r="N32" i="6"/>
  <c r="K32" i="6"/>
  <c r="L32" i="6"/>
  <c r="I44" i="6" l="1"/>
  <c r="I61" i="6"/>
  <c r="L61" i="6"/>
  <c r="N176" i="6"/>
  <c r="M176" i="6"/>
  <c r="L176" i="6"/>
  <c r="J176" i="6"/>
  <c r="I174" i="6"/>
  <c r="I176" i="6" s="1"/>
  <c r="N173" i="6"/>
  <c r="M173" i="6"/>
  <c r="L173" i="6"/>
  <c r="K173" i="6"/>
  <c r="J173" i="6"/>
  <c r="I171" i="6"/>
  <c r="I173" i="6" s="1"/>
  <c r="N170" i="6"/>
  <c r="M170" i="6"/>
  <c r="L170" i="6"/>
  <c r="K170" i="6"/>
  <c r="J170" i="6"/>
  <c r="I164" i="6"/>
  <c r="N161" i="6"/>
  <c r="N162" i="6" s="1"/>
  <c r="M161" i="6"/>
  <c r="L161" i="6"/>
  <c r="K161" i="6"/>
  <c r="K162" i="6" s="1"/>
  <c r="J161" i="6"/>
  <c r="J162" i="6" s="1"/>
  <c r="I159" i="6"/>
  <c r="I161" i="6" s="1"/>
  <c r="I156" i="6"/>
  <c r="N149" i="6"/>
  <c r="M149" i="6"/>
  <c r="L149" i="6"/>
  <c r="J149" i="6"/>
  <c r="I148" i="6"/>
  <c r="N147" i="6"/>
  <c r="M147" i="6"/>
  <c r="L147" i="6"/>
  <c r="K147" i="6"/>
  <c r="J147" i="6"/>
  <c r="I146" i="6"/>
  <c r="I145" i="6"/>
  <c r="N144" i="6"/>
  <c r="M144" i="6"/>
  <c r="M150" i="6" s="1"/>
  <c r="L144" i="6"/>
  <c r="K144" i="6"/>
  <c r="J144" i="6"/>
  <c r="I143" i="6"/>
  <c r="I142" i="6"/>
  <c r="N141" i="6"/>
  <c r="M141" i="6"/>
  <c r="L141" i="6"/>
  <c r="K141" i="6"/>
  <c r="J141" i="6"/>
  <c r="I140" i="6"/>
  <c r="I139" i="6"/>
  <c r="I138" i="6"/>
  <c r="N135" i="6"/>
  <c r="M135" i="6"/>
  <c r="L135" i="6"/>
  <c r="K135" i="6"/>
  <c r="J135" i="6"/>
  <c r="I134" i="6"/>
  <c r="I133" i="6"/>
  <c r="N132" i="6"/>
  <c r="M132" i="6"/>
  <c r="L132" i="6"/>
  <c r="K132" i="6"/>
  <c r="J132" i="6"/>
  <c r="I131" i="6"/>
  <c r="I130" i="6"/>
  <c r="N129" i="6"/>
  <c r="M129" i="6"/>
  <c r="L129" i="6"/>
  <c r="K129" i="6"/>
  <c r="J129" i="6"/>
  <c r="I128" i="6"/>
  <c r="I127" i="6"/>
  <c r="N126" i="6"/>
  <c r="M126" i="6"/>
  <c r="L126" i="6"/>
  <c r="K126" i="6"/>
  <c r="J126" i="6"/>
  <c r="I125" i="6"/>
  <c r="I124" i="6"/>
  <c r="N123" i="6"/>
  <c r="M123" i="6"/>
  <c r="L123" i="6"/>
  <c r="K123" i="6"/>
  <c r="J123" i="6"/>
  <c r="I119" i="6"/>
  <c r="N118" i="6"/>
  <c r="M118" i="6"/>
  <c r="L118" i="6"/>
  <c r="K118" i="6"/>
  <c r="J118" i="6"/>
  <c r="I116" i="6"/>
  <c r="N115" i="6"/>
  <c r="M115" i="6"/>
  <c r="L115" i="6"/>
  <c r="K115" i="6"/>
  <c r="J115" i="6"/>
  <c r="I114" i="6"/>
  <c r="I113" i="6"/>
  <c r="I112" i="6"/>
  <c r="N94" i="6"/>
  <c r="M94" i="6"/>
  <c r="L94" i="6"/>
  <c r="K94" i="6"/>
  <c r="J94" i="6"/>
  <c r="I93" i="6"/>
  <c r="I92" i="6"/>
  <c r="I91" i="6"/>
  <c r="N90" i="6"/>
  <c r="M90" i="6"/>
  <c r="L90" i="6"/>
  <c r="K90" i="6"/>
  <c r="J90" i="6"/>
  <c r="I88" i="6"/>
  <c r="N87" i="6"/>
  <c r="M87" i="6"/>
  <c r="L87" i="6"/>
  <c r="K87" i="6"/>
  <c r="J87" i="6"/>
  <c r="I85" i="6"/>
  <c r="I84" i="6"/>
  <c r="I83" i="6"/>
  <c r="I82" i="6"/>
  <c r="L81" i="6"/>
  <c r="K81" i="6"/>
  <c r="J81" i="6"/>
  <c r="I80" i="6"/>
  <c r="I79" i="6"/>
  <c r="R78" i="6"/>
  <c r="Q78" i="6"/>
  <c r="P78" i="6"/>
  <c r="N78" i="6"/>
  <c r="M78" i="6"/>
  <c r="I78" i="6"/>
  <c r="L77" i="6"/>
  <c r="K77" i="6"/>
  <c r="I87" i="6" l="1"/>
  <c r="J136" i="6"/>
  <c r="M81" i="6"/>
  <c r="M110" i="6" s="1"/>
  <c r="L110" i="6"/>
  <c r="K110" i="6"/>
  <c r="I81" i="6"/>
  <c r="I132" i="6"/>
  <c r="I118" i="6"/>
  <c r="I147" i="6"/>
  <c r="I90" i="6"/>
  <c r="I115" i="6"/>
  <c r="M136" i="6"/>
  <c r="J150" i="6"/>
  <c r="N150" i="6"/>
  <c r="L150" i="6"/>
  <c r="N177" i="6"/>
  <c r="I94" i="6"/>
  <c r="N136" i="6"/>
  <c r="K177" i="6"/>
  <c r="I126" i="6"/>
  <c r="I141" i="6"/>
  <c r="I144" i="6"/>
  <c r="K150" i="6"/>
  <c r="M177" i="6"/>
  <c r="I123" i="6"/>
  <c r="I129" i="6"/>
  <c r="L136" i="6"/>
  <c r="L177" i="6"/>
  <c r="N81" i="6"/>
  <c r="N110" i="6" s="1"/>
  <c r="I135" i="6"/>
  <c r="I149" i="6"/>
  <c r="I170" i="6"/>
  <c r="I177" i="6" s="1"/>
  <c r="K136" i="6"/>
  <c r="J177" i="6"/>
  <c r="I136" i="6" l="1"/>
  <c r="N178" i="6"/>
  <c r="N179" i="6" s="1"/>
  <c r="K178" i="6"/>
  <c r="K179" i="6" s="1"/>
  <c r="I150" i="6"/>
  <c r="I179" i="6" l="1"/>
  <c r="I132" i="11"/>
  <c r="I133" i="11" s="1"/>
</calcChain>
</file>

<file path=xl/comments1.xml><?xml version="1.0" encoding="utf-8"?>
<comments xmlns="http://schemas.openxmlformats.org/spreadsheetml/2006/main">
  <authors>
    <author>Audra Cepiene</author>
  </authors>
  <commentList>
    <comment ref="E100" author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</commentList>
</comments>
</file>

<file path=xl/comments2.xml><?xml version="1.0" encoding="utf-8"?>
<comments xmlns="http://schemas.openxmlformats.org/spreadsheetml/2006/main">
  <authors>
    <author>Audra Cepiene</author>
    <author>Indre Buteniene</author>
  </authors>
  <commentList>
    <comment ref="E14" authorId="0">
      <text>
        <r>
          <rPr>
            <b/>
            <sz val="9"/>
            <color indexed="81"/>
            <rFont val="Tahoma"/>
            <family val="2"/>
            <charset val="186"/>
          </rPr>
          <t>KSP 2.4.2.4.</t>
        </r>
        <r>
          <rPr>
            <sz val="9"/>
            <color indexed="81"/>
            <rFont val="Tahoma"/>
            <family val="2"/>
            <charset val="186"/>
          </rPr>
          <t xml:space="preserve">
Atnaujinti miesto centre esančius fontanus įrengiant šviesos instaliacijas ar kt. efektus 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 xml:space="preserve">Eksplotuojami  fontanai: "Taravos Anikė" ir "Laivelis" Meridiano skvere. Nuo 2016 m. - Debreceno aikštės fontanas.
</t>
        </r>
      </text>
    </comment>
    <comment ref="E27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2.4.2.5. KSP priemonė: </t>
        </r>
        <r>
          <rPr>
            <sz val="9"/>
            <color indexed="81"/>
            <rFont val="Tahoma"/>
            <family val="2"/>
            <charset val="186"/>
          </rPr>
          <t>Atnaujinti gyvenamųjų kvartalų centrines aikštes ir kitas viešąsias erdves</t>
        </r>
      </text>
    </comment>
    <comment ref="E30" authorId="0">
      <text>
        <r>
          <rPr>
            <b/>
            <sz val="9"/>
            <color indexed="81"/>
            <rFont val="Tahoma"/>
            <family val="2"/>
            <charset val="186"/>
          </rPr>
          <t>KSP priemonė: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  <comment ref="E32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2.4.2.5. KSP priemonė: </t>
        </r>
        <r>
          <rPr>
            <sz val="9"/>
            <color indexed="81"/>
            <rFont val="Tahoma"/>
            <family val="2"/>
            <charset val="186"/>
          </rPr>
          <t xml:space="preserve">Atnaujinti gyvenamųjų kvartalų centrines aikštes ir kitas viešąsias erdves
</t>
        </r>
      </text>
    </comment>
    <comment ref="J33" authorId="1">
      <text>
        <r>
          <rPr>
            <sz val="9"/>
            <color indexed="81"/>
            <rFont val="Tahoma"/>
            <family val="2"/>
            <charset val="186"/>
          </rPr>
          <t>Iš viso projekto vertė 500 tūkst. lt</t>
        </r>
      </text>
    </comment>
    <comment ref="E34" authorId="0">
      <text>
        <r>
          <rPr>
            <b/>
            <sz val="9"/>
            <color indexed="81"/>
            <rFont val="Tahoma"/>
            <family val="2"/>
            <charset val="186"/>
          </rPr>
          <t>2.4.2.6 KSP priemonė:</t>
        </r>
        <r>
          <rPr>
            <sz val="9"/>
            <color indexed="81"/>
            <rFont val="Tahoma"/>
            <family val="2"/>
            <charset val="186"/>
          </rPr>
          <t xml:space="preserve">
Atnaujinti Atgimimo aikštės teritoriją</t>
        </r>
      </text>
    </comment>
    <comment ref="G40" authorId="0">
      <text>
        <r>
          <rPr>
            <sz val="9"/>
            <color indexed="81"/>
            <rFont val="Tahoma"/>
            <family val="2"/>
            <charset val="186"/>
          </rPr>
          <t xml:space="preserve">Rinkliavos lėšos už šunų ir kačių laikymą
</t>
        </r>
      </text>
    </comment>
    <comment ref="K46" authorId="0">
      <text>
        <r>
          <rPr>
            <sz val="9"/>
            <color indexed="81"/>
            <rFont val="Tahoma"/>
            <family val="2"/>
            <charset val="186"/>
          </rPr>
          <t xml:space="preserve">Šunys, katės ir kt. gyvūnai (šeškai, paukščiai, laukiniai gyvūnai (ruoniai, šernai ir kt.)
</t>
        </r>
      </text>
    </comment>
    <comment ref="K47" authorId="0">
      <text>
        <r>
          <rPr>
            <sz val="9"/>
            <color indexed="81"/>
            <rFont val="Tahoma"/>
            <family val="2"/>
            <charset val="186"/>
          </rPr>
          <t xml:space="preserve">Pagal teisės aktus sugautus ar priimtus iš gyventojų sveikus gyvūnus (šunis ir kates) laiko </t>
        </r>
        <r>
          <rPr>
            <b/>
            <sz val="9"/>
            <color indexed="81"/>
            <rFont val="Tahoma"/>
            <family val="2"/>
            <charset val="186"/>
          </rPr>
          <t>3 paras</t>
        </r>
        <r>
          <rPr>
            <sz val="9"/>
            <color indexed="81"/>
            <rFont val="Tahoma"/>
            <family val="2"/>
            <charset val="186"/>
          </rPr>
          <t xml:space="preserve">;
užtikrina gyvūnų gaudymo, surinkimo ir karantinavimo tarnyboje laikomų gyvūnų </t>
        </r>
        <r>
          <rPr>
            <b/>
            <sz val="9"/>
            <color indexed="81"/>
            <rFont val="Tahoma"/>
            <family val="2"/>
            <charset val="186"/>
          </rPr>
          <t>šėrimą,</t>
        </r>
        <r>
          <rPr>
            <sz val="9"/>
            <color indexed="81"/>
            <rFont val="Tahoma"/>
            <family val="2"/>
            <charset val="186"/>
          </rPr>
          <t xml:space="preserve"> laikymo ar karantinavimo laikotarpiu,</t>
        </r>
        <r>
          <rPr>
            <b/>
            <sz val="9"/>
            <color indexed="81"/>
            <rFont val="Tahoma"/>
            <family val="2"/>
            <charset val="186"/>
          </rPr>
          <t xml:space="preserve"> jiems pritaikytu ėdalu</t>
        </r>
      </text>
    </comment>
    <comment ref="E50" authorId="0">
      <text>
        <r>
          <rPr>
            <sz val="9"/>
            <color indexed="81"/>
            <rFont val="Tahoma"/>
            <family val="2"/>
            <charset val="186"/>
          </rPr>
          <t>2.4.2.8
Diegti aukšto lygio paslaugų ir infrastruktūros parametrus miesto paplūdimiuose ir kitose poilsio zonose</t>
        </r>
      </text>
    </comment>
    <comment ref="K54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Viešieji tualetai Stovyklų g. 4 –21,79 m2
Viešieji tualetai I Melnragė Kopų g. 1A – 87,25 m2
;</t>
        </r>
      </text>
    </comment>
    <comment ref="E66" authorId="0">
      <text>
        <r>
          <rPr>
            <b/>
            <sz val="9"/>
            <color indexed="81"/>
            <rFont val="Tahoma"/>
            <family val="2"/>
            <charset val="186"/>
          </rPr>
          <t>KSP 2.3.2.5</t>
        </r>
        <r>
          <rPr>
            <sz val="9"/>
            <color indexed="81"/>
            <rFont val="Tahoma"/>
            <family val="2"/>
            <charset val="186"/>
          </rPr>
          <t xml:space="preserve">
Gerinti Klaipėdos miesto viešųjų erdvių apšvietimo efektyvumą ir kokybę</t>
        </r>
      </text>
    </comment>
    <comment ref="E73" authorId="0">
      <text>
        <r>
          <rPr>
            <b/>
            <sz val="9"/>
            <color indexed="81"/>
            <rFont val="Tahoma"/>
            <family val="2"/>
            <charset val="186"/>
          </rPr>
          <t>KSP 2.3.2.1</t>
        </r>
        <r>
          <rPr>
            <sz val="9"/>
            <color indexed="81"/>
            <rFont val="Tahoma"/>
            <family val="2"/>
            <charset val="186"/>
          </rPr>
          <t xml:space="preserve">
Parengti ir įgyvendinti atsinaujinančių energijos šaltinių panaudojimo plėtros planą</t>
        </r>
      </text>
    </comment>
    <comment ref="E79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2.4.1.2. KSP </t>
        </r>
        <r>
          <rPr>
            <sz val="9"/>
            <color indexed="81"/>
            <rFont val="Tahoma"/>
            <family val="2"/>
            <charset val="186"/>
          </rPr>
          <t>Sutvarkyti ir pritaikyti visuomenės arba rekreaciniams poreikiams Danės upės slėnio ir žiočių teritorijas; Danės upę pritaikyti laivybai, rekonstruoti Danės upės krantines nuo Biržos tilto iki Mokyklos gatvės tilto: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85" authorId="0">
      <text>
        <r>
          <rPr>
            <sz val="9"/>
            <color indexed="81"/>
            <rFont val="Tahoma"/>
            <family val="2"/>
            <charset val="186"/>
          </rPr>
          <t xml:space="preserve">1.6.3.3 . Pertvarkyti futbolo mokyklos ir baseino pastatus (taikant modernias technologijas ir atsinaujinančius energijos šaltinius), įkuriant sporto paslaugų kompleksą, skirtą įvairioms amžiaus grupėms
 </t>
        </r>
      </text>
    </comment>
    <comment ref="E86" author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</commentList>
</comments>
</file>

<file path=xl/comments3.xml><?xml version="1.0" encoding="utf-8"?>
<comments xmlns="http://schemas.openxmlformats.org/spreadsheetml/2006/main">
  <authors>
    <author>Audra Cepiene</author>
    <author>Indre Buteniene</author>
  </authors>
  <commentList>
    <comment ref="Y15" authorId="0">
      <text>
        <r>
          <rPr>
            <sz val="9"/>
            <color indexed="81"/>
            <rFont val="Tahoma"/>
            <family val="2"/>
            <charset val="186"/>
          </rPr>
          <t xml:space="preserve">Eksplotuojami  fontanai: "Taravos Anikė" ir "Laivelis" Meridiano skvere. Nuo 2016 m. - Debreceno aikštės fontanas.
</t>
        </r>
      </text>
    </comment>
    <comment ref="P18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perkeltos šiukšlinės į5 pr. 37,3 tūkst.Lt (50 vnt.)</t>
        </r>
      </text>
    </comment>
    <comment ref="Y20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Informacinės kolonos prie Biržos tilto, Turizmo informacinių stendų remontas, Paplūdimių inform. sisitemos objektų remontas.</t>
        </r>
      </text>
    </comment>
    <comment ref="Y22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Įsigyta suoliukų ir šiukšliadėžių autobusų stotelėse ir miesto parkuose</t>
        </r>
      </text>
    </comment>
    <comment ref="Y25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8 tūkst. Lt 2 vnt. ženklų</t>
        </r>
      </text>
    </comment>
    <comment ref="Y27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50 tūkst. lt</t>
        </r>
      </text>
    </comment>
    <comment ref="E32" authorId="0">
      <text>
        <r>
          <rPr>
            <sz val="9"/>
            <color indexed="81"/>
            <rFont val="Tahoma"/>
            <family val="2"/>
            <charset val="186"/>
          </rPr>
          <t xml:space="preserve">2013-10-22 SPG protokolas STR3-19
</t>
        </r>
      </text>
    </comment>
    <comment ref="F32" authorId="0">
      <text>
        <r>
          <rPr>
            <b/>
            <sz val="9"/>
            <color indexed="81"/>
            <rFont val="Tahoma"/>
            <family val="2"/>
            <charset val="186"/>
          </rPr>
          <t>KSP priemonė: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  <comment ref="R3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paskaičiuoto projekto vertė - 118,2 tūkst. Lt Lėšos formuotos/perkeltos iš 010301 priemonės "Daugiabučių kiemų". Pagal MŪD protokolą siūlo skirti 70 tūskt. Lt.</t>
        </r>
      </text>
    </comment>
    <comment ref="F34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2.4.2.5. KSP priemonė: </t>
        </r>
        <r>
          <rPr>
            <sz val="9"/>
            <color indexed="81"/>
            <rFont val="Tahoma"/>
            <family val="2"/>
            <charset val="186"/>
          </rPr>
          <t xml:space="preserve">Atnaujinti gyvenamųjų kvartalų centrines aikštes ir kitas viešąsias erdves
</t>
        </r>
      </text>
    </comment>
    <comment ref="R34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pagal MŪD protokolą</t>
        </r>
      </text>
    </comment>
    <comment ref="X35" authorId="1">
      <text>
        <r>
          <rPr>
            <sz val="9"/>
            <color indexed="81"/>
            <rFont val="Tahoma"/>
            <family val="2"/>
            <charset val="186"/>
          </rPr>
          <t>Iš viso projekto vertė 500 tūkst. lt</t>
        </r>
      </text>
    </comment>
    <comment ref="F36" authorId="0">
      <text>
        <r>
          <rPr>
            <b/>
            <sz val="9"/>
            <color indexed="81"/>
            <rFont val="Tahoma"/>
            <family val="2"/>
            <charset val="186"/>
          </rPr>
          <t>2.4.2.6 KSP priemonė:</t>
        </r>
        <r>
          <rPr>
            <sz val="9"/>
            <color indexed="81"/>
            <rFont val="Tahoma"/>
            <family val="2"/>
            <charset val="186"/>
          </rPr>
          <t xml:space="preserve">
Atnaujinti Atgimimo aikštės teritoriją</t>
        </r>
      </text>
    </comment>
    <comment ref="P44" authorId="0">
      <text>
        <r>
          <rPr>
            <sz val="9"/>
            <color indexed="81"/>
            <rFont val="Tahoma"/>
            <family val="2"/>
            <charset val="186"/>
          </rPr>
          <t>Sumažinta 400 tūkst. Lt
2014 m. lygis 6753,0 tūkst. Lt</t>
        </r>
      </text>
    </comment>
    <comment ref="Y45" authorId="0">
      <text>
        <r>
          <rPr>
            <b/>
            <sz val="9"/>
            <color indexed="81"/>
            <rFont val="Tahoma"/>
            <family val="2"/>
            <charset val="186"/>
          </rPr>
          <t>Priemonė. Želdynų ir želdinių apsaugos, tvarkymo ir kūrimo valdymas savivaldybėse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49" authorId="0">
      <text>
        <r>
          <rPr>
            <sz val="9"/>
            <color indexed="81"/>
            <rFont val="Tahoma"/>
            <family val="2"/>
            <charset val="186"/>
          </rPr>
          <t xml:space="preserve">Sutarties objektas – </t>
        </r>
        <r>
          <rPr>
            <b/>
            <sz val="9"/>
            <color indexed="81"/>
            <rFont val="Tahoma"/>
            <family val="2"/>
            <charset val="186"/>
          </rPr>
          <t>gyvūnų gaudymo, surinkimo, priežiūros, karantinavimo, eutanazijos ir utilizavimo paslauga</t>
        </r>
      </text>
    </comment>
    <comment ref="Y49" authorId="0">
      <text>
        <r>
          <rPr>
            <sz val="9"/>
            <color indexed="81"/>
            <rFont val="Tahoma"/>
            <family val="2"/>
            <charset val="186"/>
          </rPr>
          <t xml:space="preserve">Šunys, katės ir kt. gyvūnai (šeškai, paukščiai, laukiniai gyvūnai (ruoniai, šernai ir kt.)
</t>
        </r>
      </text>
    </comment>
    <comment ref="Y50" authorId="0">
      <text>
        <r>
          <rPr>
            <sz val="9"/>
            <color indexed="81"/>
            <rFont val="Tahoma"/>
            <family val="2"/>
            <charset val="186"/>
          </rPr>
          <t xml:space="preserve">Pagal teisės aktus sugautus ar priimtus iš gyventojų sveikus gyvūnus (šunis ir kates) laiko </t>
        </r>
        <r>
          <rPr>
            <b/>
            <sz val="9"/>
            <color indexed="81"/>
            <rFont val="Tahoma"/>
            <family val="2"/>
            <charset val="186"/>
          </rPr>
          <t>3 paras</t>
        </r>
        <r>
          <rPr>
            <sz val="9"/>
            <color indexed="81"/>
            <rFont val="Tahoma"/>
            <family val="2"/>
            <charset val="186"/>
          </rPr>
          <t xml:space="preserve">;
užtikrina gyvūnų gaudymo, surinkimo ir karantinavimo tarnyboje laikomų gyvūnų </t>
        </r>
        <r>
          <rPr>
            <b/>
            <sz val="9"/>
            <color indexed="81"/>
            <rFont val="Tahoma"/>
            <family val="2"/>
            <charset val="186"/>
          </rPr>
          <t>šėrimą,</t>
        </r>
        <r>
          <rPr>
            <sz val="9"/>
            <color indexed="81"/>
            <rFont val="Tahoma"/>
            <family val="2"/>
            <charset val="186"/>
          </rPr>
          <t xml:space="preserve"> laikymo ar karantinavimo laikotarpiu,</t>
        </r>
        <r>
          <rPr>
            <b/>
            <sz val="9"/>
            <color indexed="81"/>
            <rFont val="Tahoma"/>
            <family val="2"/>
            <charset val="186"/>
          </rPr>
          <t xml:space="preserve"> jiems pritaikytu ėdalu</t>
        </r>
      </text>
    </comment>
    <comment ref="J52" authorId="0">
      <text>
        <r>
          <rPr>
            <sz val="9"/>
            <color indexed="81"/>
            <rFont val="Tahoma"/>
            <family val="2"/>
            <charset val="186"/>
          </rPr>
          <t xml:space="preserve">Rinkliavos lėšos už šunų ir kačių laikymą
</t>
        </r>
      </text>
    </comment>
    <comment ref="F54" authorId="0">
      <text>
        <r>
          <rPr>
            <sz val="9"/>
            <color indexed="81"/>
            <rFont val="Tahoma"/>
            <family val="2"/>
            <charset val="186"/>
          </rPr>
          <t>2.4.2.8
Diegti aukšto lygio paslaugų ir infrastruktūros parametrus miesto paplūdimiuose ir kitose poilsio zonose</t>
        </r>
      </text>
    </comment>
    <comment ref="Y59" authorId="0">
      <text>
        <r>
          <rPr>
            <sz val="9"/>
            <color indexed="81"/>
            <rFont val="Tahoma"/>
            <family val="2"/>
            <charset val="186"/>
          </rPr>
          <t>Viešieji tualetai: Stovyklų g. 4 –21,79 m2; Kopų g. 1A (I Melnragė) – 87,25 m2;</t>
        </r>
      </text>
    </comment>
    <comment ref="Y64" authorId="0">
      <text>
        <r>
          <rPr>
            <sz val="9"/>
            <color indexed="81"/>
            <rFont val="Tahoma"/>
            <family val="2"/>
            <charset val="186"/>
          </rPr>
          <t>Administraciniai ir gamybiniai pastatai Gluosnių g. 8 – 305,72 m2; Viešieji tualetai Stovyklų g. 4 –21,79 m2; Gelbėjimo stotis Smiltynės 15 c – 104,75 m2; Gelbėjimo stotis II Melnragė – 76,38 m2; Administracinės patalpos Garažų g. 6 – 299,99 m2; Viešieji tualetai I Melnragė Kopų g. 1A – 87,25 m2</t>
        </r>
      </text>
    </comment>
    <comment ref="O65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sumažinta 36,2 tūkst.Lt</t>
        </r>
      </text>
    </comment>
    <comment ref="O71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perkelta  2016 m.</t>
        </r>
      </text>
    </comment>
    <comment ref="F77" authorId="0">
      <text>
        <r>
          <rPr>
            <b/>
            <sz val="9"/>
            <color indexed="81"/>
            <rFont val="Tahoma"/>
            <family val="2"/>
            <charset val="186"/>
          </rPr>
          <t>KSP 2.3.2.5</t>
        </r>
        <r>
          <rPr>
            <sz val="9"/>
            <color indexed="81"/>
            <rFont val="Tahoma"/>
            <family val="2"/>
            <charset val="186"/>
          </rPr>
          <t xml:space="preserve">
Gerinti Klaipėdos miesto viešųjų erdvių apšvietimo efektyvumą ir kokybę</t>
        </r>
      </text>
    </comment>
    <comment ref="P81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sumažinta 200 tūkst. lt.
2014 m. lygis - 2524,3 tūkst. Lt</t>
        </r>
      </text>
    </comment>
    <comment ref="E8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nauja</t>
        </r>
      </text>
    </comment>
    <comment ref="E84" authorId="0">
      <text>
        <r>
          <rPr>
            <sz val="9"/>
            <color indexed="81"/>
            <rFont val="Tahoma"/>
            <family val="2"/>
            <charset val="186"/>
          </rPr>
          <t xml:space="preserve">pagal 2013-10-22 SPG protokolą STR3-19
</t>
        </r>
      </text>
    </comment>
    <comment ref="F86" authorId="0">
      <text>
        <r>
          <rPr>
            <b/>
            <sz val="9"/>
            <color indexed="81"/>
            <rFont val="Tahoma"/>
            <family val="2"/>
            <charset val="186"/>
          </rPr>
          <t>KSP 2.3.2.1</t>
        </r>
        <r>
          <rPr>
            <sz val="9"/>
            <color indexed="81"/>
            <rFont val="Tahoma"/>
            <family val="2"/>
            <charset val="186"/>
          </rPr>
          <t xml:space="preserve">
Parengti ir įgyvendinti atsinaujinančių energijos šaltinių panaudojimo plėtros planą</t>
        </r>
      </text>
    </comment>
    <comment ref="Y89" authorId="0">
      <text>
        <r>
          <rPr>
            <sz val="9"/>
            <color indexed="81"/>
            <rFont val="Tahoma"/>
            <family val="2"/>
            <charset val="186"/>
          </rPr>
          <t>duomenų apdorojimas ir dominančių įvykių paieška</t>
        </r>
      </text>
    </comment>
    <comment ref="F92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2.4.1.2. KSP </t>
        </r>
        <r>
          <rPr>
            <sz val="9"/>
            <color indexed="81"/>
            <rFont val="Tahoma"/>
            <family val="2"/>
            <charset val="186"/>
          </rPr>
          <t>Sutvarkyti ir pritaikyti visuomenės arba rekreaciniams poreikiams Danės upės slėnio ir žiočių teritorijas; Danės upę pritaikyti laivybai, rekonstruoti Danės upės krantines nuo Biržos tilto iki Mokyklos gatvės tilto: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98" authorId="0">
      <text>
        <r>
          <rPr>
            <sz val="9"/>
            <color indexed="81"/>
            <rFont val="Tahoma"/>
            <family val="2"/>
            <charset val="186"/>
          </rPr>
          <t>1.6.3.3 . Pertvarkyti futbolo mokyklos ir baseino pastatus (taikant modernias technologijas ir atsinaujinančius energijos šaltinius), įkuriant sporto paslaugų kompleksą, skirtą įvairioms amžiaus grupėms</t>
        </r>
        <r>
          <rPr>
            <b/>
            <sz val="9"/>
            <color indexed="81"/>
            <rFont val="Tahoma"/>
            <family val="2"/>
            <charset val="186"/>
          </rPr>
          <t xml:space="preserve">
 </t>
        </r>
      </text>
    </comment>
    <comment ref="F100" author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  <comment ref="E130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naujos</t>
        </r>
      </text>
    </comment>
    <comment ref="P141" authorId="0">
      <text>
        <r>
          <rPr>
            <sz val="9"/>
            <color indexed="81"/>
            <rFont val="Tahoma"/>
            <family val="2"/>
            <charset val="186"/>
          </rPr>
          <t xml:space="preserve">102,7 nulinis laidas, -48,2 trūkstama suma keliama į Karlskronos aikštę (118,2 tūkst.Lt)
</t>
        </r>
      </text>
    </comment>
    <comment ref="E162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nauja priemonė įtraukta 2014-11 sprendimu</t>
        </r>
      </text>
    </comment>
    <comment ref="K16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SB perskirstyti</t>
        </r>
      </text>
    </comment>
    <comment ref="K170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pirminis strateg. Įsakymas  37682,8 tūkst. lt, pirminis strateg. sprendimas 34965,8 tūkst. Lt (be SB(L)</t>
        </r>
      </text>
    </comment>
    <comment ref="K17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pirminis biudžetas 30997,5 tūkst. Lt</t>
        </r>
      </text>
    </comment>
    <comment ref="K179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pirminiame strateg. nėra</t>
        </r>
      </text>
    </comment>
  </commentList>
</comments>
</file>

<file path=xl/comments4.xml><?xml version="1.0" encoding="utf-8"?>
<comments xmlns="http://schemas.openxmlformats.org/spreadsheetml/2006/main">
  <authors>
    <author>Audra Cepiene</author>
  </authors>
  <commentList>
    <comment ref="E100" author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</commentList>
</comments>
</file>

<file path=xl/sharedStrings.xml><?xml version="1.0" encoding="utf-8"?>
<sst xmlns="http://schemas.openxmlformats.org/spreadsheetml/2006/main" count="1861" uniqueCount="398">
  <si>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</si>
  <si>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</si>
  <si>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</si>
  <si>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</si>
  <si>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</si>
  <si>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</si>
  <si>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</si>
  <si>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</si>
  <si>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</si>
  <si>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</si>
  <si>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</si>
  <si>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</si>
  <si>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</si>
  <si>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</si>
  <si>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</si>
  <si>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</si>
  <si>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</si>
  <si>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</si>
  <si>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</si>
  <si>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</si>
  <si>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</si>
  <si>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</si>
  <si>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</si>
  <si>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 xml:space="preserve"> TIKSLŲ, UŽDAVINIŲ, PRIEMONIŲ, PRIEMONIŲ IŠLAIDŲ IR PRODUKTO KRITERIJŲ SUVESTINĖ</t>
  </si>
  <si>
    <t>Veiklos plano tikslo kodas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</si>
  <si>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</si>
  <si>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Specialiosios programos lėšos (pajamos už atsitiktines paslaugas) </t>
    </r>
    <r>
      <rPr>
        <b/>
        <sz val="10"/>
        <rFont val="Times New Roman"/>
        <family val="1"/>
        <charset val="186"/>
      </rPr>
      <t>SB(SP)</t>
    </r>
  </si>
  <si>
    <r>
      <t xml:space="preserve">Daugiabučių namų savininkų bendrijų fondo lėšos </t>
    </r>
    <r>
      <rPr>
        <b/>
        <sz val="10"/>
        <rFont val="Times New Roman"/>
        <family val="1"/>
        <charset val="186"/>
      </rPr>
      <t>SB(F)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</si>
  <si>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</si>
  <si>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</si>
  <si>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  <charset val="186"/>
      </rPr>
      <t>KPP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</si>
  <si>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</si>
  <si>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</si>
  <si>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2015-ųjų metų lėšų projektas</t>
  </si>
  <si>
    <t>2014-ieji metai</t>
  </si>
  <si>
    <t>2015-ieji metai</t>
  </si>
  <si>
    <t>SB</t>
  </si>
  <si>
    <t>MIESTO INFRASTRUKTŪROS OBJEKTŲ PRIEŽIŪROS IR MODERNIZAVIMO PROGRAMOS (NR. 07)</t>
  </si>
  <si>
    <t>03</t>
  </si>
  <si>
    <t>Daugiabučių namų savininkų bendrijų (DNSB), modernizuojančių bendrojo naudojimo objektus, rėmimas</t>
  </si>
  <si>
    <t>6</t>
  </si>
  <si>
    <t>06</t>
  </si>
  <si>
    <t>10</t>
  </si>
  <si>
    <t>Vaikų žaidimo aikštelių daugiabučių namų kiemuose atnaujinimas ir remontas</t>
  </si>
  <si>
    <t>08</t>
  </si>
  <si>
    <t>Atnaujinta vaikų žaidimo aikštelių, vnt.</t>
  </si>
  <si>
    <t>Gėlynų atnaujinimas ir įrengimas</t>
  </si>
  <si>
    <t>Fontanų priežiūra, remontas ir atnaujinimas</t>
  </si>
  <si>
    <t>Miesto viešų teritorijų inventoriaus priežiūra, įrengimas ir įsigijimas</t>
  </si>
  <si>
    <t>Prižiūrima fontanų, vnt.</t>
  </si>
  <si>
    <t>Įrengta suoliukų, vnt.</t>
  </si>
  <si>
    <t>Įsigyta gėlinių, vnt.</t>
  </si>
  <si>
    <t>Įsigyta šiukšliadėžių, vnt.</t>
  </si>
  <si>
    <t>04</t>
  </si>
  <si>
    <t>05</t>
  </si>
  <si>
    <t>07</t>
  </si>
  <si>
    <t>Miesto viešųjų tualetų remontas, priežiūra ir nuoma</t>
  </si>
  <si>
    <t>Nugriauta statinių, vnt.</t>
  </si>
  <si>
    <t>Prižiūrima viešųjų tualetų, vnt.</t>
  </si>
  <si>
    <t>Viešojo tualeto paslaugų teikimas Melnragės paplūdimyje</t>
  </si>
  <si>
    <t>Etatų skaičius tualeto priežiūrai, vnt.</t>
  </si>
  <si>
    <t>SB(SP)</t>
  </si>
  <si>
    <t>Sezoninių darbuotojų skaičius, vnt.</t>
  </si>
  <si>
    <t>Nuolatinių darbuotojų skaičius, vnt.</t>
  </si>
  <si>
    <t>Apšvietimo tinklų ir įrangos eksploatacija, avarinių gedimų likvidavimas ir radiofikacijos linijų remontas</t>
  </si>
  <si>
    <t>Elektros energijos įsigijimas miesto viešosioms erdvėms ir gatvėms apšviesti, šviesoforams</t>
  </si>
  <si>
    <t>Pėsčiųjų perėjų papildomas apšvietimas ar modernizavimas</t>
  </si>
  <si>
    <t>Gatvių ir kiemų apšvietimo galios reguliatorių įdiegimas</t>
  </si>
  <si>
    <t>Įdiegta reguliatorių, vnt.</t>
  </si>
  <si>
    <t>Įrengta apšvietimo tinklų, km</t>
  </si>
  <si>
    <t>Siekti, kad miesto viešosios erdvės būtų tvarkingos, jaukios ir saugios</t>
  </si>
  <si>
    <t>Užtikrinti laidojimo paslaugų teikimą, miesto kapinių priežiūrą ir poreikius atitinkantį laidojimo vietų skaičių</t>
  </si>
  <si>
    <t>Užtikrinti švarą ir tvarką daugiabučių gyvenamųjų namų kvartaluose, skatinti gyventojus renovuoti ir prižiūrėti savo turtą</t>
  </si>
  <si>
    <t>Eksploatuoti, remontuoti ir plėtoti inžinerinio aprūpinimo sistemas</t>
  </si>
  <si>
    <t>Prižiūrima kapinių (tarp jų ir senųjų kapinaičių 16 vnt.), vnt.</t>
  </si>
  <si>
    <t>Senųjų kapinaičių sutvarkymas</t>
  </si>
  <si>
    <t>Išvežta mirusiųjų iš įvykio vietos, vnt.</t>
  </si>
  <si>
    <t>Mirusiųjų palaikų laikinas laikymas (saugojimas), vnt.</t>
  </si>
  <si>
    <t>Renovuota vamzdynų, km</t>
  </si>
  <si>
    <t>Suremontuota takų, m</t>
  </si>
  <si>
    <t>Kapaviečių ženklų įsigijimas ir įrengimas</t>
  </si>
  <si>
    <t>Įrengta kapaviečių ženklų, vnt.</t>
  </si>
  <si>
    <t>Savivaldybei priskirtų daugiabučių namų kiemų teritorijų sanitarinis valymas (šaligatvių, asfaltuotų, žvyruotų dangų, žaliųjų plotų valymas ir šienavimas)</t>
  </si>
  <si>
    <t>Lietaus nuotekų tinklų eksploatacija ir einamasis remontas</t>
  </si>
  <si>
    <t>Eksploatuojama lietaus nuotekų tinklų, km</t>
  </si>
  <si>
    <t>07 Miesto infrastruktūros objektų priežiūros ir modernizavimo programa</t>
  </si>
  <si>
    <t>Valoma jūros pakrantė, ha</t>
  </si>
  <si>
    <t>Valoma Danės upės pakrantė (poilsio zona), ha</t>
  </si>
  <si>
    <t>SB(P)</t>
  </si>
  <si>
    <t>Lėbartų kapinių V-B, VI, VIII-A, VII-B eilės ir kolumbariumo statybos techninio projekto parengimas ir įgyvendinimas</t>
  </si>
  <si>
    <t>5</t>
  </si>
  <si>
    <t>I</t>
  </si>
  <si>
    <t>ES</t>
  </si>
  <si>
    <t>LRVB</t>
  </si>
  <si>
    <t>Kt</t>
  </si>
  <si>
    <t>1</t>
  </si>
  <si>
    <t>Lėbartų kapinių vandentiekio sistemos remontas</t>
  </si>
  <si>
    <r>
      <t>Tvarkomų gėlynų plotas, tūkst. m</t>
    </r>
    <r>
      <rPr>
        <vertAlign val="superscript"/>
        <sz val="10"/>
        <rFont val="Times New Roman"/>
        <family val="1"/>
        <charset val="186"/>
      </rPr>
      <t>2</t>
    </r>
  </si>
  <si>
    <t>Prižūrima ekskrementų dėžių, vnt.</t>
  </si>
  <si>
    <t>Naminių gyvūnų (šunų, kačių) inden-tifikavimas, beglobių  gyvūnų gaudymas, karantinavimas ir utilizavimas</t>
  </si>
  <si>
    <t>Suvartota el. energijos, tūkst. MWh</t>
  </si>
  <si>
    <t>Aptarnaujama naminių gyvūnų ir jų savininkų duomenų bazė, vnt.</t>
  </si>
  <si>
    <t>Sutvarkyta perėjų, vnt.</t>
  </si>
  <si>
    <t>Eksploatuojama kamerų, sk.</t>
  </si>
  <si>
    <t>Mirusių (žuvusių) žmonių palaikų pervežimas iš įvykio vietų, neatpažintų, vienišų ir mirusių, kuriuos artimieji atsisako laidoti, žmonių palaikų laikinas laikymas (saugojimas), palaidojimas savivaldybės lėšomis</t>
  </si>
  <si>
    <t>Įrengta informacinių stendų, vnt.</t>
  </si>
  <si>
    <t>Patenkinta paraiškų, vnt.</t>
  </si>
  <si>
    <t>Joniškės kapinių takų remontas</t>
  </si>
  <si>
    <t>Kapinių priežiūra (valymas, apsauga, administravimas, elektros energijos pirkimas, vandens įrenginių priežiūra, kvartalinių žymeklių įrengimas, kapinių inventorizavimas)</t>
  </si>
  <si>
    <t xml:space="preserve">05 </t>
  </si>
  <si>
    <t>Racionaliai ir taupiai naudoti energetinius išteklius savivaldybės biudžetinėse įstaigose</t>
  </si>
  <si>
    <t>Įsigyta viešųjų konteinerinių tualetų, vnt.</t>
  </si>
  <si>
    <t>Miesto aikščių, skverų ir kitų bendro naudojimo teritorijų priežiūra:</t>
  </si>
  <si>
    <t>Įsigyta autobusų stotelių paviljonų, vnt.</t>
  </si>
  <si>
    <t>Švaros ir tvarkos užtikrinimas bendro naudojimo teritorijose:</t>
  </si>
  <si>
    <t>Miesto paplūdimių priežiūros organizavimas:</t>
  </si>
  <si>
    <t>Miesto viešųjų erdvių ir gatvių apšvietimo užtikrinimas:</t>
  </si>
  <si>
    <t>Apšviesta kiemų, sk.</t>
  </si>
  <si>
    <t>Biudžetinių įstaigų patalpų šildymas:</t>
  </si>
  <si>
    <t xml:space="preserve">Klaipėdos skęstančiųjų gelbėjimo tarnybos </t>
  </si>
  <si>
    <t xml:space="preserve">Kultūros įstaigų </t>
  </si>
  <si>
    <t xml:space="preserve">Sporto įstaigų </t>
  </si>
  <si>
    <t xml:space="preserve">Socialinių įstaigų </t>
  </si>
  <si>
    <t xml:space="preserve">Švietimo įstaigų </t>
  </si>
  <si>
    <t xml:space="preserve">Šîldoma įstaigų, sk. </t>
  </si>
  <si>
    <t>Paplūdimių elektrifikacijos ir radiofikacijos linijų eksploatacija ir remontas</t>
  </si>
  <si>
    <t>Pastatyta atramų, vnt.</t>
  </si>
  <si>
    <t>Sumontuota garsiakalbių, vnt.</t>
  </si>
  <si>
    <t xml:space="preserve">Iš viso  programai: </t>
  </si>
  <si>
    <t xml:space="preserve">Statinių, keliančių pavojų gyvybei ir sveikatai, griovimas </t>
  </si>
  <si>
    <t>SB(L)</t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</si>
  <si>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>SB(L)</t>
    </r>
  </si>
  <si>
    <t>Švietimo įstaigų kiemų apšvietimo tinklų išplėtimas ar įrengimas</t>
  </si>
  <si>
    <t>Viešųjų erdvių, gatvių ir kiemų apšvietimo tinklų išplėtimas ar įrengimas</t>
  </si>
  <si>
    <t>Bendrojo naudojimo lietaus nuotekų tinklų tiesimas teritorijoje ties Bangų g. 5A, Klaipėdoje</t>
  </si>
  <si>
    <t>Strateginis tikslas 02. Kurti mieste patrauklią, švarią ir saugią gyvenamąją aplinką</t>
  </si>
  <si>
    <t>Teikti miesto gyventojams kokybiškas komunalines ir viešųjų erdvių priežiūros paslaugas</t>
  </si>
  <si>
    <t>Nutiesta lietaus nuotekų tinklų – 100 m, Užbaigtumas proc.</t>
  </si>
  <si>
    <r>
      <t>Parengtas 16,8 ha plotas laidojimui, 17405 laidojimo vietų, 9500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 automobilių stovėjimo aikštelės plotas,  įrengtos 173 stovėjimo vietos automobilių stovėjimo aikštelėje. 
Užbaigtumas, proc.</t>
    </r>
  </si>
  <si>
    <t>Palaidota mirusiųjų, sk</t>
  </si>
  <si>
    <t>Įrengta kalėdinė eglė</t>
  </si>
  <si>
    <t>2014-ųjų metų asignavimų planas</t>
  </si>
  <si>
    <t>2016-ųjų metų lėšų projektas</t>
  </si>
  <si>
    <t>2016-ieji metai</t>
  </si>
  <si>
    <t>Pirties paslaugų teikimas Smiltynės paplūdimyje</t>
  </si>
  <si>
    <t>Nupirkta girliandų, vnt.</t>
  </si>
  <si>
    <t>Atsinaujinančių energijos šaltinių panaudojimo plėtros plano parengimas</t>
  </si>
  <si>
    <t>Įsigyta krypties nuorodų Danės krantinėse, vnt.</t>
  </si>
  <si>
    <r>
      <t>Valoma teritorija, km</t>
    </r>
    <r>
      <rPr>
        <vertAlign val="superscript"/>
        <sz val="10"/>
        <rFont val="Times New Roman"/>
        <family val="1"/>
        <charset val="186"/>
      </rPr>
      <t>2</t>
    </r>
  </si>
  <si>
    <t>Sugautų, karantinuotų ir utilizuota gyvūnų, t</t>
  </si>
  <si>
    <t>Plėtros plano parengimas, vnt.</t>
  </si>
  <si>
    <t>Įsigytas traktorius, sk.</t>
  </si>
  <si>
    <t>Įrengta vaikų žaidimo ir sveikatingumo aikštelė, sk.</t>
  </si>
  <si>
    <t>Traktoriaus įsigijimas</t>
  </si>
  <si>
    <r>
      <t xml:space="preserve">Viešųjų tualetų įrengimas ir atnaujinimas </t>
    </r>
    <r>
      <rPr>
        <sz val="10"/>
        <rFont val="Times New Roman"/>
        <family val="1"/>
        <charset val="186"/>
      </rPr>
      <t>(projektas „Mano socialinė atsakomybė (Žmonių su negalia socialinė integracija Latvijoje ir Lietuvoje, įgyvendinant universalaus planavimo (UP) principus ir kuriant naujas socialines paslaugas)“)</t>
    </r>
  </si>
  <si>
    <t>Parengta techn. projektų, sk.</t>
  </si>
  <si>
    <t>Pastato Garažų g. 6 remonto darbai</t>
  </si>
  <si>
    <t>Savivaldybės įstaigų eksploatuojamų pastatų energetinių auditų parengimas</t>
  </si>
  <si>
    <t>Parengtas energ. auditas, sk.</t>
  </si>
  <si>
    <t xml:space="preserve">Parengtas vieno gyvenamojo kvartalo techn. projektas </t>
  </si>
  <si>
    <t>Vaikų žaidimų aikštelių paplūdimiuose įrengimas</t>
  </si>
  <si>
    <t>09</t>
  </si>
  <si>
    <t>Atlikta darbų, proc.</t>
  </si>
  <si>
    <t>Parengta projektų, sk.</t>
  </si>
  <si>
    <t>Paplūdimių sanitarinis ir mechanizuotas valymas, inventoriaus priežiūra ir sutvarkymas (Melnragės ir Girulių paplūdimių valymo paslaugos įsigijimas)</t>
  </si>
  <si>
    <t xml:space="preserve">Gyvenamųjų namų kiemų kompleksinis tvarkymas tikslinėje teritorijoje (vieno gyvenamųjų namų kvartalo techninio projekto parengimas) </t>
  </si>
  <si>
    <t>Vandens tiekimo ir nuotekų tinklų tvarkymas:</t>
  </si>
  <si>
    <t>Integruotos stebėjimo sistemos viešose vietose nuoma ir retransliuojamo vaizdo stebėjimo paslaugos pirkimas (papildomai bus perkamos kameros Piliavietės teritorijoje ir Vasaros estradoje)</t>
  </si>
  <si>
    <t>Pastato Taikos pr. 76 šilumos trasų vamzdynų remontas</t>
  </si>
  <si>
    <t>P2.4.1.2</t>
  </si>
  <si>
    <t>P2.4.2.8</t>
  </si>
  <si>
    <t>P3.2.1.7</t>
  </si>
  <si>
    <t xml:space="preserve">Stadiono perspektyvų regione studijos parengimas </t>
  </si>
  <si>
    <t xml:space="preserve">Sporto akademijos, kaip pamainos rengimo bazės, galimybių studijos su investiciniu projektu parengimas </t>
  </si>
  <si>
    <t>Galimybių studijos, pritaikant II vandenvietę švietimo, sporto, saviraiškos reikmėms parengimas</t>
  </si>
  <si>
    <t>Tikslinės teritorijos gyvenamųjų teritorijų ir gretimų visuomeninių erdvių tvarkymo galimybių studija</t>
  </si>
  <si>
    <t xml:space="preserve">Parengta galimybių studija </t>
  </si>
  <si>
    <t>Parengtų galimybių studijų ir  techn. projektų sk.</t>
  </si>
  <si>
    <t>Galimybių studijų Klaipėdos mieste parengimas:</t>
  </si>
  <si>
    <t xml:space="preserve">Dokumentacijos parengimas tikslinės integruotos teritorijos projektams įgyvendinti: </t>
  </si>
  <si>
    <r>
      <t xml:space="preserve">Vietinių rinkliavų lėšos </t>
    </r>
    <r>
      <rPr>
        <b/>
        <sz val="10"/>
        <rFont val="Times New Roman"/>
        <family val="1"/>
        <charset val="186"/>
      </rPr>
      <t>SB(VR)</t>
    </r>
  </si>
  <si>
    <t>SB(VR)</t>
  </si>
  <si>
    <t>P1.6.3.7</t>
  </si>
  <si>
    <t>P1.4.3.8</t>
  </si>
  <si>
    <t>P2</t>
  </si>
  <si>
    <t>Suremontuota vamzdynų, proc.</t>
  </si>
  <si>
    <t xml:space="preserve">Parengtas techn. projektas, vnt </t>
  </si>
  <si>
    <t>Atlikta remonto darbų, proc.</t>
  </si>
  <si>
    <t xml:space="preserve">Danės upės krantinių nuo Biržos tilto iki Mokyklos gatvės tilto rekonstravimas </t>
  </si>
  <si>
    <r>
      <t xml:space="preserve">Funkcinės klasifikacijos kodas </t>
    </r>
    <r>
      <rPr>
        <b/>
        <sz val="9"/>
        <rFont val="Times New Roman"/>
        <family val="1"/>
        <charset val="186"/>
      </rPr>
      <t xml:space="preserve"> </t>
    </r>
  </si>
  <si>
    <t>K. Donelaičio ir Kuršių aikščių sutvarkymas</t>
  </si>
  <si>
    <t>Savivaldybei priskirtų teritorijų sanitarinis valymas, parkų, skverų, žaliųjų plotų želdinimas ir aplinkotvarka</t>
  </si>
  <si>
    <t>Viešosios erdvės prie buvusio „Vaidilos“ kino teatro konversija („Vaidilos“ aikštės techninio projekto parengimas)</t>
  </si>
  <si>
    <r>
      <t>Prižiūrima želdynų, km</t>
    </r>
    <r>
      <rPr>
        <vertAlign val="superscript"/>
        <sz val="10"/>
        <rFont val="Times New Roman"/>
        <family val="1"/>
        <charset val="186"/>
      </rPr>
      <t>2</t>
    </r>
  </si>
  <si>
    <t>Nuomojama kilnojamųjų tualetų švenčių metu, vnt.</t>
  </si>
  <si>
    <t>Etatų skaičius pirties priežiūrai, vnt.</t>
  </si>
  <si>
    <t>Eksploatuojama šviestuvų, tūkst. vnt.</t>
  </si>
  <si>
    <t>Suremontuota atramų, vnt.</t>
  </si>
  <si>
    <r>
      <t>Prižiūrimas daugiabučių kiemų plotas (3 rūšių sezoniniai darbai), km</t>
    </r>
    <r>
      <rPr>
        <vertAlign val="superscript"/>
        <sz val="10"/>
        <rFont val="Times New Roman"/>
        <family val="1"/>
        <charset val="186"/>
      </rPr>
      <t>2</t>
    </r>
  </si>
  <si>
    <r>
      <t>Sutvarkytos prieigos – 500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,</t>
    </r>
    <r>
      <rPr>
        <vertAlign val="superscript"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proc.</t>
    </r>
  </si>
  <si>
    <r>
      <t>Suremontuota Danės upės krantinė nuo Biržos tilto iki įplaukos prie Jono kalnelio – 310 m, proc. 
Sutvarkytos prieigos – 500 m</t>
    </r>
    <r>
      <rPr>
        <vertAlign val="superscript"/>
        <sz val="9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
</t>
    </r>
  </si>
  <si>
    <t>Debreceno ir Pempininkų aikščių atnaujinimas (2014 m. – Debreceno, 2015 m. – Pempininkų)</t>
  </si>
  <si>
    <t xml:space="preserve"> 2014–2016 M. KLAIPĖDOS MIESTO SAVIVALDYBĖS</t>
  </si>
  <si>
    <t>3</t>
  </si>
  <si>
    <t>Atlikta Garažų g. 6 remonto darbų, %</t>
  </si>
  <si>
    <t>Skęstančiųjų gelbėjimo paslaugų teikimas (BĮ "Klaipėdos paplūdimiai" veiklos organizavimas – be šildymo)</t>
  </si>
  <si>
    <r>
      <rPr>
        <b/>
        <strike/>
        <sz val="10"/>
        <color rgb="FFFF0000"/>
        <rFont val="Times New Roman"/>
        <family val="1"/>
        <charset val="186"/>
      </rPr>
      <t>410,7</t>
    </r>
    <r>
      <rPr>
        <b/>
        <sz val="10"/>
        <color rgb="FFFF0000"/>
        <rFont val="Times New Roman"/>
        <family val="1"/>
        <charset val="186"/>
      </rPr>
      <t xml:space="preserve">  310,7 </t>
    </r>
  </si>
  <si>
    <r>
      <rPr>
        <b/>
        <strike/>
        <sz val="10"/>
        <color rgb="FFFF0000"/>
        <rFont val="Times New Roman"/>
        <family val="1"/>
        <charset val="186"/>
      </rPr>
      <t xml:space="preserve">366,0 </t>
    </r>
    <r>
      <rPr>
        <b/>
        <sz val="10"/>
        <color rgb="FFFF0000"/>
        <rFont val="Times New Roman"/>
        <family val="1"/>
        <charset val="186"/>
      </rPr>
      <t xml:space="preserve">      266,0</t>
    </r>
  </si>
  <si>
    <r>
      <rPr>
        <b/>
        <strike/>
        <sz val="10"/>
        <color rgb="FFFF0000"/>
        <rFont val="Times New Roman"/>
        <family val="1"/>
        <charset val="186"/>
      </rPr>
      <t>465,7</t>
    </r>
    <r>
      <rPr>
        <b/>
        <sz val="10"/>
        <color rgb="FFFF0000"/>
        <rFont val="Times New Roman"/>
        <family val="1"/>
        <charset val="186"/>
      </rPr>
      <t xml:space="preserve">   265,7</t>
    </r>
  </si>
  <si>
    <r>
      <rPr>
        <b/>
        <strike/>
        <sz val="10"/>
        <color rgb="FFFF0000"/>
        <rFont val="Times New Roman"/>
        <family val="1"/>
        <charset val="186"/>
      </rPr>
      <t xml:space="preserve">514,3 </t>
    </r>
    <r>
      <rPr>
        <b/>
        <sz val="10"/>
        <color rgb="FFFF0000"/>
        <rFont val="Times New Roman"/>
        <family val="1"/>
        <charset val="186"/>
      </rPr>
      <t xml:space="preserve">  314,3</t>
    </r>
  </si>
  <si>
    <t xml:space="preserve">Pastato Bangų g. 5A sklypo ir teritorijos link Jono kalnelio aplinkos sutvarkymas </t>
  </si>
  <si>
    <t>Sutvarkytos teritorijos plotas, ha</t>
  </si>
  <si>
    <t>P2.3.1.3.</t>
  </si>
  <si>
    <r>
      <rPr>
        <b/>
        <strike/>
        <sz val="10"/>
        <color rgb="FFFF0000"/>
        <rFont val="Times New Roman"/>
        <family val="1"/>
        <charset val="186"/>
      </rPr>
      <t>1129,7</t>
    </r>
    <r>
      <rPr>
        <b/>
        <sz val="10"/>
        <color rgb="FFFF0000"/>
        <rFont val="Times New Roman"/>
        <family val="1"/>
        <charset val="186"/>
      </rPr>
      <t xml:space="preserve">  1329,7</t>
    </r>
  </si>
  <si>
    <r>
      <rPr>
        <b/>
        <strike/>
        <sz val="10"/>
        <color rgb="FFFF0000"/>
        <rFont val="Times New Roman"/>
        <family val="1"/>
        <charset val="186"/>
      </rPr>
      <t>999,8</t>
    </r>
    <r>
      <rPr>
        <b/>
        <sz val="10"/>
        <color rgb="FFFF0000"/>
        <rFont val="Times New Roman"/>
        <family val="1"/>
        <charset val="186"/>
      </rPr>
      <t xml:space="preserve"> 1199,8</t>
    </r>
  </si>
  <si>
    <r>
      <rPr>
        <b/>
        <strike/>
        <sz val="10"/>
        <color rgb="FFFF0000"/>
        <rFont val="Times New Roman"/>
        <family val="1"/>
        <charset val="186"/>
      </rPr>
      <t>19279,1</t>
    </r>
    <r>
      <rPr>
        <b/>
        <sz val="10"/>
        <color rgb="FFFF0000"/>
        <rFont val="Times New Roman"/>
        <family val="1"/>
        <charset val="186"/>
      </rPr>
      <t xml:space="preserve">   19479,1</t>
    </r>
  </si>
  <si>
    <r>
      <rPr>
        <b/>
        <strike/>
        <sz val="10"/>
        <color rgb="FFFF0000"/>
        <rFont val="Times New Roman"/>
        <family val="1"/>
        <charset val="186"/>
      </rPr>
      <t xml:space="preserve">17904,4 </t>
    </r>
    <r>
      <rPr>
        <b/>
        <sz val="10"/>
        <color rgb="FFFF0000"/>
        <rFont val="Times New Roman"/>
        <family val="1"/>
        <charset val="186"/>
      </rPr>
      <t xml:space="preserve"> 18104,4</t>
    </r>
  </si>
  <si>
    <r>
      <rPr>
        <b/>
        <strike/>
        <sz val="10"/>
        <color rgb="FFFF0000"/>
        <rFont val="Times New Roman"/>
        <family val="1"/>
        <charset val="186"/>
      </rPr>
      <t>32915,9</t>
    </r>
    <r>
      <rPr>
        <b/>
        <sz val="10"/>
        <color rgb="FFFF0000"/>
        <rFont val="Times New Roman"/>
        <family val="1"/>
        <charset val="186"/>
      </rPr>
      <t xml:space="preserve">   33115,9</t>
    </r>
  </si>
  <si>
    <r>
      <rPr>
        <b/>
        <strike/>
        <sz val="10"/>
        <color rgb="FFFF0000"/>
        <rFont val="Times New Roman"/>
        <family val="1"/>
        <charset val="186"/>
      </rPr>
      <t xml:space="preserve">2049,9 </t>
    </r>
    <r>
      <rPr>
        <b/>
        <sz val="10"/>
        <color rgb="FFFF0000"/>
        <rFont val="Times New Roman"/>
        <family val="1"/>
        <charset val="186"/>
      </rPr>
      <t xml:space="preserve">  1849,9</t>
    </r>
  </si>
  <si>
    <r>
      <rPr>
        <b/>
        <strike/>
        <sz val="10"/>
        <color rgb="FFFF0000"/>
        <rFont val="Times New Roman"/>
        <family val="1"/>
        <charset val="186"/>
      </rPr>
      <t>39302,2</t>
    </r>
    <r>
      <rPr>
        <b/>
        <sz val="10"/>
        <color rgb="FFFF0000"/>
        <rFont val="Times New Roman"/>
        <family val="1"/>
        <charset val="186"/>
      </rPr>
      <t xml:space="preserve">   39202,2</t>
    </r>
  </si>
  <si>
    <t>Lyginamasis variantas</t>
  </si>
  <si>
    <t>Papriemonės kodas</t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</si>
  <si>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*</t>
    </r>
  </si>
  <si>
    <t>Vykdytojas (skyrius / asmuo)</t>
  </si>
  <si>
    <t xml:space="preserve">MŪD Miesto tvarkymo skyrius </t>
  </si>
  <si>
    <t>Iš viso priemonei:</t>
  </si>
  <si>
    <t>MŪD Miesto tvarkymo skyrius</t>
  </si>
  <si>
    <r>
      <t>Prižiūrima želdynų,  km</t>
    </r>
    <r>
      <rPr>
        <vertAlign val="superscript"/>
        <sz val="10"/>
        <rFont val="Times New Roman"/>
        <family val="1"/>
        <charset val="186"/>
      </rPr>
      <t>2</t>
    </r>
  </si>
  <si>
    <t>Viešosios tvarkos skyrius</t>
  </si>
  <si>
    <t>IED Projektų skyrius</t>
  </si>
  <si>
    <t>SRD Socialinės paramos skyrius</t>
  </si>
  <si>
    <t xml:space="preserve">IED Projektų skyrius  </t>
  </si>
  <si>
    <t xml:space="preserve">IED Projektų skyrius </t>
  </si>
  <si>
    <t>MŪD Kapinių priežiūros sk.</t>
  </si>
  <si>
    <t>IED Statybos ir infrastruktūros plėtros sk.</t>
  </si>
  <si>
    <t>MŪD  Kapinių priežiūros sk.</t>
  </si>
  <si>
    <t>MŪD Miesto tvarkymo  sk.</t>
  </si>
  <si>
    <t>MŪD  Socialinės infrastruktūros skyrius</t>
  </si>
  <si>
    <t>Pakeista laidų ar kabelių, m</t>
  </si>
  <si>
    <t>Asignavimai 2014-iesiems metams**</t>
  </si>
  <si>
    <t>Lėšų poreikis biudžetiniams 
2015-iesiems metams</t>
  </si>
  <si>
    <t>2015-ųjų metų asignavimų planas</t>
  </si>
  <si>
    <t>2017-ųjų metų lėšų projektas</t>
  </si>
  <si>
    <t>2017-ieji metai</t>
  </si>
  <si>
    <t xml:space="preserve"> 2014–2017 M. KLAIPĖDOS MIESTO SAVIVALDYBĖS</t>
  </si>
  <si>
    <t>2016-ųjų m. lėšų poreikis</t>
  </si>
  <si>
    <t>2017-ųjų m. lėšų poreikis</t>
  </si>
  <si>
    <t xml:space="preserve">Debreceno aikštės atnaujinimas </t>
  </si>
  <si>
    <t>Pempininkų aikštės atnaujinimas</t>
  </si>
  <si>
    <t>Atliktas fontano remontas, proc.</t>
  </si>
  <si>
    <t xml:space="preserve">MŪD Miesto tvarkymo sk. </t>
  </si>
  <si>
    <t xml:space="preserve">Suremontuota Danės upės krantinė nuo Biržos tilto iki įplaukos prie Jono kalnelio – 310 m, proc. 
</t>
  </si>
  <si>
    <t>MŪD Kapinių priežiūros skyrius</t>
  </si>
  <si>
    <t>MŪD  Socialinės infrastrukt.  sk.</t>
  </si>
  <si>
    <t>MŪD Socialinės infrastr. sk.</t>
  </si>
  <si>
    <t>Prižiūrimos gertuvės Poilsio parke, vnt.</t>
  </si>
  <si>
    <t>Prižiūrėta ir remontuota autobusų stotelių paviljonų, vnt.</t>
  </si>
  <si>
    <t>Prižiūrėta ir remontuota informacinės sistemos objektų, vnt.</t>
  </si>
  <si>
    <t>Atlikti I etapo (stotelės ir fontanų skvero) atnaujinimo darbai, proc.</t>
  </si>
  <si>
    <t xml:space="preserve">Atlikti II etapo (centrinio tako ir teritorijos link tako į Gedminų g.) atnaujinimo darbai, proc. </t>
  </si>
  <si>
    <t xml:space="preserve">Atlikti III etapo (teritorijos šalia automobilių stovėjimo aikštelės iki Naujakiemio g.) atnaujinimo darbai, proc. </t>
  </si>
  <si>
    <t>Dušų įrengimas paplūdimiuose</t>
  </si>
  <si>
    <t xml:space="preserve">MŪD BĮ "Klaipėdos paplūdimiai" </t>
  </si>
  <si>
    <t>MŪD BĮ "Klaipėdos paplūdimiai"</t>
  </si>
  <si>
    <t>Konteinerinių tualetų priežiūra ir eksploatacija</t>
  </si>
  <si>
    <t>Kompiuterių įsigijimas</t>
  </si>
  <si>
    <t xml:space="preserve">Smėlio valymo įrenginio įsigijimas </t>
  </si>
  <si>
    <t>Reklaminiai ir informaciniai stendai</t>
  </si>
  <si>
    <t>Atlikta Garažų g. 6 rekonstrukcijos darbų, proc.</t>
  </si>
  <si>
    <t xml:space="preserve">Paplūdimių sanitarinis ir mechanizuotas valymas, inventoriaus priežiūra ir sutvarkymas </t>
  </si>
  <si>
    <t>Atskiro nulinio laido įrengimas pagal LESTO reikalavimą gatvių apšvietimo tinklams</t>
  </si>
  <si>
    <t>Įrengtas atskiras nulinis laidas, vnt.</t>
  </si>
  <si>
    <t>Prižiūrima kapinių 2 vnt. ir senųjų kapinaičių 16 vnt.</t>
  </si>
  <si>
    <t>Nudažyta Kopgalio kapinių tvora, proc.</t>
  </si>
  <si>
    <t xml:space="preserve">Joniškės kapinių tvoros remontas </t>
  </si>
  <si>
    <t>Pastatyta tvora, km</t>
  </si>
  <si>
    <t xml:space="preserve">Automobilių stovėjimo aikštelių (prie kapinių) horizontalus ženklinimas  </t>
  </si>
  <si>
    <t>Suženklinta aikštelių, vnt.</t>
  </si>
  <si>
    <t>Viešojo tualeto prie Lėbartų kapinių remontas</t>
  </si>
  <si>
    <t xml:space="preserve"> Nudažytos vidaus patalpos ir prijungta elektra, proc.</t>
  </si>
  <si>
    <t xml:space="preserve">Parengta galimybių studija, vnt. </t>
  </si>
  <si>
    <t>Laidojimo paslaugų teikimas ir kapinių priežiūros organizavimas:</t>
  </si>
  <si>
    <t>Atgimimo aikštės sutvarkymas, didinant patrauklumą investicijoms, skatinant lankytojų srautus</t>
  </si>
  <si>
    <t>P2.4.2.6</t>
  </si>
  <si>
    <t>P2.4.2.4</t>
  </si>
  <si>
    <t>P2.4.2.5</t>
  </si>
  <si>
    <t>MŪD Socialinės infrastruktūros skyrius</t>
  </si>
  <si>
    <t>Rekonstruotas paminklas, proc.</t>
  </si>
  <si>
    <t>Atnaujinta aikštė, proc.</t>
  </si>
  <si>
    <t>69/500</t>
  </si>
  <si>
    <t>70/500</t>
  </si>
  <si>
    <t>80</t>
  </si>
  <si>
    <t>Suremontuota šiukšliadėžių, vnt.</t>
  </si>
  <si>
    <t>Suremontuota suoliukų, vnt./m</t>
  </si>
  <si>
    <t>Atnaujintas Debreceno aikštės ženklas, proc.</t>
  </si>
  <si>
    <t>Projekto „Danės upės krantinės pritaikymas centrinėje Klaipėdos miesto dalyje“ įgyvendinimas</t>
  </si>
  <si>
    <t>Mėlynosios vėliavos programos koordinavimas ir įgyvendinimas</t>
  </si>
  <si>
    <t>Įgyvendinta programa, proc.</t>
  </si>
  <si>
    <t>P3.2.1.4</t>
  </si>
  <si>
    <t>Įsigyta suoliukų, vnt.</t>
  </si>
  <si>
    <t>55</t>
  </si>
  <si>
    <t>Keturračių įsigijimas</t>
  </si>
  <si>
    <t>Restauruotas paminklas, proc.</t>
  </si>
  <si>
    <t>Įrengta automobilių laikymo aikštelės šalia Debreceno aikštės.Užbaigtumas proc.</t>
  </si>
  <si>
    <t>Įrengta automobilių laikymo aikštelė. Užbaigtumas proc.</t>
  </si>
  <si>
    <t xml:space="preserve">Integruotos stebėjimo sistemos viešose vietose nuoma ir retransliuojamo vaizdo stebėjimo paslaugos pirkimas </t>
  </si>
  <si>
    <t>Neefektyvių vaizdo stebėjimo kamerų perkėlimas į naujas vietas</t>
  </si>
  <si>
    <t>Perkeltos vaizdo stebėjimo kameros, vnt.</t>
  </si>
  <si>
    <t>Žardininkų gyvenamojo kvartalo viešosios erdvės (aikštės) šalia Taikos pr. atnaujinimas</t>
  </si>
  <si>
    <t>Parengtas tvarkybos projektas, vnt.</t>
  </si>
  <si>
    <t>Viešųjų tualetų paslaugų teikimas</t>
  </si>
  <si>
    <t>Stendų įrengimas paplūdimiuose</t>
  </si>
  <si>
    <t>Technikos įsigijimas paplūdimių tvarkymo funkcijoms atlikti</t>
  </si>
  <si>
    <t>Prižiūrima gertuvių Poilsio parke, vnt.</t>
  </si>
  <si>
    <t>Prižiūrima informacinės sistemos objektų, vnt.</t>
  </si>
  <si>
    <t>Atnaujintas Debreceno gyvenamojo rajono ženklas, proc.</t>
  </si>
  <si>
    <t>Atlikti I etapo (stotelės ir fontanų skvero atnaujinimo)  darbai, proc.</t>
  </si>
  <si>
    <t xml:space="preserve">Atlikti II etapo (centrinio tako ir teritorijos link tako į Gedminų g. atnaujinimo) darbai, proc. </t>
  </si>
  <si>
    <t xml:space="preserve">Atlikti III etapo (teritorijos šalia automobilių stovėjimo aikštelės iki Naujakiemio g. atnaujinimo) darbai, proc. </t>
  </si>
  <si>
    <r>
      <t>Valomos teritorijos plotas, km</t>
    </r>
    <r>
      <rPr>
        <vertAlign val="superscript"/>
        <sz val="10"/>
        <rFont val="Times New Roman"/>
        <family val="1"/>
        <charset val="186"/>
      </rPr>
      <t>2</t>
    </r>
  </si>
  <si>
    <t>Prižūrima gyvūnų ekskrementų dėžių, vnt.</t>
  </si>
  <si>
    <r>
      <t>Sutvarkytos prieigos – 500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,</t>
    </r>
    <r>
      <rPr>
        <vertAlign val="superscript"/>
        <sz val="10"/>
        <rFont val="Times New Roman"/>
        <family val="1"/>
        <charset val="186"/>
      </rPr>
      <t xml:space="preserve">  </t>
    </r>
    <r>
      <rPr>
        <sz val="10"/>
        <rFont val="Times New Roman"/>
        <family val="1"/>
        <charset val="186"/>
      </rPr>
      <t>proc.</t>
    </r>
  </si>
  <si>
    <t>Tikslinės teritorijos gyvenamųjų teritorijų ir gretimų visuomeninių erdvių tvarkymo galimybių studijos parengimas</t>
  </si>
  <si>
    <t xml:space="preserve">Gyvenamųjų namų kiemų kompleksinio tvarkymo tikslinėje teritorijoje  techninio projekto parengimas </t>
  </si>
  <si>
    <t xml:space="preserve">Viešosios erdvės prie buvusio „Vaidilos“ kino teatro konversijjos techninio projekto parengimas </t>
  </si>
  <si>
    <r>
      <t>Atnaujinta sienos, m</t>
    </r>
    <r>
      <rPr>
        <vertAlign val="superscript"/>
        <sz val="10"/>
        <rFont val="Times New Roman"/>
        <family val="1"/>
        <charset val="186"/>
      </rPr>
      <t>2</t>
    </r>
  </si>
  <si>
    <r>
      <t>Prižiūrimas daugiabučių kiemų plotas (atliekami 3 rūšių sezoniniai darbai), km</t>
    </r>
    <r>
      <rPr>
        <vertAlign val="superscript"/>
        <sz val="10"/>
        <rFont val="Times New Roman"/>
        <family val="1"/>
        <charset val="186"/>
      </rPr>
      <t>2</t>
    </r>
  </si>
  <si>
    <t>Karlskronos aikštės atnaujinimas</t>
  </si>
  <si>
    <t xml:space="preserve">Paminklo 1923 m. sukilėliams senosiose miesto kapinėse (Skulptūrų parke) restauravimas </t>
  </si>
  <si>
    <t>2.4.2.5</t>
  </si>
  <si>
    <t xml:space="preserve">Paimtų ir sugautų gyvūnų, vnt. </t>
  </si>
  <si>
    <t>1015</t>
  </si>
  <si>
    <t>395/110</t>
  </si>
  <si>
    <t>1005</t>
  </si>
  <si>
    <t>1000</t>
  </si>
  <si>
    <t>1010</t>
  </si>
  <si>
    <t>Prižiūrėtų 3 paras sveikų gyvūnų, vnt.</t>
  </si>
  <si>
    <t>Prižiūrima autobusų stotelių paviljonų, vnt.</t>
  </si>
  <si>
    <t>P1.6.3.3</t>
  </si>
  <si>
    <t>2.3.2.5</t>
  </si>
  <si>
    <t xml:space="preserve">2.3.2.1 </t>
  </si>
  <si>
    <t>Klaipėdos miesto integruotos tikslinės teritorijos vystymo programos bei joje esančių kultūros objektų rinkodaros planų parengimas</t>
  </si>
  <si>
    <t>1/2</t>
  </si>
  <si>
    <t>Parengta programa, vnt.</t>
  </si>
  <si>
    <t>Parengta rinkodaros planų, vnt.</t>
  </si>
  <si>
    <t>Eur</t>
  </si>
  <si>
    <t>Planas</t>
  </si>
  <si>
    <t>2015–2017 M. KLAIPĖDOS MIESTO SAVIVALDYBĖS</t>
  </si>
  <si>
    <t>BĮ „Klaipėdos paplūdimiai“ veiklos organizavimas:</t>
  </si>
  <si>
    <t>Pastato Garažų g. 6 remontas pritaikant BĮ „Klaipėdos paplūdimiai“ veiklai</t>
  </si>
  <si>
    <t xml:space="preserve"> Herkaus Manto gatvėje esančios mūrinės sienos remontas</t>
  </si>
  <si>
    <t>Joniškės kapinių takų ir tvoros remontas</t>
  </si>
  <si>
    <t xml:space="preserve">Šîldoma įstaigų, skaičius </t>
  </si>
  <si>
    <t xml:space="preserve">Šîldoma įstaigų, skaičius  </t>
  </si>
  <si>
    <t>Atlikti  fontano „Anikė“ hidroizoliacijos darbai, proc.</t>
  </si>
  <si>
    <t>Įrengta kalėdinė eglė ir miesto papuošimo elementai, vnt.</t>
  </si>
  <si>
    <t xml:space="preserve">Įrengta dušų (Smiltynės ir II Melnragės paplūdimiuose), skaičius </t>
  </si>
  <si>
    <t xml:space="preserve">Prižiūrima stacionarių tualetų, skaičius </t>
  </si>
  <si>
    <t xml:space="preserve">Prižiūrima konteinerinių tualetų, skaičius </t>
  </si>
  <si>
    <t xml:space="preserve">Įrengta vaikų žaidimų ir sveikatingumo aikštelių, skaičius </t>
  </si>
  <si>
    <t xml:space="preserve">Įsigytas traktorius (a. g. 114), skaičius </t>
  </si>
  <si>
    <t xml:space="preserve">Įsigyta keturračių, skaičius </t>
  </si>
  <si>
    <t xml:space="preserve">Įsigytas smėlio valymo įrenginys, skaičius  </t>
  </si>
  <si>
    <t xml:space="preserve">Įsigyta stendų, skaičius </t>
  </si>
  <si>
    <t xml:space="preserve">Eksploatuojama kamerų, skaičius </t>
  </si>
  <si>
    <t>Parengtų galimybių studijų, vnt.</t>
  </si>
  <si>
    <t xml:space="preserve">Parengta techninių projektų, skaičius </t>
  </si>
  <si>
    <t xml:space="preserve">Palaidota mirusiųjų, skaičius </t>
  </si>
  <si>
    <t>Suremontuota takų, m / tvora, vnt.</t>
  </si>
  <si>
    <t>BĮ „Klaipėdos paplūdimiai“ veiklos organizavimas</t>
  </si>
  <si>
    <t>BĮ „Klaipėdos paplūdimiai“ patalpų būklės gerinimas atliekant smulkų einamąjį remontą</t>
  </si>
  <si>
    <t>Galimybių studijos, pritaikant II vandenvietę švietimo, sporto, saviraiškos reikmėms, parengimas</t>
  </si>
  <si>
    <t>„Santarvės“ pagrindinės mokyklos ir „Versmės“ progimnazijos automatizuotos šilumos punkto kontrolės ir valdymo sistemų  įdiegimas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</si>
  <si>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įsakymas Nr. 1K-085)</t>
  </si>
  <si>
    <t xml:space="preserve">Parengtas energ. auditas, skaičius </t>
  </si>
  <si>
    <r>
      <t>Atnaujinta sienos, m</t>
    </r>
    <r>
      <rPr>
        <sz val="10"/>
        <rFont val="Calibri"/>
        <family val="2"/>
        <charset val="186"/>
      </rPr>
      <t>²</t>
    </r>
  </si>
  <si>
    <t xml:space="preserve">Parengta techn. projektų, skaičius </t>
  </si>
  <si>
    <t xml:space="preserve">Parengtos dokumentacijos skaičius </t>
  </si>
  <si>
    <r>
      <t>Sutvarkytos prieigos – 500 m</t>
    </r>
    <r>
      <rPr>
        <sz val="10"/>
        <rFont val="Calibri"/>
        <family val="2"/>
        <charset val="186"/>
      </rPr>
      <t>²</t>
    </r>
    <r>
      <rPr>
        <sz val="10"/>
        <rFont val="Times New Roman"/>
        <family val="1"/>
        <charset val="186"/>
      </rPr>
      <t>,</t>
    </r>
    <r>
      <rPr>
        <vertAlign val="superscript"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proc.</t>
    </r>
  </si>
  <si>
    <t xml:space="preserve">Apšviesta kiemų, skaičius </t>
  </si>
  <si>
    <t xml:space="preserve">Įsigytas smėlio valymo įrenginys, skaičius </t>
  </si>
  <si>
    <t xml:space="preserve">Įsigyta kompiuterių, skaičius </t>
  </si>
  <si>
    <t xml:space="preserve">Sezoniniai darbuotojai, etatų skaičius </t>
  </si>
  <si>
    <t xml:space="preserve">Nuolatiniai darbuotojai, etatų skaičius </t>
  </si>
  <si>
    <t xml:space="preserve">Įrengta vaikų žaidimo ir sveikatingumo aikštelė, skaičius </t>
  </si>
  <si>
    <r>
      <t>Atliktas smulkus patalpų ir viešųjų tualetų remontas, m</t>
    </r>
    <r>
      <rPr>
        <sz val="10"/>
        <color theme="1"/>
        <rFont val="Calibri"/>
        <family val="2"/>
        <charset val="186"/>
      </rPr>
      <t>²</t>
    </r>
  </si>
  <si>
    <t>Atlikta fontano „Anikė“ hidroizoliacija, vnt.</t>
  </si>
  <si>
    <t>Įrengta kalėdinė eglė ir papuošomo elementai, vnt.</t>
  </si>
  <si>
    <t xml:space="preserve">Parengta projektų, skaičius </t>
  </si>
  <si>
    <t>Parengta programa / rinkodaros planų, vnt.</t>
  </si>
  <si>
    <r>
      <t>Pakeista aikštės dangos, m</t>
    </r>
    <r>
      <rPr>
        <sz val="10"/>
        <rFont val="Calibri"/>
        <family val="2"/>
        <charset val="186"/>
      </rPr>
      <t>²</t>
    </r>
  </si>
  <si>
    <t>Parengta projektų, skaičius</t>
  </si>
  <si>
    <t>Pakeista aikštės dangos, m²</t>
  </si>
  <si>
    <t>Parengta techn. projektų, skaičius</t>
  </si>
  <si>
    <t>Parengtos dokumentacijos skaičius</t>
  </si>
  <si>
    <t>Gyvūnų (šunų, kačių) indentifikavimas, beglobių  gyvūnų gaudymas, surinkimas, karantinavimas, eutanazija ir utilizavimas</t>
  </si>
  <si>
    <t>Gyvūnų (šunų, kačių) inden-tifikavimas, beglobių  gyvūnų gaudymas, surinkimas, karantinavimas, eutanazija ir utilizavimas</t>
  </si>
  <si>
    <t xml:space="preserve">Atliktų gyvūnų eutanazijų / gaišenų surinkimo skaičius, vnt.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</si>
</sst>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2" x14ac:knownFonts="1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1"/>
      <name val="Tahoma"/>
      <family val="2"/>
      <charset val="186"/>
    </font>
    <font>
      <sz val="10"/>
      <name val="Times New Roman"/>
      <family val="1"/>
    </font>
    <font>
      <vertAlign val="superscript"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sz val="9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</font>
    <font>
      <sz val="10"/>
      <color rgb="FFFF0000"/>
      <name val="Times New Roman"/>
      <family val="1"/>
      <charset val="186"/>
    </font>
    <font>
      <sz val="7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strike/>
      <sz val="1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b/>
      <strike/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b/>
      <i/>
      <sz val="12"/>
      <name val="Times New Roman"/>
      <family val="1"/>
      <charset val="186"/>
    </font>
    <font>
      <sz val="12"/>
      <name val="Arial"/>
      <family val="2"/>
      <charset val="186"/>
    </font>
    <font>
      <sz val="8"/>
      <color rgb="FFFF0000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b/>
      <sz val="10"/>
      <name val="Arial"/>
      <family val="2"/>
      <charset val="186"/>
    </font>
    <font>
      <b/>
      <sz val="8"/>
      <name val="Arial"/>
      <family val="2"/>
      <charset val="186"/>
    </font>
    <font>
      <sz val="10"/>
      <color theme="0"/>
      <name val="Times New Roman"/>
      <family val="1"/>
      <charset val="186"/>
    </font>
    <font>
      <sz val="10"/>
      <color theme="6" tint="-0.249977111117893"/>
      <name val="Times New Roman"/>
      <family val="1"/>
      <charset val="186"/>
    </font>
    <font>
      <sz val="10"/>
      <name val="Calibri"/>
      <family val="2"/>
      <charset val="186"/>
    </font>
    <font>
      <sz val="10"/>
      <color theme="1"/>
      <name val="Calibri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1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0" fontId="7" fillId="0" borderId="0"/>
    <xf numFmtId="0" fontId="3" fillId="2" borderId="1" applyBorder="0">
      <alignment horizontal="left" vertical="top" wrapText="1"/>
    </xf>
  </cellStyleXfs>
  <cellXfs count="2559">
    <xf numFmtId="0" fontId="0" fillId="0" borderId="0" xfId="0"/>
    <xf numFmtId="0" fontId="3" fillId="0" borderId="0" xfId="0" applyFont="1" applyAlignment="1">
      <alignment horizontal="left" vertical="top"/>
    </xf>
    <xf numFmtId="164" fontId="5" fillId="0" borderId="0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0" borderId="0" xfId="0" applyFont="1" applyAlignment="1">
      <alignment vertical="top"/>
    </xf>
    <xf numFmtId="49" fontId="5" fillId="3" borderId="5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164" fontId="3" fillId="0" borderId="6" xfId="0" applyNumberFormat="1" applyFont="1" applyFill="1" applyBorder="1" applyAlignment="1">
      <alignment horizontal="right" vertical="top"/>
    </xf>
    <xf numFmtId="164" fontId="5" fillId="3" borderId="22" xfId="0" applyNumberFormat="1" applyFont="1" applyFill="1" applyBorder="1" applyAlignment="1">
      <alignment horizontal="right" vertical="top"/>
    </xf>
    <xf numFmtId="0" fontId="3" fillId="0" borderId="23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8" fillId="0" borderId="25" xfId="0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right" vertical="top"/>
    </xf>
    <xf numFmtId="0" fontId="7" fillId="0" borderId="0" xfId="0" applyFont="1"/>
    <xf numFmtId="3" fontId="3" fillId="0" borderId="17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3" fontId="3" fillId="0" borderId="30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 wrapText="1"/>
    </xf>
    <xf numFmtId="164" fontId="3" fillId="0" borderId="9" xfId="0" applyNumberFormat="1" applyFont="1" applyFill="1" applyBorder="1" applyAlignment="1">
      <alignment horizontal="right" vertical="top"/>
    </xf>
    <xf numFmtId="164" fontId="3" fillId="0" borderId="24" xfId="0" applyNumberFormat="1" applyFont="1" applyFill="1" applyBorder="1" applyAlignment="1">
      <alignment horizontal="right" vertical="top"/>
    </xf>
    <xf numFmtId="165" fontId="3" fillId="0" borderId="29" xfId="0" applyNumberFormat="1" applyFont="1" applyFill="1" applyBorder="1" applyAlignment="1">
      <alignment horizontal="center" vertical="top" wrapText="1"/>
    </xf>
    <xf numFmtId="0" fontId="3" fillId="3" borderId="35" xfId="0" applyFont="1" applyFill="1" applyBorder="1" applyAlignment="1">
      <alignment horizontal="center" vertical="top" wrapText="1"/>
    </xf>
    <xf numFmtId="0" fontId="3" fillId="3" borderId="30" xfId="0" applyFont="1" applyFill="1" applyBorder="1" applyAlignment="1">
      <alignment horizontal="center" vertical="top" wrapText="1"/>
    </xf>
    <xf numFmtId="0" fontId="3" fillId="3" borderId="36" xfId="0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right" vertical="top" wrapText="1"/>
    </xf>
    <xf numFmtId="165" fontId="3" fillId="0" borderId="17" xfId="0" applyNumberFormat="1" applyFont="1" applyFill="1" applyBorder="1" applyAlignment="1">
      <alignment vertical="top" textRotation="90"/>
    </xf>
    <xf numFmtId="165" fontId="3" fillId="0" borderId="28" xfId="0" applyNumberFormat="1" applyFont="1" applyFill="1" applyBorder="1" applyAlignment="1">
      <alignment vertical="top"/>
    </xf>
    <xf numFmtId="165" fontId="3" fillId="0" borderId="29" xfId="0" applyNumberFormat="1" applyFont="1" applyFill="1" applyBorder="1" applyAlignment="1">
      <alignment vertical="top"/>
    </xf>
    <xf numFmtId="164" fontId="3" fillId="0" borderId="9" xfId="0" applyNumberFormat="1" applyFont="1" applyFill="1" applyBorder="1" applyAlignment="1">
      <alignment horizontal="right" vertical="top" wrapText="1"/>
    </xf>
    <xf numFmtId="164" fontId="3" fillId="2" borderId="7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vertical="center"/>
    </xf>
    <xf numFmtId="0" fontId="3" fillId="0" borderId="40" xfId="0" applyFont="1" applyBorder="1" applyAlignment="1">
      <alignment vertical="top"/>
    </xf>
    <xf numFmtId="0" fontId="3" fillId="0" borderId="10" xfId="0" applyFont="1" applyFill="1" applyBorder="1" applyAlignment="1">
      <alignment vertical="center" textRotation="90" wrapText="1"/>
    </xf>
    <xf numFmtId="0" fontId="3" fillId="0" borderId="11" xfId="0" applyFont="1" applyFill="1" applyBorder="1" applyAlignment="1">
      <alignment vertical="center" textRotation="90" wrapText="1"/>
    </xf>
    <xf numFmtId="164" fontId="3" fillId="2" borderId="23" xfId="0" applyNumberFormat="1" applyFont="1" applyFill="1" applyBorder="1" applyAlignment="1">
      <alignment horizontal="right" vertical="top" wrapText="1"/>
    </xf>
    <xf numFmtId="0" fontId="11" fillId="0" borderId="0" xfId="0" applyFont="1" applyBorder="1" applyAlignment="1">
      <alignment vertical="top"/>
    </xf>
    <xf numFmtId="0" fontId="3" fillId="0" borderId="42" xfId="0" applyNumberFormat="1" applyFont="1" applyFill="1" applyBorder="1" applyAlignment="1">
      <alignment horizontal="center" vertical="top"/>
    </xf>
    <xf numFmtId="0" fontId="3" fillId="0" borderId="21" xfId="0" applyNumberFormat="1" applyFont="1" applyFill="1" applyBorder="1" applyAlignment="1">
      <alignment horizontal="center" vertical="top"/>
    </xf>
    <xf numFmtId="164" fontId="3" fillId="2" borderId="44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/>
    </xf>
    <xf numFmtId="165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horizontal="left" vertical="top"/>
    </xf>
    <xf numFmtId="3" fontId="3" fillId="0" borderId="34" xfId="0" applyNumberFormat="1" applyFont="1" applyFill="1" applyBorder="1" applyAlignment="1">
      <alignment horizontal="center" vertical="top"/>
    </xf>
    <xf numFmtId="0" fontId="3" fillId="0" borderId="45" xfId="0" applyFont="1" applyFill="1" applyBorder="1" applyAlignment="1">
      <alignment vertical="top" wrapText="1"/>
    </xf>
    <xf numFmtId="0" fontId="3" fillId="0" borderId="31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top" wrapText="1"/>
    </xf>
    <xf numFmtId="1" fontId="2" fillId="0" borderId="17" xfId="0" applyNumberFormat="1" applyFont="1" applyFill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164" fontId="3" fillId="0" borderId="24" xfId="0" applyNumberFormat="1" applyFont="1" applyFill="1" applyBorder="1" applyAlignment="1">
      <alignment horizontal="right" vertical="top" wrapText="1"/>
    </xf>
    <xf numFmtId="0" fontId="3" fillId="0" borderId="16" xfId="0" applyFont="1" applyFill="1" applyBorder="1" applyAlignment="1">
      <alignment horizontal="left" vertical="top" wrapText="1"/>
    </xf>
    <xf numFmtId="3" fontId="3" fillId="0" borderId="2" xfId="0" applyNumberFormat="1" applyFont="1" applyFill="1" applyBorder="1" applyAlignment="1">
      <alignment horizontal="center" vertical="top" wrapText="1"/>
    </xf>
    <xf numFmtId="3" fontId="3" fillId="0" borderId="18" xfId="0" applyNumberFormat="1" applyFont="1" applyFill="1" applyBorder="1" applyAlignment="1">
      <alignment horizontal="center" vertical="top" wrapText="1"/>
    </xf>
    <xf numFmtId="164" fontId="3" fillId="2" borderId="9" xfId="0" applyNumberFormat="1" applyFont="1" applyFill="1" applyBorder="1" applyAlignment="1">
      <alignment horizontal="right" vertical="top" wrapText="1"/>
    </xf>
    <xf numFmtId="49" fontId="5" fillId="2" borderId="17" xfId="0" applyNumberFormat="1" applyFont="1" applyFill="1" applyBorder="1" applyAlignment="1">
      <alignment horizontal="center" vertical="top"/>
    </xf>
    <xf numFmtId="164" fontId="3" fillId="0" borderId="0" xfId="0" applyNumberFormat="1" applyFont="1" applyBorder="1" applyAlignment="1">
      <alignment horizontal="left" vertical="top"/>
    </xf>
    <xf numFmtId="0" fontId="9" fillId="0" borderId="46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left" vertical="top" wrapText="1"/>
    </xf>
    <xf numFmtId="0" fontId="9" fillId="0" borderId="28" xfId="0" applyFont="1" applyFill="1" applyBorder="1" applyAlignment="1">
      <alignment horizontal="center" vertical="top" wrapText="1"/>
    </xf>
    <xf numFmtId="3" fontId="3" fillId="2" borderId="17" xfId="0" applyNumberFormat="1" applyFont="1" applyFill="1" applyBorder="1" applyAlignment="1">
      <alignment horizontal="center" vertical="top"/>
    </xf>
    <xf numFmtId="3" fontId="3" fillId="2" borderId="19" xfId="0" applyNumberFormat="1" applyFont="1" applyFill="1" applyBorder="1" applyAlignment="1">
      <alignment horizontal="center" vertical="top"/>
    </xf>
    <xf numFmtId="0" fontId="3" fillId="0" borderId="31" xfId="0" applyFont="1" applyBorder="1" applyAlignment="1">
      <alignment vertical="top" wrapText="1"/>
    </xf>
    <xf numFmtId="3" fontId="3" fillId="2" borderId="34" xfId="0" applyNumberFormat="1" applyFont="1" applyFill="1" applyBorder="1" applyAlignment="1">
      <alignment horizontal="center" vertical="top"/>
    </xf>
    <xf numFmtId="164" fontId="3" fillId="2" borderId="46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Alignment="1">
      <alignment vertical="top"/>
    </xf>
    <xf numFmtId="164" fontId="3" fillId="2" borderId="0" xfId="0" applyNumberFormat="1" applyFont="1" applyFill="1" applyBorder="1" applyAlignment="1">
      <alignment horizontal="right" vertical="top" wrapText="1"/>
    </xf>
    <xf numFmtId="164" fontId="3" fillId="0" borderId="42" xfId="0" applyNumberFormat="1" applyFont="1" applyFill="1" applyBorder="1" applyAlignment="1">
      <alignment horizontal="right" vertical="top"/>
    </xf>
    <xf numFmtId="164" fontId="3" fillId="2" borderId="6" xfId="0" applyNumberFormat="1" applyFont="1" applyFill="1" applyBorder="1" applyAlignment="1">
      <alignment horizontal="right" vertical="top"/>
    </xf>
    <xf numFmtId="49" fontId="5" fillId="0" borderId="53" xfId="0" applyNumberFormat="1" applyFont="1" applyBorder="1" applyAlignment="1">
      <alignment horizontal="center" vertical="top"/>
    </xf>
    <xf numFmtId="3" fontId="3" fillId="0" borderId="19" xfId="0" applyNumberFormat="1" applyFont="1" applyFill="1" applyBorder="1" applyAlignment="1">
      <alignment vertical="top" wrapText="1"/>
    </xf>
    <xf numFmtId="3" fontId="3" fillId="0" borderId="26" xfId="0" applyNumberFormat="1" applyFont="1" applyFill="1" applyBorder="1" applyAlignment="1">
      <alignment vertical="top" wrapText="1"/>
    </xf>
    <xf numFmtId="3" fontId="3" fillId="0" borderId="27" xfId="0" applyNumberFormat="1" applyFont="1" applyFill="1" applyBorder="1" applyAlignment="1">
      <alignment vertical="top" wrapText="1"/>
    </xf>
    <xf numFmtId="164" fontId="3" fillId="0" borderId="0" xfId="0" applyNumberFormat="1" applyFont="1" applyBorder="1" applyAlignment="1">
      <alignment vertical="top"/>
    </xf>
    <xf numFmtId="49" fontId="5" fillId="3" borderId="28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9" fontId="5" fillId="0" borderId="54" xfId="0" applyNumberFormat="1" applyFont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49" fontId="5" fillId="4" borderId="56" xfId="0" applyNumberFormat="1" applyFont="1" applyFill="1" applyBorder="1" applyAlignment="1">
      <alignment horizontal="center" vertical="top"/>
    </xf>
    <xf numFmtId="49" fontId="5" fillId="4" borderId="40" xfId="0" applyNumberFormat="1" applyFont="1" applyFill="1" applyBorder="1" applyAlignment="1">
      <alignment horizontal="center" vertical="top"/>
    </xf>
    <xf numFmtId="49" fontId="5" fillId="4" borderId="31" xfId="0" applyNumberFormat="1" applyFont="1" applyFill="1" applyBorder="1" applyAlignment="1">
      <alignment horizontal="center" vertical="top"/>
    </xf>
    <xf numFmtId="49" fontId="5" fillId="3" borderId="34" xfId="0" applyNumberFormat="1" applyFont="1" applyFill="1" applyBorder="1" applyAlignment="1">
      <alignment horizontal="center" vertical="top"/>
    </xf>
    <xf numFmtId="49" fontId="5" fillId="4" borderId="16" xfId="0" applyNumberFormat="1" applyFont="1" applyFill="1" applyBorder="1" applyAlignment="1">
      <alignment horizontal="center" vertical="top" wrapText="1"/>
    </xf>
    <xf numFmtId="49" fontId="5" fillId="4" borderId="35" xfId="0" applyNumberFormat="1" applyFont="1" applyFill="1" applyBorder="1" applyAlignment="1">
      <alignment horizontal="center" vertical="top"/>
    </xf>
    <xf numFmtId="49" fontId="5" fillId="4" borderId="63" xfId="0" applyNumberFormat="1" applyFont="1" applyFill="1" applyBorder="1" applyAlignment="1">
      <alignment horizontal="center" vertical="top"/>
    </xf>
    <xf numFmtId="49" fontId="5" fillId="4" borderId="8" xfId="0" applyNumberFormat="1" applyFont="1" applyFill="1" applyBorder="1" applyAlignment="1">
      <alignment horizontal="center" vertical="top" wrapText="1"/>
    </xf>
    <xf numFmtId="164" fontId="5" fillId="4" borderId="25" xfId="0" applyNumberFormat="1" applyFont="1" applyFill="1" applyBorder="1" applyAlignment="1">
      <alignment horizontal="right" vertical="top"/>
    </xf>
    <xf numFmtId="49" fontId="5" fillId="5" borderId="56" xfId="0" applyNumberFormat="1" applyFont="1" applyFill="1" applyBorder="1" applyAlignment="1">
      <alignment horizontal="center" vertical="top"/>
    </xf>
    <xf numFmtId="164" fontId="5" fillId="5" borderId="56" xfId="0" applyNumberFormat="1" applyFont="1" applyFill="1" applyBorder="1" applyAlignment="1">
      <alignment horizontal="right" vertical="top"/>
    </xf>
    <xf numFmtId="164" fontId="5" fillId="5" borderId="25" xfId="0" applyNumberFormat="1" applyFont="1" applyFill="1" applyBorder="1" applyAlignment="1">
      <alignment horizontal="right" vertical="top"/>
    </xf>
    <xf numFmtId="164" fontId="5" fillId="5" borderId="7" xfId="0" applyNumberFormat="1" applyFont="1" applyFill="1" applyBorder="1" applyAlignment="1">
      <alignment horizontal="right" vertical="top"/>
    </xf>
    <xf numFmtId="164" fontId="5" fillId="5" borderId="24" xfId="0" applyNumberFormat="1" applyFont="1" applyFill="1" applyBorder="1" applyAlignment="1">
      <alignment horizontal="right" vertical="top"/>
    </xf>
    <xf numFmtId="164" fontId="5" fillId="6" borderId="66" xfId="0" applyNumberFormat="1" applyFont="1" applyFill="1" applyBorder="1" applyAlignment="1">
      <alignment horizontal="right" vertical="top"/>
    </xf>
    <xf numFmtId="164" fontId="3" fillId="2" borderId="53" xfId="0" applyNumberFormat="1" applyFont="1" applyFill="1" applyBorder="1" applyAlignment="1">
      <alignment horizontal="right" vertical="top" wrapText="1"/>
    </xf>
    <xf numFmtId="164" fontId="3" fillId="0" borderId="52" xfId="0" applyNumberFormat="1" applyFont="1" applyFill="1" applyBorder="1" applyAlignment="1">
      <alignment horizontal="right" vertical="top"/>
    </xf>
    <xf numFmtId="164" fontId="3" fillId="0" borderId="55" xfId="0" applyNumberFormat="1" applyFont="1" applyFill="1" applyBorder="1" applyAlignment="1">
      <alignment horizontal="right" vertical="top" wrapText="1"/>
    </xf>
    <xf numFmtId="164" fontId="3" fillId="0" borderId="53" xfId="0" applyNumberFormat="1" applyFont="1" applyFill="1" applyBorder="1" applyAlignment="1">
      <alignment horizontal="right" vertical="top" wrapText="1"/>
    </xf>
    <xf numFmtId="1" fontId="3" fillId="0" borderId="17" xfId="0" applyNumberFormat="1" applyFont="1" applyFill="1" applyBorder="1" applyAlignment="1">
      <alignment horizontal="center" vertical="center" wrapText="1"/>
    </xf>
    <xf numFmtId="1" fontId="3" fillId="0" borderId="19" xfId="0" applyNumberFormat="1" applyFont="1" applyFill="1" applyBorder="1" applyAlignment="1">
      <alignment horizontal="center" vertical="center" wrapText="1"/>
    </xf>
    <xf numFmtId="164" fontId="3" fillId="2" borderId="65" xfId="0" applyNumberFormat="1" applyFont="1" applyFill="1" applyBorder="1" applyAlignment="1">
      <alignment horizontal="right" vertical="top" wrapText="1"/>
    </xf>
    <xf numFmtId="164" fontId="3" fillId="2" borderId="58" xfId="0" applyNumberFormat="1" applyFont="1" applyFill="1" applyBorder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165" fontId="3" fillId="2" borderId="21" xfId="0" applyNumberFormat="1" applyFont="1" applyFill="1" applyBorder="1" applyAlignment="1">
      <alignment horizontal="center" vertical="top"/>
    </xf>
    <xf numFmtId="165" fontId="3" fillId="2" borderId="1" xfId="0" applyNumberFormat="1" applyFont="1" applyFill="1" applyBorder="1" applyAlignment="1">
      <alignment horizontal="center" vertical="top"/>
    </xf>
    <xf numFmtId="0" fontId="3" fillId="0" borderId="16" xfId="0" applyFont="1" applyFill="1" applyBorder="1" applyAlignment="1">
      <alignment vertical="top" wrapText="1"/>
    </xf>
    <xf numFmtId="165" fontId="3" fillId="0" borderId="2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vertical="top" wrapText="1"/>
    </xf>
    <xf numFmtId="0" fontId="9" fillId="0" borderId="24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left" vertical="top" wrapText="1"/>
    </xf>
    <xf numFmtId="0" fontId="16" fillId="2" borderId="47" xfId="0" applyFont="1" applyFill="1" applyBorder="1" applyAlignment="1">
      <alignment horizontal="left" vertical="top" wrapText="1"/>
    </xf>
    <xf numFmtId="0" fontId="3" fillId="2" borderId="37" xfId="0" applyFont="1" applyFill="1" applyBorder="1" applyAlignment="1">
      <alignment horizontal="left" vertical="top" wrapText="1"/>
    </xf>
    <xf numFmtId="164" fontId="3" fillId="2" borderId="71" xfId="0" applyNumberFormat="1" applyFont="1" applyFill="1" applyBorder="1" applyAlignment="1">
      <alignment horizontal="right" vertical="top" wrapText="1"/>
    </xf>
    <xf numFmtId="164" fontId="3" fillId="2" borderId="43" xfId="0" applyNumberFormat="1" applyFont="1" applyFill="1" applyBorder="1" applyAlignment="1">
      <alignment horizontal="right" vertical="top" wrapText="1"/>
    </xf>
    <xf numFmtId="164" fontId="3" fillId="0" borderId="23" xfId="0" applyNumberFormat="1" applyFont="1" applyFill="1" applyBorder="1" applyAlignment="1">
      <alignment horizontal="right" vertical="top"/>
    </xf>
    <xf numFmtId="3" fontId="3" fillId="0" borderId="21" xfId="0" applyNumberFormat="1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/>
    </xf>
    <xf numFmtId="165" fontId="3" fillId="0" borderId="28" xfId="0" applyNumberFormat="1" applyFont="1" applyFill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top"/>
    </xf>
    <xf numFmtId="0" fontId="3" fillId="0" borderId="70" xfId="0" applyFont="1" applyBorder="1" applyAlignment="1">
      <alignment vertical="top" wrapText="1"/>
    </xf>
    <xf numFmtId="0" fontId="3" fillId="0" borderId="34" xfId="0" applyNumberFormat="1" applyFont="1" applyBorder="1" applyAlignment="1">
      <alignment horizontal="center" vertical="top"/>
    </xf>
    <xf numFmtId="0" fontId="3" fillId="0" borderId="19" xfId="0" applyNumberFormat="1" applyFont="1" applyBorder="1" applyAlignment="1">
      <alignment horizontal="center" vertical="top"/>
    </xf>
    <xf numFmtId="0" fontId="3" fillId="2" borderId="18" xfId="0" applyFont="1" applyFill="1" applyBorder="1" applyAlignment="1">
      <alignment vertical="top" wrapText="1"/>
    </xf>
    <xf numFmtId="0" fontId="3" fillId="0" borderId="40" xfId="0" applyFont="1" applyBorder="1" applyAlignment="1">
      <alignment horizontal="center" vertical="top"/>
    </xf>
    <xf numFmtId="0" fontId="3" fillId="0" borderId="4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7" fillId="0" borderId="35" xfId="0" applyFont="1" applyBorder="1" applyAlignment="1">
      <alignment vertical="top" wrapText="1"/>
    </xf>
    <xf numFmtId="0" fontId="7" fillId="0" borderId="26" xfId="0" applyNumberFormat="1" applyFont="1" applyBorder="1" applyAlignment="1">
      <alignment horizontal="center" vertical="top" wrapText="1"/>
    </xf>
    <xf numFmtId="0" fontId="17" fillId="0" borderId="30" xfId="0" applyNumberFormat="1" applyFont="1" applyFill="1" applyBorder="1" applyAlignment="1">
      <alignment horizontal="center" vertical="top"/>
    </xf>
    <xf numFmtId="0" fontId="17" fillId="0" borderId="27" xfId="0" applyNumberFormat="1" applyFont="1" applyFill="1" applyBorder="1" applyAlignment="1">
      <alignment horizontal="center" vertical="top"/>
    </xf>
    <xf numFmtId="0" fontId="3" fillId="0" borderId="40" xfId="1" applyFont="1" applyFill="1" applyBorder="1" applyAlignment="1">
      <alignment vertical="top" wrapText="1"/>
    </xf>
    <xf numFmtId="3" fontId="3" fillId="0" borderId="26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 wrapText="1"/>
    </xf>
    <xf numFmtId="3" fontId="3" fillId="2" borderId="28" xfId="0" applyNumberFormat="1" applyFont="1" applyFill="1" applyBorder="1" applyAlignment="1">
      <alignment horizontal="center" vertical="top"/>
    </xf>
    <xf numFmtId="3" fontId="3" fillId="2" borderId="29" xfId="0" applyNumberFormat="1" applyFont="1" applyFill="1" applyBorder="1" applyAlignment="1">
      <alignment horizontal="center" vertical="top"/>
    </xf>
    <xf numFmtId="3" fontId="3" fillId="2" borderId="33" xfId="0" applyNumberFormat="1" applyFont="1" applyFill="1" applyBorder="1" applyAlignment="1">
      <alignment horizontal="center" vertical="top"/>
    </xf>
    <xf numFmtId="49" fontId="17" fillId="3" borderId="17" xfId="0" applyNumberFormat="1" applyFont="1" applyFill="1" applyBorder="1" applyAlignment="1">
      <alignment vertical="top"/>
    </xf>
    <xf numFmtId="49" fontId="5" fillId="2" borderId="17" xfId="0" applyNumberFormat="1" applyFont="1" applyFill="1" applyBorder="1" applyAlignment="1">
      <alignment vertical="top"/>
    </xf>
    <xf numFmtId="0" fontId="11" fillId="2" borderId="44" xfId="0" applyFont="1" applyFill="1" applyBorder="1" applyAlignment="1">
      <alignment horizontal="center" vertical="top" wrapText="1"/>
    </xf>
    <xf numFmtId="164" fontId="11" fillId="2" borderId="23" xfId="0" applyNumberFormat="1" applyFont="1" applyFill="1" applyBorder="1" applyAlignment="1">
      <alignment horizontal="center" vertical="top" wrapText="1"/>
    </xf>
    <xf numFmtId="164" fontId="11" fillId="2" borderId="44" xfId="0" applyNumberFormat="1" applyFont="1" applyFill="1" applyBorder="1" applyAlignment="1">
      <alignment horizontal="center" vertical="top" wrapText="1"/>
    </xf>
    <xf numFmtId="0" fontId="22" fillId="2" borderId="21" xfId="0" applyNumberFormat="1" applyFont="1" applyFill="1" applyBorder="1" applyAlignment="1">
      <alignment horizontal="center" vertical="top" wrapText="1"/>
    </xf>
    <xf numFmtId="0" fontId="22" fillId="2" borderId="52" xfId="0" applyNumberFormat="1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vertical="center" wrapText="1"/>
    </xf>
    <xf numFmtId="0" fontId="5" fillId="0" borderId="19" xfId="0" applyNumberFormat="1" applyFont="1" applyBorder="1" applyAlignment="1">
      <alignment vertical="center"/>
    </xf>
    <xf numFmtId="0" fontId="11" fillId="2" borderId="52" xfId="0" applyFont="1" applyFill="1" applyBorder="1" applyAlignment="1">
      <alignment horizontal="center" vertical="top" wrapText="1"/>
    </xf>
    <xf numFmtId="0" fontId="22" fillId="2" borderId="17" xfId="0" applyNumberFormat="1" applyFont="1" applyFill="1" applyBorder="1" applyAlignment="1">
      <alignment horizontal="center" vertical="top" wrapText="1"/>
    </xf>
    <xf numFmtId="0" fontId="22" fillId="2" borderId="53" xfId="0" applyNumberFormat="1" applyFont="1" applyFill="1" applyBorder="1" applyAlignment="1">
      <alignment horizontal="center" vertical="top" wrapText="1"/>
    </xf>
    <xf numFmtId="0" fontId="22" fillId="0" borderId="17" xfId="0" applyFont="1" applyBorder="1" applyAlignment="1">
      <alignment vertical="top"/>
    </xf>
    <xf numFmtId="0" fontId="22" fillId="0" borderId="53" xfId="0" applyFont="1" applyBorder="1" applyAlignment="1">
      <alignment vertical="top"/>
    </xf>
    <xf numFmtId="49" fontId="17" fillId="3" borderId="28" xfId="0" applyNumberFormat="1" applyFont="1" applyFill="1" applyBorder="1" applyAlignment="1">
      <alignment vertical="top"/>
    </xf>
    <xf numFmtId="49" fontId="5" fillId="2" borderId="28" xfId="0" applyNumberFormat="1" applyFont="1" applyFill="1" applyBorder="1" applyAlignment="1">
      <alignment vertical="top"/>
    </xf>
    <xf numFmtId="0" fontId="5" fillId="0" borderId="8" xfId="0" applyFont="1" applyFill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5" fillId="0" borderId="29" xfId="0" applyNumberFormat="1" applyFont="1" applyBorder="1" applyAlignment="1">
      <alignment horizontal="center" vertical="center"/>
    </xf>
    <xf numFmtId="49" fontId="17" fillId="3" borderId="26" xfId="0" applyNumberFormat="1" applyFont="1" applyFill="1" applyBorder="1" applyAlignment="1">
      <alignment vertical="top"/>
    </xf>
    <xf numFmtId="49" fontId="5" fillId="2" borderId="26" xfId="0" applyNumberFormat="1" applyFont="1" applyFill="1" applyBorder="1" applyAlignment="1">
      <alignment vertical="top"/>
    </xf>
    <xf numFmtId="0" fontId="5" fillId="0" borderId="11" xfId="0" applyFont="1" applyFill="1" applyBorder="1" applyAlignment="1">
      <alignment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0" borderId="27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top"/>
    </xf>
    <xf numFmtId="164" fontId="3" fillId="0" borderId="44" xfId="0" applyNumberFormat="1" applyFont="1" applyFill="1" applyBorder="1" applyAlignment="1">
      <alignment horizontal="right" vertical="top"/>
    </xf>
    <xf numFmtId="164" fontId="3" fillId="0" borderId="53" xfId="0" applyNumberFormat="1" applyFont="1" applyFill="1" applyBorder="1" applyAlignment="1">
      <alignment horizontal="right" vertical="top"/>
    </xf>
    <xf numFmtId="164" fontId="5" fillId="3" borderId="56" xfId="0" applyNumberFormat="1" applyFont="1" applyFill="1" applyBorder="1" applyAlignment="1">
      <alignment horizontal="right" vertical="top"/>
    </xf>
    <xf numFmtId="164" fontId="5" fillId="3" borderId="69" xfId="0" applyNumberFormat="1" applyFont="1" applyFill="1" applyBorder="1" applyAlignment="1">
      <alignment horizontal="right" vertical="top"/>
    </xf>
    <xf numFmtId="0" fontId="3" fillId="0" borderId="17" xfId="0" applyNumberFormat="1" applyFont="1" applyBorder="1" applyAlignment="1">
      <alignment horizontal="center" vertical="top"/>
    </xf>
    <xf numFmtId="0" fontId="3" fillId="0" borderId="40" xfId="0" applyFont="1" applyBorder="1" applyAlignment="1">
      <alignment vertical="top" wrapText="1"/>
    </xf>
    <xf numFmtId="0" fontId="3" fillId="0" borderId="76" xfId="0" applyFont="1" applyBorder="1" applyAlignment="1">
      <alignment vertical="top" wrapText="1"/>
    </xf>
    <xf numFmtId="0" fontId="3" fillId="0" borderId="2" xfId="0" applyNumberFormat="1" applyFont="1" applyBorder="1" applyAlignment="1">
      <alignment horizontal="center" vertical="top"/>
    </xf>
    <xf numFmtId="0" fontId="3" fillId="0" borderId="18" xfId="0" applyNumberFormat="1" applyFont="1" applyBorder="1" applyAlignment="1">
      <alignment horizontal="center" vertical="top"/>
    </xf>
    <xf numFmtId="3" fontId="5" fillId="0" borderId="34" xfId="0" applyNumberFormat="1" applyFont="1" applyFill="1" applyBorder="1" applyAlignment="1">
      <alignment horizontal="center" vertical="top" wrapText="1"/>
    </xf>
    <xf numFmtId="3" fontId="5" fillId="0" borderId="28" xfId="0" applyNumberFormat="1" applyFont="1" applyFill="1" applyBorder="1" applyAlignment="1">
      <alignment horizontal="center" vertical="top" wrapText="1"/>
    </xf>
    <xf numFmtId="0" fontId="0" fillId="0" borderId="31" xfId="0" applyBorder="1" applyAlignment="1"/>
    <xf numFmtId="49" fontId="3" fillId="0" borderId="28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49" fontId="5" fillId="0" borderId="29" xfId="0" applyNumberFormat="1" applyFont="1" applyFill="1" applyBorder="1" applyAlignment="1">
      <alignment horizontal="center" vertical="top"/>
    </xf>
    <xf numFmtId="49" fontId="5" fillId="0" borderId="19" xfId="0" applyNumberFormat="1" applyFont="1" applyFill="1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0" fillId="0" borderId="70" xfId="0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49" fontId="3" fillId="0" borderId="34" xfId="0" applyNumberFormat="1" applyFont="1" applyFill="1" applyBorder="1" applyAlignment="1">
      <alignment horizontal="center" vertical="top"/>
    </xf>
    <xf numFmtId="49" fontId="5" fillId="0" borderId="33" xfId="0" applyNumberFormat="1" applyFont="1" applyFill="1" applyBorder="1" applyAlignment="1">
      <alignment horizontal="center" vertical="top"/>
    </xf>
    <xf numFmtId="3" fontId="3" fillId="0" borderId="34" xfId="1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vertical="top" wrapText="1"/>
    </xf>
    <xf numFmtId="0" fontId="3" fillId="0" borderId="10" xfId="0" applyFont="1" applyBorder="1" applyAlignment="1">
      <alignment textRotation="90"/>
    </xf>
    <xf numFmtId="164" fontId="3" fillId="0" borderId="65" xfId="0" applyNumberFormat="1" applyFont="1" applyFill="1" applyBorder="1" applyAlignment="1">
      <alignment vertical="top"/>
    </xf>
    <xf numFmtId="164" fontId="3" fillId="0" borderId="44" xfId="0" applyNumberFormat="1" applyFont="1" applyFill="1" applyBorder="1" applyAlignment="1">
      <alignment vertical="top"/>
    </xf>
    <xf numFmtId="164" fontId="3" fillId="0" borderId="53" xfId="0" applyNumberFormat="1" applyFont="1" applyFill="1" applyBorder="1" applyAlignment="1">
      <alignment vertical="top"/>
    </xf>
    <xf numFmtId="0" fontId="22" fillId="2" borderId="28" xfId="0" applyNumberFormat="1" applyFont="1" applyFill="1" applyBorder="1" applyAlignment="1">
      <alignment horizontal="center" vertical="top" wrapText="1"/>
    </xf>
    <xf numFmtId="0" fontId="22" fillId="0" borderId="26" xfId="0" applyFont="1" applyBorder="1" applyAlignment="1">
      <alignment vertical="top"/>
    </xf>
    <xf numFmtId="0" fontId="3" fillId="0" borderId="21" xfId="0" applyFont="1" applyBorder="1" applyAlignment="1">
      <alignment horizontal="left" vertical="center" wrapText="1"/>
    </xf>
    <xf numFmtId="3" fontId="21" fillId="0" borderId="17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 vertical="top"/>
    </xf>
    <xf numFmtId="49" fontId="5" fillId="0" borderId="2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164" fontId="3" fillId="10" borderId="20" xfId="0" applyNumberFormat="1" applyFont="1" applyFill="1" applyBorder="1" applyAlignment="1">
      <alignment horizontal="right" vertical="top"/>
    </xf>
    <xf numFmtId="164" fontId="3" fillId="10" borderId="34" xfId="0" applyNumberFormat="1" applyFont="1" applyFill="1" applyBorder="1" applyAlignment="1">
      <alignment horizontal="right" vertical="top"/>
    </xf>
    <xf numFmtId="164" fontId="3" fillId="10" borderId="32" xfId="0" applyNumberFormat="1" applyFont="1" applyFill="1" applyBorder="1" applyAlignment="1">
      <alignment horizontal="right" vertical="top"/>
    </xf>
    <xf numFmtId="164" fontId="3" fillId="10" borderId="51" xfId="0" applyNumberFormat="1" applyFont="1" applyFill="1" applyBorder="1" applyAlignment="1">
      <alignment horizontal="right" vertical="top"/>
    </xf>
    <xf numFmtId="164" fontId="3" fillId="10" borderId="17" xfId="0" applyNumberFormat="1" applyFont="1" applyFill="1" applyBorder="1" applyAlignment="1">
      <alignment horizontal="right" vertical="top"/>
    </xf>
    <xf numFmtId="164" fontId="3" fillId="10" borderId="50" xfId="0" applyNumberFormat="1" applyFont="1" applyFill="1" applyBorder="1" applyAlignment="1">
      <alignment horizontal="right" vertical="top"/>
    </xf>
    <xf numFmtId="164" fontId="3" fillId="10" borderId="38" xfId="0" applyNumberFormat="1" applyFont="1" applyFill="1" applyBorder="1" applyAlignment="1">
      <alignment horizontal="right" vertical="top"/>
    </xf>
    <xf numFmtId="164" fontId="3" fillId="10" borderId="2" xfId="0" applyNumberFormat="1" applyFont="1" applyFill="1" applyBorder="1" applyAlignment="1">
      <alignment horizontal="right" vertical="top"/>
    </xf>
    <xf numFmtId="164" fontId="3" fillId="10" borderId="37" xfId="0" applyNumberFormat="1" applyFont="1" applyFill="1" applyBorder="1" applyAlignment="1">
      <alignment horizontal="right" vertical="top"/>
    </xf>
    <xf numFmtId="164" fontId="3" fillId="10" borderId="21" xfId="0" applyNumberFormat="1" applyFont="1" applyFill="1" applyBorder="1" applyAlignment="1">
      <alignment horizontal="right" vertical="top"/>
    </xf>
    <xf numFmtId="164" fontId="3" fillId="10" borderId="48" xfId="0" applyNumberFormat="1" applyFont="1" applyFill="1" applyBorder="1" applyAlignment="1">
      <alignment horizontal="right" vertical="top"/>
    </xf>
    <xf numFmtId="164" fontId="5" fillId="10" borderId="51" xfId="0" applyNumberFormat="1" applyFont="1" applyFill="1" applyBorder="1" applyAlignment="1">
      <alignment horizontal="right" vertical="top"/>
    </xf>
    <xf numFmtId="164" fontId="5" fillId="10" borderId="21" xfId="0" applyNumberFormat="1" applyFont="1" applyFill="1" applyBorder="1" applyAlignment="1">
      <alignment horizontal="right" vertical="top"/>
    </xf>
    <xf numFmtId="164" fontId="3" fillId="10" borderId="58" xfId="0" applyNumberFormat="1" applyFont="1" applyFill="1" applyBorder="1" applyAlignment="1">
      <alignment horizontal="right" vertical="top"/>
    </xf>
    <xf numFmtId="164" fontId="3" fillId="10" borderId="13" xfId="0" applyNumberFormat="1" applyFont="1" applyFill="1" applyBorder="1" applyAlignment="1">
      <alignment horizontal="right" vertical="top"/>
    </xf>
    <xf numFmtId="164" fontId="3" fillId="10" borderId="14" xfId="0" applyNumberFormat="1" applyFont="1" applyFill="1" applyBorder="1" applyAlignment="1">
      <alignment horizontal="right" vertical="top"/>
    </xf>
    <xf numFmtId="164" fontId="3" fillId="10" borderId="31" xfId="0" applyNumberFormat="1" applyFont="1" applyFill="1" applyBorder="1" applyAlignment="1">
      <alignment horizontal="right" vertical="top"/>
    </xf>
    <xf numFmtId="164" fontId="3" fillId="10" borderId="33" xfId="0" applyNumberFormat="1" applyFont="1" applyFill="1" applyBorder="1" applyAlignment="1">
      <alignment horizontal="right" vertical="top"/>
    </xf>
    <xf numFmtId="164" fontId="3" fillId="10" borderId="16" xfId="0" applyNumberFormat="1" applyFont="1" applyFill="1" applyBorder="1" applyAlignment="1">
      <alignment horizontal="right" vertical="top"/>
    </xf>
    <xf numFmtId="164" fontId="3" fillId="10" borderId="18" xfId="0" applyNumberFormat="1" applyFont="1" applyFill="1" applyBorder="1" applyAlignment="1">
      <alignment horizontal="right" vertical="top"/>
    </xf>
    <xf numFmtId="164" fontId="19" fillId="10" borderId="16" xfId="0" applyNumberFormat="1" applyFont="1" applyFill="1" applyBorder="1" applyAlignment="1">
      <alignment horizontal="right" vertical="top"/>
    </xf>
    <xf numFmtId="164" fontId="5" fillId="10" borderId="60" xfId="0" applyNumberFormat="1" applyFont="1" applyFill="1" applyBorder="1" applyAlignment="1">
      <alignment horizontal="right" vertical="top"/>
    </xf>
    <xf numFmtId="164" fontId="5" fillId="10" borderId="3" xfId="0" applyNumberFormat="1" applyFont="1" applyFill="1" applyBorder="1" applyAlignment="1">
      <alignment horizontal="right" vertical="top"/>
    </xf>
    <xf numFmtId="164" fontId="5" fillId="10" borderId="4" xfId="0" applyNumberFormat="1" applyFont="1" applyFill="1" applyBorder="1" applyAlignment="1">
      <alignment horizontal="right" vertical="top"/>
    </xf>
    <xf numFmtId="164" fontId="5" fillId="10" borderId="38" xfId="0" applyNumberFormat="1" applyFont="1" applyFill="1" applyBorder="1" applyAlignment="1">
      <alignment horizontal="right" vertical="top"/>
    </xf>
    <xf numFmtId="164" fontId="3" fillId="10" borderId="12" xfId="0" applyNumberFormat="1" applyFont="1" applyFill="1" applyBorder="1" applyAlignment="1">
      <alignment horizontal="right" vertical="top"/>
    </xf>
    <xf numFmtId="164" fontId="3" fillId="10" borderId="15" xfId="0" applyNumberFormat="1" applyFont="1" applyFill="1" applyBorder="1" applyAlignment="1">
      <alignment horizontal="right" vertical="top"/>
    </xf>
    <xf numFmtId="164" fontId="5" fillId="10" borderId="74" xfId="0" applyNumberFormat="1" applyFont="1" applyFill="1" applyBorder="1" applyAlignment="1">
      <alignment horizontal="right" vertical="top"/>
    </xf>
    <xf numFmtId="164" fontId="5" fillId="10" borderId="59" xfId="0" applyNumberFormat="1" applyFont="1" applyFill="1" applyBorder="1" applyAlignment="1">
      <alignment horizontal="right" vertical="top"/>
    </xf>
    <xf numFmtId="164" fontId="3" fillId="10" borderId="19" xfId="0" applyNumberFormat="1" applyFont="1" applyFill="1" applyBorder="1" applyAlignment="1">
      <alignment horizontal="right" vertical="top"/>
    </xf>
    <xf numFmtId="164" fontId="3" fillId="10" borderId="1" xfId="0" applyNumberFormat="1" applyFont="1" applyFill="1" applyBorder="1" applyAlignment="1">
      <alignment horizontal="right" vertical="top"/>
    </xf>
    <xf numFmtId="164" fontId="5" fillId="10" borderId="64" xfId="0" applyNumberFormat="1" applyFont="1" applyFill="1" applyBorder="1" applyAlignment="1">
      <alignment horizontal="right" vertical="top"/>
    </xf>
    <xf numFmtId="164" fontId="3" fillId="10" borderId="39" xfId="0" applyNumberFormat="1" applyFont="1" applyFill="1" applyBorder="1" applyAlignment="1">
      <alignment horizontal="right" vertical="top"/>
    </xf>
    <xf numFmtId="164" fontId="5" fillId="10" borderId="67" xfId="0" applyNumberFormat="1" applyFont="1" applyFill="1" applyBorder="1" applyAlignment="1">
      <alignment horizontal="right" vertical="top"/>
    </xf>
    <xf numFmtId="164" fontId="3" fillId="10" borderId="12" xfId="0" applyNumberFormat="1" applyFont="1" applyFill="1" applyBorder="1" applyAlignment="1">
      <alignment vertical="top"/>
    </xf>
    <xf numFmtId="164" fontId="3" fillId="10" borderId="13" xfId="0" applyNumberFormat="1" applyFont="1" applyFill="1" applyBorder="1" applyAlignment="1">
      <alignment vertical="top"/>
    </xf>
    <xf numFmtId="164" fontId="3" fillId="10" borderId="15" xfId="0" applyNumberFormat="1" applyFont="1" applyFill="1" applyBorder="1" applyAlignment="1">
      <alignment vertical="top"/>
    </xf>
    <xf numFmtId="164" fontId="3" fillId="10" borderId="16" xfId="0" applyNumberFormat="1" applyFont="1" applyFill="1" applyBorder="1" applyAlignment="1">
      <alignment vertical="top"/>
    </xf>
    <xf numFmtId="164" fontId="3" fillId="10" borderId="2" xfId="0" applyNumberFormat="1" applyFont="1" applyFill="1" applyBorder="1" applyAlignment="1">
      <alignment vertical="top"/>
    </xf>
    <xf numFmtId="164" fontId="3" fillId="10" borderId="18" xfId="0" applyNumberFormat="1" applyFont="1" applyFill="1" applyBorder="1" applyAlignment="1">
      <alignment vertical="top"/>
    </xf>
    <xf numFmtId="164" fontId="3" fillId="10" borderId="10" xfId="0" applyNumberFormat="1" applyFont="1" applyFill="1" applyBorder="1" applyAlignment="1">
      <alignment vertical="top"/>
    </xf>
    <xf numFmtId="164" fontId="3" fillId="10" borderId="17" xfId="0" applyNumberFormat="1" applyFont="1" applyFill="1" applyBorder="1" applyAlignment="1">
      <alignment vertical="top"/>
    </xf>
    <xf numFmtId="164" fontId="3" fillId="10" borderId="19" xfId="0" applyNumberFormat="1" applyFont="1" applyFill="1" applyBorder="1" applyAlignment="1">
      <alignment vertical="top"/>
    </xf>
    <xf numFmtId="164" fontId="19" fillId="10" borderId="12" xfId="0" applyNumberFormat="1" applyFont="1" applyFill="1" applyBorder="1" applyAlignment="1">
      <alignment horizontal="right" vertical="top"/>
    </xf>
    <xf numFmtId="164" fontId="19" fillId="10" borderId="13" xfId="0" applyNumberFormat="1" applyFont="1" applyFill="1" applyBorder="1" applyAlignment="1">
      <alignment horizontal="right" vertical="top"/>
    </xf>
    <xf numFmtId="164" fontId="19" fillId="10" borderId="17" xfId="0" applyNumberFormat="1" applyFont="1" applyFill="1" applyBorder="1" applyAlignment="1">
      <alignment horizontal="right" vertical="top"/>
    </xf>
    <xf numFmtId="164" fontId="19" fillId="10" borderId="20" xfId="0" applyNumberFormat="1" applyFont="1" applyFill="1" applyBorder="1" applyAlignment="1">
      <alignment horizontal="right" vertical="top"/>
    </xf>
    <xf numFmtId="164" fontId="20" fillId="10" borderId="59" xfId="0" applyNumberFormat="1" applyFont="1" applyFill="1" applyBorder="1" applyAlignment="1">
      <alignment horizontal="right" vertical="top"/>
    </xf>
    <xf numFmtId="164" fontId="20" fillId="10" borderId="3" xfId="0" applyNumberFormat="1" applyFont="1" applyFill="1" applyBorder="1" applyAlignment="1">
      <alignment horizontal="right" vertical="top"/>
    </xf>
    <xf numFmtId="164" fontId="3" fillId="10" borderId="12" xfId="0" applyNumberFormat="1" applyFont="1" applyFill="1" applyBorder="1" applyAlignment="1">
      <alignment horizontal="right" vertical="center"/>
    </xf>
    <xf numFmtId="164" fontId="3" fillId="10" borderId="58" xfId="0" applyNumberFormat="1" applyFont="1" applyFill="1" applyBorder="1" applyAlignment="1">
      <alignment horizontal="right" vertical="center"/>
    </xf>
    <xf numFmtId="164" fontId="3" fillId="10" borderId="71" xfId="0" applyNumberFormat="1" applyFont="1" applyFill="1" applyBorder="1" applyAlignment="1">
      <alignment horizontal="right" vertical="center"/>
    </xf>
    <xf numFmtId="164" fontId="3" fillId="10" borderId="8" xfId="0" applyNumberFormat="1" applyFont="1" applyFill="1" applyBorder="1" applyAlignment="1">
      <alignment horizontal="right" vertical="top"/>
    </xf>
    <xf numFmtId="165" fontId="9" fillId="10" borderId="28" xfId="0" applyNumberFormat="1" applyFont="1" applyFill="1" applyBorder="1" applyAlignment="1">
      <alignment vertical="top" wrapText="1"/>
    </xf>
    <xf numFmtId="164" fontId="3" fillId="10" borderId="28" xfId="0" applyNumberFormat="1" applyFont="1" applyFill="1" applyBorder="1" applyAlignment="1">
      <alignment horizontal="right" vertical="top"/>
    </xf>
    <xf numFmtId="164" fontId="3" fillId="10" borderId="47" xfId="0" applyNumberFormat="1" applyFont="1" applyFill="1" applyBorder="1" applyAlignment="1">
      <alignment horizontal="right" vertical="top"/>
    </xf>
    <xf numFmtId="164" fontId="5" fillId="10" borderId="75" xfId="0" applyNumberFormat="1" applyFont="1" applyFill="1" applyBorder="1" applyAlignment="1">
      <alignment horizontal="right" vertical="top"/>
    </xf>
    <xf numFmtId="164" fontId="5" fillId="10" borderId="36" xfId="0" applyNumberFormat="1" applyFont="1" applyFill="1" applyBorder="1" applyAlignment="1">
      <alignment horizontal="right" vertical="top"/>
    </xf>
    <xf numFmtId="0" fontId="5" fillId="10" borderId="57" xfId="0" applyFont="1" applyFill="1" applyBorder="1" applyAlignment="1">
      <alignment horizontal="center" vertical="top"/>
    </xf>
    <xf numFmtId="164" fontId="5" fillId="10" borderId="45" xfId="0" applyNumberFormat="1" applyFont="1" applyFill="1" applyBorder="1" applyAlignment="1">
      <alignment horizontal="right" vertical="top"/>
    </xf>
    <xf numFmtId="164" fontId="5" fillId="10" borderId="1" xfId="0" applyNumberFormat="1" applyFont="1" applyFill="1" applyBorder="1" applyAlignment="1">
      <alignment horizontal="right" vertical="top"/>
    </xf>
    <xf numFmtId="164" fontId="5" fillId="10" borderId="42" xfId="0" applyNumberFormat="1" applyFont="1" applyFill="1" applyBorder="1" applyAlignment="1">
      <alignment horizontal="right" vertical="top"/>
    </xf>
    <xf numFmtId="164" fontId="5" fillId="10" borderId="6" xfId="0" applyNumberFormat="1" applyFont="1" applyFill="1" applyBorder="1" applyAlignment="1">
      <alignment horizontal="right" vertical="top"/>
    </xf>
    <xf numFmtId="0" fontId="5" fillId="10" borderId="73" xfId="0" applyFont="1" applyFill="1" applyBorder="1" applyAlignment="1">
      <alignment horizontal="center" vertical="top"/>
    </xf>
    <xf numFmtId="164" fontId="5" fillId="10" borderId="61" xfId="0" applyNumberFormat="1" applyFont="1" applyFill="1" applyBorder="1" applyAlignment="1">
      <alignment horizontal="right" vertical="top"/>
    </xf>
    <xf numFmtId="0" fontId="5" fillId="10" borderId="6" xfId="0" applyFont="1" applyFill="1" applyBorder="1" applyAlignment="1">
      <alignment horizontal="center" vertical="top"/>
    </xf>
    <xf numFmtId="0" fontId="5" fillId="10" borderId="61" xfId="0" applyFont="1" applyFill="1" applyBorder="1" applyAlignment="1">
      <alignment horizontal="center" vertical="top"/>
    </xf>
    <xf numFmtId="0" fontId="3" fillId="8" borderId="7" xfId="0" applyFont="1" applyFill="1" applyBorder="1" applyAlignment="1">
      <alignment horizontal="center" vertical="top"/>
    </xf>
    <xf numFmtId="0" fontId="3" fillId="8" borderId="23" xfId="0" applyFont="1" applyFill="1" applyBorder="1" applyAlignment="1">
      <alignment horizontal="center" vertical="top"/>
    </xf>
    <xf numFmtId="0" fontId="5" fillId="10" borderId="66" xfId="0" applyFont="1" applyFill="1" applyBorder="1" applyAlignment="1">
      <alignment horizontal="center" vertical="top"/>
    </xf>
    <xf numFmtId="164" fontId="5" fillId="10" borderId="30" xfId="0" applyNumberFormat="1" applyFont="1" applyFill="1" applyBorder="1" applyAlignment="1">
      <alignment horizontal="right" vertical="top"/>
    </xf>
    <xf numFmtId="164" fontId="5" fillId="10" borderId="73" xfId="0" applyNumberFormat="1" applyFont="1" applyFill="1" applyBorder="1" applyAlignment="1">
      <alignment horizontal="right" vertical="top"/>
    </xf>
    <xf numFmtId="164" fontId="5" fillId="10" borderId="66" xfId="0" applyNumberFormat="1" applyFont="1" applyFill="1" applyBorder="1" applyAlignment="1">
      <alignment horizontal="right" vertical="top"/>
    </xf>
    <xf numFmtId="164" fontId="5" fillId="7" borderId="56" xfId="0" applyNumberFormat="1" applyFont="1" applyFill="1" applyBorder="1" applyAlignment="1">
      <alignment horizontal="right" vertical="top"/>
    </xf>
    <xf numFmtId="0" fontId="5" fillId="10" borderId="52" xfId="0" applyFont="1" applyFill="1" applyBorder="1" applyAlignment="1">
      <alignment horizontal="center" vertical="top" wrapText="1"/>
    </xf>
    <xf numFmtId="164" fontId="5" fillId="10" borderId="6" xfId="0" applyNumberFormat="1" applyFont="1" applyFill="1" applyBorder="1" applyAlignment="1">
      <alignment horizontal="center" vertical="top" wrapText="1"/>
    </xf>
    <xf numFmtId="164" fontId="5" fillId="10" borderId="52" xfId="0" applyNumberFormat="1" applyFont="1" applyFill="1" applyBorder="1" applyAlignment="1">
      <alignment horizontal="center" vertical="top" wrapText="1"/>
    </xf>
    <xf numFmtId="164" fontId="23" fillId="0" borderId="0" xfId="0" applyNumberFormat="1" applyFont="1" applyAlignment="1">
      <alignment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17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21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0" fontId="7" fillId="0" borderId="11" xfId="0" applyFont="1" applyBorder="1" applyAlignment="1">
      <alignment vertical="top" wrapText="1"/>
    </xf>
    <xf numFmtId="164" fontId="3" fillId="2" borderId="46" xfId="0" applyNumberFormat="1" applyFont="1" applyFill="1" applyBorder="1" applyAlignment="1">
      <alignment horizontal="right" vertical="top"/>
    </xf>
    <xf numFmtId="0" fontId="3" fillId="8" borderId="40" xfId="0" applyFont="1" applyFill="1" applyBorder="1" applyAlignment="1">
      <alignment horizontal="center" vertical="top" wrapText="1"/>
    </xf>
    <xf numFmtId="164" fontId="3" fillId="8" borderId="0" xfId="0" applyNumberFormat="1" applyFont="1" applyFill="1" applyBorder="1" applyAlignment="1">
      <alignment horizontal="right" vertical="top"/>
    </xf>
    <xf numFmtId="164" fontId="3" fillId="8" borderId="9" xfId="0" applyNumberFormat="1" applyFont="1" applyFill="1" applyBorder="1" applyAlignment="1">
      <alignment horizontal="right" vertical="top"/>
    </xf>
    <xf numFmtId="49" fontId="5" fillId="8" borderId="17" xfId="0" applyNumberFormat="1" applyFont="1" applyFill="1" applyBorder="1" applyAlignment="1">
      <alignment horizontal="center" vertical="top"/>
    </xf>
    <xf numFmtId="164" fontId="3" fillId="10" borderId="10" xfId="0" applyNumberFormat="1" applyFont="1" applyFill="1" applyBorder="1" applyAlignment="1">
      <alignment horizontal="right" vertical="top"/>
    </xf>
    <xf numFmtId="164" fontId="3" fillId="0" borderId="0" xfId="0" applyNumberFormat="1" applyFont="1" applyFill="1" applyBorder="1" applyAlignment="1">
      <alignment horizontal="right" vertical="top" wrapText="1"/>
    </xf>
    <xf numFmtId="164" fontId="19" fillId="10" borderId="10" xfId="0" applyNumberFormat="1" applyFont="1" applyFill="1" applyBorder="1" applyAlignment="1">
      <alignment horizontal="right" vertical="top"/>
    </xf>
    <xf numFmtId="0" fontId="5" fillId="8" borderId="40" xfId="0" applyFont="1" applyFill="1" applyBorder="1" applyAlignment="1">
      <alignment horizontal="center" vertical="top"/>
    </xf>
    <xf numFmtId="164" fontId="20" fillId="10" borderId="10" xfId="0" applyNumberFormat="1" applyFont="1" applyFill="1" applyBorder="1" applyAlignment="1">
      <alignment horizontal="right" vertical="top"/>
    </xf>
    <xf numFmtId="164" fontId="5" fillId="10" borderId="17" xfId="0" applyNumberFormat="1" applyFont="1" applyFill="1" applyBorder="1" applyAlignment="1">
      <alignment horizontal="right" vertical="top"/>
    </xf>
    <xf numFmtId="164" fontId="5" fillId="10" borderId="19" xfId="0" applyNumberFormat="1" applyFont="1" applyFill="1" applyBorder="1" applyAlignment="1">
      <alignment horizontal="right" vertical="top"/>
    </xf>
    <xf numFmtId="164" fontId="5" fillId="8" borderId="0" xfId="0" applyNumberFormat="1" applyFont="1" applyFill="1" applyBorder="1" applyAlignment="1">
      <alignment horizontal="right" vertical="top"/>
    </xf>
    <xf numFmtId="164" fontId="5" fillId="8" borderId="9" xfId="0" applyNumberFormat="1" applyFont="1" applyFill="1" applyBorder="1" applyAlignment="1">
      <alignment horizontal="right" vertical="top"/>
    </xf>
    <xf numFmtId="164" fontId="3" fillId="8" borderId="0" xfId="0" applyNumberFormat="1" applyFont="1" applyFill="1" applyBorder="1" applyAlignment="1">
      <alignment horizontal="right" vertical="top" wrapText="1"/>
    </xf>
    <xf numFmtId="164" fontId="3" fillId="8" borderId="9" xfId="0" applyNumberFormat="1" applyFont="1" applyFill="1" applyBorder="1" applyAlignment="1">
      <alignment horizontal="right" vertical="top" wrapText="1"/>
    </xf>
    <xf numFmtId="0" fontId="3" fillId="8" borderId="40" xfId="0" applyFont="1" applyFill="1" applyBorder="1" applyAlignment="1">
      <alignment horizontal="center" vertical="top"/>
    </xf>
    <xf numFmtId="164" fontId="3" fillId="8" borderId="53" xfId="0" applyNumberFormat="1" applyFont="1" applyFill="1" applyBorder="1" applyAlignment="1">
      <alignment horizontal="right" vertical="top"/>
    </xf>
    <xf numFmtId="164" fontId="5" fillId="8" borderId="53" xfId="0" applyNumberFormat="1" applyFont="1" applyFill="1" applyBorder="1" applyAlignment="1">
      <alignment horizontal="right" vertical="top"/>
    </xf>
    <xf numFmtId="0" fontId="9" fillId="0" borderId="10" xfId="0" applyFont="1" applyFill="1" applyBorder="1" applyAlignment="1">
      <alignment vertical="top" wrapText="1"/>
    </xf>
    <xf numFmtId="0" fontId="3" fillId="0" borderId="11" xfId="1" applyFont="1" applyFill="1" applyBorder="1" applyAlignment="1">
      <alignment vertical="top" wrapText="1"/>
    </xf>
    <xf numFmtId="0" fontId="3" fillId="8" borderId="9" xfId="0" applyFont="1" applyFill="1" applyBorder="1" applyAlignment="1">
      <alignment horizontal="center" vertical="top" wrapText="1"/>
    </xf>
    <xf numFmtId="3" fontId="3" fillId="2" borderId="21" xfId="0" applyNumberFormat="1" applyFont="1" applyFill="1" applyBorder="1" applyAlignment="1">
      <alignment horizontal="center" vertical="top" wrapText="1"/>
    </xf>
    <xf numFmtId="0" fontId="5" fillId="8" borderId="9" xfId="0" applyFont="1" applyFill="1" applyBorder="1" applyAlignment="1">
      <alignment horizontal="center" vertical="top"/>
    </xf>
    <xf numFmtId="164" fontId="5" fillId="10" borderId="39" xfId="0" applyNumberFormat="1" applyFont="1" applyFill="1" applyBorder="1" applyAlignment="1">
      <alignment horizontal="right" vertical="top"/>
    </xf>
    <xf numFmtId="164" fontId="5" fillId="10" borderId="50" xfId="0" applyNumberFormat="1" applyFont="1" applyFill="1" applyBorder="1" applyAlignment="1">
      <alignment horizontal="right" vertical="top"/>
    </xf>
    <xf numFmtId="164" fontId="3" fillId="8" borderId="53" xfId="0" applyNumberFormat="1" applyFont="1" applyFill="1" applyBorder="1" applyAlignment="1">
      <alignment horizontal="right" vertical="top" wrapText="1"/>
    </xf>
    <xf numFmtId="164" fontId="3" fillId="0" borderId="46" xfId="0" applyNumberFormat="1" applyFont="1" applyFill="1" applyBorder="1" applyAlignment="1">
      <alignment horizontal="right" vertical="top" wrapText="1"/>
    </xf>
    <xf numFmtId="0" fontId="3" fillId="0" borderId="46" xfId="0" applyFont="1" applyFill="1" applyBorder="1" applyAlignment="1">
      <alignment horizontal="center" vertical="top" wrapText="1"/>
    </xf>
    <xf numFmtId="164" fontId="3" fillId="10" borderId="72" xfId="0" applyNumberFormat="1" applyFont="1" applyFill="1" applyBorder="1" applyAlignment="1">
      <alignment horizontal="right" vertical="top"/>
    </xf>
    <xf numFmtId="164" fontId="3" fillId="8" borderId="65" xfId="0" applyNumberFormat="1" applyFont="1" applyFill="1" applyBorder="1" applyAlignment="1">
      <alignment horizontal="right" vertical="top"/>
    </xf>
    <xf numFmtId="49" fontId="5" fillId="8" borderId="26" xfId="0" applyNumberFormat="1" applyFont="1" applyFill="1" applyBorder="1" applyAlignment="1">
      <alignment horizontal="center" vertical="top"/>
    </xf>
    <xf numFmtId="164" fontId="3" fillId="10" borderId="26" xfId="0" applyNumberFormat="1" applyFont="1" applyFill="1" applyBorder="1" applyAlignment="1">
      <alignment horizontal="right" vertical="top"/>
    </xf>
    <xf numFmtId="164" fontId="3" fillId="8" borderId="46" xfId="0" applyNumberFormat="1" applyFont="1" applyFill="1" applyBorder="1" applyAlignment="1">
      <alignment horizontal="right" vertical="top"/>
    </xf>
    <xf numFmtId="164" fontId="3" fillId="10" borderId="41" xfId="0" applyNumberFormat="1" applyFont="1" applyFill="1" applyBorder="1" applyAlignment="1">
      <alignment horizontal="right" vertical="top"/>
    </xf>
    <xf numFmtId="164" fontId="3" fillId="8" borderId="54" xfId="0" applyNumberFormat="1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center" vertical="top"/>
    </xf>
    <xf numFmtId="164" fontId="5" fillId="0" borderId="9" xfId="0" applyNumberFormat="1" applyFont="1" applyFill="1" applyBorder="1" applyAlignment="1">
      <alignment horizontal="right" vertical="top"/>
    </xf>
    <xf numFmtId="164" fontId="5" fillId="0" borderId="53" xfId="0" applyNumberFormat="1" applyFont="1" applyFill="1" applyBorder="1" applyAlignment="1">
      <alignment horizontal="right" vertical="top"/>
    </xf>
    <xf numFmtId="0" fontId="5" fillId="0" borderId="32" xfId="0" applyFont="1" applyBorder="1" applyAlignment="1">
      <alignment horizontal="left" vertical="top" wrapText="1"/>
    </xf>
    <xf numFmtId="164" fontId="3" fillId="10" borderId="29" xfId="0" applyNumberFormat="1" applyFont="1" applyFill="1" applyBorder="1" applyAlignment="1">
      <alignment horizontal="right" vertical="top"/>
    </xf>
    <xf numFmtId="164" fontId="5" fillId="10" borderId="10" xfId="0" applyNumberFormat="1" applyFont="1" applyFill="1" applyBorder="1" applyAlignment="1">
      <alignment vertical="top"/>
    </xf>
    <xf numFmtId="164" fontId="5" fillId="10" borderId="17" xfId="0" applyNumberFormat="1" applyFont="1" applyFill="1" applyBorder="1" applyAlignment="1">
      <alignment vertical="top"/>
    </xf>
    <xf numFmtId="164" fontId="5" fillId="10" borderId="19" xfId="0" applyNumberFormat="1" applyFont="1" applyFill="1" applyBorder="1" applyAlignment="1">
      <alignment vertical="top"/>
    </xf>
    <xf numFmtId="164" fontId="5" fillId="0" borderId="39" xfId="0" applyNumberFormat="1" applyFont="1" applyFill="1" applyBorder="1" applyAlignment="1">
      <alignment vertical="top"/>
    </xf>
    <xf numFmtId="164" fontId="3" fillId="0" borderId="6" xfId="0" applyNumberFormat="1" applyFont="1" applyFill="1" applyBorder="1" applyAlignment="1">
      <alignment horizontal="right" vertical="top" wrapText="1"/>
    </xf>
    <xf numFmtId="164" fontId="3" fillId="0" borderId="52" xfId="0" applyNumberFormat="1" applyFont="1" applyFill="1" applyBorder="1" applyAlignment="1">
      <alignment horizontal="right" vertical="top" wrapText="1"/>
    </xf>
    <xf numFmtId="0" fontId="3" fillId="0" borderId="57" xfId="0" applyFont="1" applyFill="1" applyBorder="1" applyAlignment="1">
      <alignment horizontal="center" vertical="top" wrapText="1"/>
    </xf>
    <xf numFmtId="164" fontId="3" fillId="10" borderId="45" xfId="0" applyNumberFormat="1" applyFont="1" applyFill="1" applyBorder="1" applyAlignment="1">
      <alignment horizontal="right" vertical="top"/>
    </xf>
    <xf numFmtId="0" fontId="7" fillId="0" borderId="17" xfId="0" applyFont="1" applyFill="1" applyBorder="1" applyAlignment="1">
      <alignment horizontal="center" vertical="top"/>
    </xf>
    <xf numFmtId="0" fontId="7" fillId="11" borderId="10" xfId="0" applyFont="1" applyFill="1" applyBorder="1" applyAlignment="1">
      <alignment horizontal="center" vertical="top"/>
    </xf>
    <xf numFmtId="0" fontId="7" fillId="12" borderId="50" xfId="0" applyFont="1" applyFill="1" applyBorder="1" applyAlignment="1">
      <alignment horizontal="center" vertical="top"/>
    </xf>
    <xf numFmtId="49" fontId="5" fillId="4" borderId="77" xfId="0" applyNumberFormat="1" applyFont="1" applyFill="1" applyBorder="1" applyAlignment="1">
      <alignment horizontal="center" vertical="top"/>
    </xf>
    <xf numFmtId="0" fontId="7" fillId="11" borderId="40" xfId="0" applyFont="1" applyFill="1" applyBorder="1" applyAlignment="1">
      <alignment horizontal="center" vertical="top"/>
    </xf>
    <xf numFmtId="0" fontId="3" fillId="8" borderId="9" xfId="0" applyFont="1" applyFill="1" applyBorder="1" applyAlignment="1">
      <alignment horizontal="center" vertical="top"/>
    </xf>
    <xf numFmtId="0" fontId="3" fillId="8" borderId="4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164" fontId="3" fillId="2" borderId="9" xfId="0" applyNumberFormat="1" applyFont="1" applyFill="1" applyBorder="1" applyAlignment="1">
      <alignment horizontal="right" vertical="top"/>
    </xf>
    <xf numFmtId="0" fontId="3" fillId="0" borderId="9" xfId="0" applyFont="1" applyBorder="1" applyAlignment="1">
      <alignment horizontal="center" vertical="top" wrapText="1"/>
    </xf>
    <xf numFmtId="164" fontId="3" fillId="2" borderId="54" xfId="0" applyNumberFormat="1" applyFont="1" applyFill="1" applyBorder="1" applyAlignment="1">
      <alignment horizontal="right" vertical="top" wrapText="1"/>
    </xf>
    <xf numFmtId="164" fontId="3" fillId="2" borderId="41" xfId="0" applyNumberFormat="1" applyFont="1" applyFill="1" applyBorder="1" applyAlignment="1">
      <alignment horizontal="right" vertical="top" wrapText="1"/>
    </xf>
    <xf numFmtId="0" fontId="3" fillId="0" borderId="24" xfId="0" applyFont="1" applyBorder="1" applyAlignment="1">
      <alignment horizontal="center" vertical="top" wrapText="1"/>
    </xf>
    <xf numFmtId="164" fontId="3" fillId="2" borderId="49" xfId="0" applyNumberFormat="1" applyFont="1" applyFill="1" applyBorder="1" applyAlignment="1">
      <alignment horizontal="right" vertical="top"/>
    </xf>
    <xf numFmtId="164" fontId="3" fillId="2" borderId="24" xfId="0" applyNumberFormat="1" applyFont="1" applyFill="1" applyBorder="1" applyAlignment="1">
      <alignment horizontal="right" vertical="top"/>
    </xf>
    <xf numFmtId="164" fontId="3" fillId="2" borderId="0" xfId="0" applyNumberFormat="1" applyFont="1" applyFill="1" applyBorder="1" applyAlignment="1">
      <alignment horizontal="right" vertical="top"/>
    </xf>
    <xf numFmtId="164" fontId="3" fillId="10" borderId="0" xfId="0" applyNumberFormat="1" applyFont="1" applyFill="1" applyBorder="1" applyAlignment="1">
      <alignment horizontal="right" vertical="top"/>
    </xf>
    <xf numFmtId="164" fontId="23" fillId="10" borderId="17" xfId="0" applyNumberFormat="1" applyFont="1" applyFill="1" applyBorder="1" applyAlignment="1">
      <alignment horizontal="right" vertical="top"/>
    </xf>
    <xf numFmtId="164" fontId="3" fillId="10" borderId="0" xfId="0" applyNumberFormat="1" applyFont="1" applyFill="1" applyBorder="1" applyAlignment="1">
      <alignment horizontal="center" vertical="top"/>
    </xf>
    <xf numFmtId="164" fontId="3" fillId="10" borderId="19" xfId="0" applyNumberFormat="1" applyFont="1" applyFill="1" applyBorder="1" applyAlignment="1">
      <alignment horizontal="center" vertical="top"/>
    </xf>
    <xf numFmtId="0" fontId="23" fillId="0" borderId="0" xfId="0" applyFont="1" applyAlignment="1">
      <alignment vertical="top"/>
    </xf>
    <xf numFmtId="164" fontId="3" fillId="10" borderId="71" xfId="0" applyNumberFormat="1" applyFont="1" applyFill="1" applyBorder="1" applyAlignment="1">
      <alignment horizontal="right" vertical="top"/>
    </xf>
    <xf numFmtId="164" fontId="3" fillId="0" borderId="55" xfId="0" applyNumberFormat="1" applyFont="1" applyFill="1" applyBorder="1" applyAlignment="1">
      <alignment horizontal="right" vertical="top"/>
    </xf>
    <xf numFmtId="164" fontId="3" fillId="8" borderId="7" xfId="0" applyNumberFormat="1" applyFont="1" applyFill="1" applyBorder="1" applyAlignment="1">
      <alignment horizontal="right" vertical="top"/>
    </xf>
    <xf numFmtId="49" fontId="3" fillId="0" borderId="26" xfId="0" applyNumberFormat="1" applyFont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 textRotation="90" wrapText="1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 wrapText="1"/>
    </xf>
    <xf numFmtId="49" fontId="5" fillId="8" borderId="26" xfId="0" applyNumberFormat="1" applyFont="1" applyFill="1" applyBorder="1" applyAlignment="1">
      <alignment horizontal="center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left" vertical="top" wrapText="1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0" fontId="5" fillId="8" borderId="24" xfId="0" applyFont="1" applyFill="1" applyBorder="1" applyAlignment="1">
      <alignment horizontal="center" vertical="top"/>
    </xf>
    <xf numFmtId="164" fontId="5" fillId="10" borderId="34" xfId="0" applyNumberFormat="1" applyFont="1" applyFill="1" applyBorder="1" applyAlignment="1">
      <alignment horizontal="right" vertical="top"/>
    </xf>
    <xf numFmtId="164" fontId="5" fillId="10" borderId="33" xfId="0" applyNumberFormat="1" applyFont="1" applyFill="1" applyBorder="1" applyAlignment="1">
      <alignment horizontal="right" vertical="top"/>
    </xf>
    <xf numFmtId="164" fontId="5" fillId="8" borderId="24" xfId="0" applyNumberFormat="1" applyFont="1" applyFill="1" applyBorder="1" applyAlignment="1">
      <alignment horizontal="right" vertical="top"/>
    </xf>
    <xf numFmtId="0" fontId="5" fillId="8" borderId="70" xfId="0" applyFont="1" applyFill="1" applyBorder="1" applyAlignment="1">
      <alignment horizontal="center" vertical="top"/>
    </xf>
    <xf numFmtId="164" fontId="5" fillId="10" borderId="31" xfId="0" applyNumberFormat="1" applyFont="1" applyFill="1" applyBorder="1" applyAlignment="1">
      <alignment horizontal="right" vertical="top"/>
    </xf>
    <xf numFmtId="164" fontId="5" fillId="8" borderId="49" xfId="0" applyNumberFormat="1" applyFont="1" applyFill="1" applyBorder="1" applyAlignment="1">
      <alignment horizontal="right" vertical="top"/>
    </xf>
    <xf numFmtId="164" fontId="5" fillId="10" borderId="20" xfId="0" applyNumberFormat="1" applyFont="1" applyFill="1" applyBorder="1" applyAlignment="1">
      <alignment horizontal="right" vertical="top"/>
    </xf>
    <xf numFmtId="164" fontId="5" fillId="10" borderId="32" xfId="0" applyNumberFormat="1" applyFont="1" applyFill="1" applyBorder="1" applyAlignment="1">
      <alignment horizontal="right" vertical="top"/>
    </xf>
    <xf numFmtId="164" fontId="5" fillId="8" borderId="55" xfId="0" applyNumberFormat="1" applyFont="1" applyFill="1" applyBorder="1" applyAlignment="1">
      <alignment horizontal="right" vertical="top"/>
    </xf>
    <xf numFmtId="0" fontId="3" fillId="0" borderId="46" xfId="0" applyFont="1" applyFill="1" applyBorder="1" applyAlignment="1">
      <alignment horizontal="center" vertical="top"/>
    </xf>
    <xf numFmtId="164" fontId="19" fillId="10" borderId="8" xfId="0" applyNumberFormat="1" applyFont="1" applyFill="1" applyBorder="1" applyAlignment="1">
      <alignment horizontal="right" vertical="top"/>
    </xf>
    <xf numFmtId="164" fontId="19" fillId="10" borderId="28" xfId="0" applyNumberFormat="1" applyFont="1" applyFill="1" applyBorder="1" applyAlignment="1">
      <alignment horizontal="right" vertical="top"/>
    </xf>
    <xf numFmtId="3" fontId="3" fillId="0" borderId="26" xfId="0" applyNumberFormat="1" applyFont="1" applyFill="1" applyBorder="1" applyAlignment="1">
      <alignment horizontal="center"/>
    </xf>
    <xf numFmtId="0" fontId="3" fillId="0" borderId="46" xfId="0" applyFont="1" applyBorder="1" applyAlignment="1">
      <alignment horizontal="center" vertical="top" wrapText="1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0" borderId="17" xfId="0" applyNumberFormat="1" applyFont="1" applyFill="1" applyBorder="1" applyAlignment="1">
      <alignment horizontal="center" vertical="top"/>
    </xf>
    <xf numFmtId="49" fontId="5" fillId="0" borderId="28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0" fontId="3" fillId="0" borderId="34" xfId="0" applyFont="1" applyBorder="1" applyAlignment="1">
      <alignment vertical="top" wrapText="1"/>
    </xf>
    <xf numFmtId="0" fontId="9" fillId="0" borderId="10" xfId="0" applyFont="1" applyBorder="1" applyAlignment="1">
      <alignment vertical="center" textRotation="90" wrapText="1"/>
    </xf>
    <xf numFmtId="0" fontId="24" fillId="0" borderId="31" xfId="0" applyFont="1" applyBorder="1" applyAlignment="1">
      <alignment vertical="center" textRotation="90" wrapText="1"/>
    </xf>
    <xf numFmtId="164" fontId="3" fillId="10" borderId="31" xfId="0" applyNumberFormat="1" applyFont="1" applyFill="1" applyBorder="1" applyAlignment="1">
      <alignment vertical="top"/>
    </xf>
    <xf numFmtId="164" fontId="3" fillId="10" borderId="34" xfId="0" applyNumberFormat="1" applyFont="1" applyFill="1" applyBorder="1" applyAlignment="1">
      <alignment vertical="top"/>
    </xf>
    <xf numFmtId="164" fontId="3" fillId="10" borderId="33" xfId="0" applyNumberFormat="1" applyFont="1" applyFill="1" applyBorder="1" applyAlignment="1">
      <alignment vertical="top"/>
    </xf>
    <xf numFmtId="164" fontId="3" fillId="0" borderId="55" xfId="0" applyNumberFormat="1" applyFont="1" applyFill="1" applyBorder="1" applyAlignment="1">
      <alignment vertical="top"/>
    </xf>
    <xf numFmtId="0" fontId="7" fillId="12" borderId="17" xfId="0" applyFont="1" applyFill="1" applyBorder="1" applyAlignment="1">
      <alignment horizontal="center" vertical="top"/>
    </xf>
    <xf numFmtId="164" fontId="5" fillId="3" borderId="25" xfId="0" applyNumberFormat="1" applyFont="1" applyFill="1" applyBorder="1" applyAlignment="1">
      <alignment horizontal="right" vertical="top"/>
    </xf>
    <xf numFmtId="164" fontId="5" fillId="4" borderId="72" xfId="0" applyNumberFormat="1" applyFont="1" applyFill="1" applyBorder="1" applyAlignment="1">
      <alignment horizontal="right" vertical="top"/>
    </xf>
    <xf numFmtId="164" fontId="5" fillId="4" borderId="8" xfId="0" applyNumberFormat="1" applyFont="1" applyFill="1" applyBorder="1" applyAlignment="1">
      <alignment horizontal="right"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164" fontId="11" fillId="10" borderId="38" xfId="0" applyNumberFormat="1" applyFont="1" applyFill="1" applyBorder="1" applyAlignment="1">
      <alignment horizontal="right" vertical="top" wrapText="1"/>
    </xf>
    <xf numFmtId="164" fontId="11" fillId="10" borderId="2" xfId="0" applyNumberFormat="1" applyFont="1" applyFill="1" applyBorder="1" applyAlignment="1">
      <alignment horizontal="right" vertical="top" wrapText="1"/>
    </xf>
    <xf numFmtId="164" fontId="11" fillId="10" borderId="18" xfId="0" applyNumberFormat="1" applyFont="1" applyFill="1" applyBorder="1" applyAlignment="1">
      <alignment horizontal="right" vertical="top" wrapText="1"/>
    </xf>
    <xf numFmtId="164" fontId="11" fillId="10" borderId="51" xfId="0" applyNumberFormat="1" applyFont="1" applyFill="1" applyBorder="1" applyAlignment="1">
      <alignment horizontal="right" vertical="top" wrapText="1"/>
    </xf>
    <xf numFmtId="164" fontId="11" fillId="10" borderId="48" xfId="0" applyNumberFormat="1" applyFont="1" applyFill="1" applyBorder="1" applyAlignment="1">
      <alignment horizontal="right" vertical="top" wrapText="1"/>
    </xf>
    <xf numFmtId="164" fontId="11" fillId="10" borderId="1" xfId="0" applyNumberFormat="1" applyFont="1" applyFill="1" applyBorder="1" applyAlignment="1">
      <alignment horizontal="right" vertical="top" wrapText="1"/>
    </xf>
    <xf numFmtId="164" fontId="5" fillId="10" borderId="51" xfId="0" applyNumberFormat="1" applyFont="1" applyFill="1" applyBorder="1" applyAlignment="1">
      <alignment horizontal="right" vertical="top" wrapText="1"/>
    </xf>
    <xf numFmtId="164" fontId="5" fillId="10" borderId="48" xfId="0" applyNumberFormat="1" applyFont="1" applyFill="1" applyBorder="1" applyAlignment="1">
      <alignment horizontal="right" vertical="top" wrapText="1"/>
    </xf>
    <xf numFmtId="164" fontId="5" fillId="10" borderId="1" xfId="0" applyNumberFormat="1" applyFont="1" applyFill="1" applyBorder="1" applyAlignment="1">
      <alignment horizontal="right" vertical="top" wrapText="1"/>
    </xf>
    <xf numFmtId="49" fontId="3" fillId="0" borderId="78" xfId="0" applyNumberFormat="1" applyFont="1" applyFill="1" applyBorder="1" applyAlignment="1">
      <alignment horizontal="center" vertical="top"/>
    </xf>
    <xf numFmtId="49" fontId="3" fillId="0" borderId="76" xfId="0" applyNumberFormat="1" applyFont="1" applyFill="1" applyBorder="1" applyAlignment="1">
      <alignment horizontal="center" vertical="top"/>
    </xf>
    <xf numFmtId="49" fontId="3" fillId="0" borderId="70" xfId="0" applyNumberFormat="1" applyFont="1" applyFill="1" applyBorder="1" applyAlignment="1">
      <alignment horizontal="center" vertical="top"/>
    </xf>
    <xf numFmtId="49" fontId="3" fillId="0" borderId="40" xfId="0" applyNumberFormat="1" applyFont="1" applyFill="1" applyBorder="1" applyAlignment="1">
      <alignment horizontal="center" vertical="top"/>
    </xf>
    <xf numFmtId="0" fontId="5" fillId="0" borderId="40" xfId="0" applyFont="1" applyFill="1" applyBorder="1" applyAlignment="1">
      <alignment horizontal="center" vertical="top" wrapText="1"/>
    </xf>
    <xf numFmtId="0" fontId="3" fillId="0" borderId="57" xfId="0" applyFont="1" applyFill="1" applyBorder="1" applyAlignment="1">
      <alignment horizontal="center" vertical="top"/>
    </xf>
    <xf numFmtId="0" fontId="3" fillId="0" borderId="40" xfId="0" applyFont="1" applyFill="1" applyBorder="1" applyAlignment="1">
      <alignment horizontal="center" vertical="top"/>
    </xf>
    <xf numFmtId="0" fontId="5" fillId="0" borderId="40" xfId="0" applyFont="1" applyFill="1" applyBorder="1" applyAlignment="1">
      <alignment horizontal="center" vertical="top"/>
    </xf>
    <xf numFmtId="164" fontId="5" fillId="0" borderId="53" xfId="0" applyNumberFormat="1" applyFont="1" applyFill="1" applyBorder="1" applyAlignment="1">
      <alignment vertical="top"/>
    </xf>
    <xf numFmtId="164" fontId="5" fillId="10" borderId="10" xfId="0" applyNumberFormat="1" applyFont="1" applyFill="1" applyBorder="1" applyAlignment="1">
      <alignment horizontal="right" vertical="top"/>
    </xf>
    <xf numFmtId="164" fontId="5" fillId="10" borderId="53" xfId="0" applyNumberFormat="1" applyFont="1" applyFill="1" applyBorder="1" applyAlignment="1">
      <alignment horizontal="right" vertical="top"/>
    </xf>
    <xf numFmtId="164" fontId="5" fillId="3" borderId="5" xfId="0" applyNumberFormat="1" applyFont="1" applyFill="1" applyBorder="1" applyAlignment="1">
      <alignment horizontal="right" vertical="top"/>
    </xf>
    <xf numFmtId="164" fontId="5" fillId="3" borderId="80" xfId="0" applyNumberFormat="1" applyFont="1" applyFill="1" applyBorder="1" applyAlignment="1">
      <alignment horizontal="right" vertical="top"/>
    </xf>
    <xf numFmtId="0" fontId="3" fillId="0" borderId="27" xfId="0" applyFont="1" applyFill="1" applyBorder="1" applyAlignment="1">
      <alignment horizontal="left" vertical="top" wrapText="1"/>
    </xf>
    <xf numFmtId="0" fontId="3" fillId="3" borderId="63" xfId="0" applyFont="1" applyFill="1" applyBorder="1" applyAlignment="1">
      <alignment horizontal="center" vertical="top" wrapText="1"/>
    </xf>
    <xf numFmtId="0" fontId="3" fillId="3" borderId="68" xfId="0" applyFont="1" applyFill="1" applyBorder="1" applyAlignment="1">
      <alignment horizontal="center" vertical="top" wrapText="1"/>
    </xf>
    <xf numFmtId="0" fontId="3" fillId="3" borderId="69" xfId="0" applyFont="1" applyFill="1" applyBorder="1" applyAlignment="1">
      <alignment horizontal="center" vertical="top" wrapText="1"/>
    </xf>
    <xf numFmtId="49" fontId="3" fillId="0" borderId="28" xfId="0" applyNumberFormat="1" applyFont="1" applyBorder="1" applyAlignment="1">
      <alignment horizontal="center" vertical="top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49" fontId="5" fillId="4" borderId="8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3" borderId="28" xfId="0" applyNumberFormat="1" applyFont="1" applyFill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34" xfId="0" applyNumberFormat="1" applyFont="1" applyBorder="1" applyAlignment="1">
      <alignment horizontal="center" vertical="top"/>
    </xf>
    <xf numFmtId="49" fontId="5" fillId="0" borderId="33" xfId="0" applyNumberFormat="1" applyFont="1" applyBorder="1" applyAlignment="1">
      <alignment horizontal="center" vertical="top"/>
    </xf>
    <xf numFmtId="0" fontId="3" fillId="0" borderId="31" xfId="0" applyFont="1" applyFill="1" applyBorder="1" applyAlignment="1">
      <alignment horizontal="left" vertical="top" wrapText="1"/>
    </xf>
    <xf numFmtId="49" fontId="5" fillId="3" borderId="50" xfId="0" applyNumberFormat="1" applyFont="1" applyFill="1" applyBorder="1" applyAlignment="1">
      <alignment horizontal="center" vertical="top"/>
    </xf>
    <xf numFmtId="0" fontId="3" fillId="2" borderId="33" xfId="0" applyFont="1" applyFill="1" applyBorder="1" applyAlignment="1">
      <alignment horizontal="left" vertical="top" wrapText="1"/>
    </xf>
    <xf numFmtId="49" fontId="5" fillId="8" borderId="28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 textRotation="90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3" fillId="0" borderId="21" xfId="0" applyNumberFormat="1" applyFont="1" applyFill="1" applyBorder="1" applyAlignment="1">
      <alignment horizontal="center" vertical="top" wrapText="1"/>
    </xf>
    <xf numFmtId="0" fontId="15" fillId="0" borderId="29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0" fontId="3" fillId="0" borderId="45" xfId="0" applyFont="1" applyFill="1" applyBorder="1" applyAlignment="1">
      <alignment horizontal="center" vertical="center" textRotation="90" wrapText="1"/>
    </xf>
    <xf numFmtId="49" fontId="3" fillId="0" borderId="21" xfId="0" applyNumberFormat="1" applyFont="1" applyBorder="1" applyAlignment="1">
      <alignment horizontal="center" vertical="top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3" fontId="3" fillId="0" borderId="27" xfId="0" applyNumberFormat="1" applyFont="1" applyFill="1" applyBorder="1" applyAlignment="1">
      <alignment horizontal="center" vertical="top" wrapText="1"/>
    </xf>
    <xf numFmtId="3" fontId="3" fillId="0" borderId="26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3" fontId="3" fillId="0" borderId="21" xfId="0" applyNumberFormat="1" applyFont="1" applyFill="1" applyBorder="1" applyAlignment="1">
      <alignment horizontal="center" vertical="top" wrapText="1"/>
    </xf>
    <xf numFmtId="0" fontId="26" fillId="0" borderId="0" xfId="0" applyFont="1" applyBorder="1" applyAlignment="1">
      <alignment vertical="top"/>
    </xf>
    <xf numFmtId="0" fontId="27" fillId="0" borderId="6" xfId="0" applyFont="1" applyFill="1" applyBorder="1" applyAlignment="1">
      <alignment horizontal="center" vertical="top" wrapText="1"/>
    </xf>
    <xf numFmtId="164" fontId="27" fillId="10" borderId="45" xfId="0" applyNumberFormat="1" applyFont="1" applyFill="1" applyBorder="1" applyAlignment="1">
      <alignment horizontal="right" vertical="top"/>
    </xf>
    <xf numFmtId="164" fontId="23" fillId="10" borderId="21" xfId="0" applyNumberFormat="1" applyFont="1" applyFill="1" applyBorder="1" applyAlignment="1">
      <alignment horizontal="right" vertical="top"/>
    </xf>
    <xf numFmtId="164" fontId="23" fillId="2" borderId="52" xfId="0" applyNumberFormat="1" applyFont="1" applyFill="1" applyBorder="1" applyAlignment="1">
      <alignment horizontal="right" vertical="top" wrapText="1"/>
    </xf>
    <xf numFmtId="3" fontId="23" fillId="0" borderId="21" xfId="0" applyNumberFormat="1" applyFont="1" applyFill="1" applyBorder="1" applyAlignment="1">
      <alignment horizontal="center" vertical="top"/>
    </xf>
    <xf numFmtId="0" fontId="23" fillId="0" borderId="24" xfId="0" applyFont="1" applyFill="1" applyBorder="1" applyAlignment="1">
      <alignment horizontal="center" vertical="top" wrapText="1"/>
    </xf>
    <xf numFmtId="164" fontId="23" fillId="10" borderId="31" xfId="0" applyNumberFormat="1" applyFont="1" applyFill="1" applyBorder="1" applyAlignment="1">
      <alignment horizontal="right" vertical="top"/>
    </xf>
    <xf numFmtId="164" fontId="23" fillId="0" borderId="53" xfId="0" applyNumberFormat="1" applyFont="1" applyFill="1" applyBorder="1" applyAlignment="1">
      <alignment horizontal="right" vertical="top"/>
    </xf>
    <xf numFmtId="3" fontId="23" fillId="0" borderId="17" xfId="0" applyNumberFormat="1" applyFont="1" applyFill="1" applyBorder="1" applyAlignment="1">
      <alignment horizontal="center" vertical="top"/>
    </xf>
    <xf numFmtId="3" fontId="23" fillId="0" borderId="0" xfId="0" applyNumberFormat="1" applyFont="1" applyFill="1" applyBorder="1" applyAlignment="1">
      <alignment horizontal="center" vertical="top"/>
    </xf>
    <xf numFmtId="0" fontId="29" fillId="0" borderId="66" xfId="0" applyFont="1" applyFill="1" applyBorder="1" applyAlignment="1">
      <alignment horizontal="center" vertical="top"/>
    </xf>
    <xf numFmtId="164" fontId="29" fillId="10" borderId="60" xfId="0" applyNumberFormat="1" applyFont="1" applyFill="1" applyBorder="1" applyAlignment="1">
      <alignment horizontal="right" vertical="top"/>
    </xf>
    <xf numFmtId="164" fontId="29" fillId="10" borderId="59" xfId="0" applyNumberFormat="1" applyFont="1" applyFill="1" applyBorder="1" applyAlignment="1">
      <alignment horizontal="right" vertical="top"/>
    </xf>
    <xf numFmtId="164" fontId="29" fillId="0" borderId="64" xfId="0" applyNumberFormat="1" applyFont="1" applyFill="1" applyBorder="1" applyAlignment="1">
      <alignment horizontal="right" vertical="top"/>
    </xf>
    <xf numFmtId="3" fontId="27" fillId="0" borderId="26" xfId="0" applyNumberFormat="1" applyFont="1" applyFill="1" applyBorder="1" applyAlignment="1">
      <alignment horizontal="center" vertical="top"/>
    </xf>
    <xf numFmtId="3" fontId="27" fillId="0" borderId="30" xfId="0" applyNumberFormat="1" applyFont="1" applyFill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164" fontId="5" fillId="10" borderId="59" xfId="0" applyNumberFormat="1" applyFont="1" applyFill="1" applyBorder="1" applyAlignment="1">
      <alignment horizontal="right" vertical="top" wrapText="1"/>
    </xf>
    <xf numFmtId="164" fontId="27" fillId="2" borderId="52" xfId="0" applyNumberFormat="1" applyFont="1" applyFill="1" applyBorder="1" applyAlignment="1">
      <alignment horizontal="right" vertical="top" wrapText="1"/>
    </xf>
    <xf numFmtId="164" fontId="27" fillId="10" borderId="1" xfId="0" applyNumberFormat="1" applyFont="1" applyFill="1" applyBorder="1" applyAlignment="1">
      <alignment horizontal="right" vertical="top"/>
    </xf>
    <xf numFmtId="164" fontId="23" fillId="10" borderId="19" xfId="0" applyNumberFormat="1" applyFont="1" applyFill="1" applyBorder="1" applyAlignment="1">
      <alignment horizontal="right" vertical="top"/>
    </xf>
    <xf numFmtId="164" fontId="29" fillId="10" borderId="64" xfId="0" applyNumberFormat="1" applyFont="1" applyFill="1" applyBorder="1" applyAlignment="1">
      <alignment horizontal="right" vertical="top"/>
    </xf>
    <xf numFmtId="164" fontId="27" fillId="12" borderId="4" xfId="0" applyNumberFormat="1" applyFont="1" applyFill="1" applyBorder="1" applyAlignment="1">
      <alignment horizontal="right" vertical="top"/>
    </xf>
    <xf numFmtId="164" fontId="29" fillId="3" borderId="22" xfId="0" applyNumberFormat="1" applyFont="1" applyFill="1" applyBorder="1" applyAlignment="1">
      <alignment horizontal="right" vertical="top" wrapText="1"/>
    </xf>
    <xf numFmtId="164" fontId="29" fillId="10" borderId="64" xfId="0" applyNumberFormat="1" applyFont="1" applyFill="1" applyBorder="1" applyAlignment="1">
      <alignment horizontal="center" vertical="top" wrapText="1"/>
    </xf>
    <xf numFmtId="164" fontId="29" fillId="10" borderId="60" xfId="0" applyNumberFormat="1" applyFont="1" applyFill="1" applyBorder="1" applyAlignment="1">
      <alignment horizontal="right" vertical="top" wrapText="1"/>
    </xf>
    <xf numFmtId="164" fontId="29" fillId="3" borderId="56" xfId="0" applyNumberFormat="1" applyFont="1" applyFill="1" applyBorder="1" applyAlignment="1">
      <alignment horizontal="right" vertical="top" wrapText="1"/>
    </xf>
    <xf numFmtId="49" fontId="23" fillId="0" borderId="21" xfId="0" applyNumberFormat="1" applyFont="1" applyBorder="1" applyAlignment="1">
      <alignment horizontal="center" vertical="top"/>
    </xf>
    <xf numFmtId="49" fontId="29" fillId="0" borderId="53" xfId="0" applyNumberFormat="1" applyFont="1" applyBorder="1" applyAlignment="1">
      <alignment horizontal="center" vertical="top"/>
    </xf>
    <xf numFmtId="0" fontId="23" fillId="8" borderId="40" xfId="0" applyFont="1" applyFill="1" applyBorder="1" applyAlignment="1">
      <alignment horizontal="center" vertical="top"/>
    </xf>
    <xf numFmtId="164" fontId="23" fillId="10" borderId="10" xfId="0" applyNumberFormat="1" applyFont="1" applyFill="1" applyBorder="1" applyAlignment="1">
      <alignment horizontal="right" vertical="top"/>
    </xf>
    <xf numFmtId="164" fontId="29" fillId="10" borderId="17" xfId="0" applyNumberFormat="1" applyFont="1" applyFill="1" applyBorder="1" applyAlignment="1">
      <alignment horizontal="right" vertical="top"/>
    </xf>
    <xf numFmtId="164" fontId="29" fillId="10" borderId="19" xfId="0" applyNumberFormat="1" applyFont="1" applyFill="1" applyBorder="1" applyAlignment="1">
      <alignment horizontal="right" vertical="top"/>
    </xf>
    <xf numFmtId="164" fontId="29" fillId="8" borderId="0" xfId="0" applyNumberFormat="1" applyFont="1" applyFill="1" applyBorder="1" applyAlignment="1">
      <alignment horizontal="right" vertical="top"/>
    </xf>
    <xf numFmtId="164" fontId="29" fillId="8" borderId="40" xfId="0" applyNumberFormat="1" applyFont="1" applyFill="1" applyBorder="1" applyAlignment="1">
      <alignment horizontal="right" vertical="top"/>
    </xf>
    <xf numFmtId="3" fontId="23" fillId="0" borderId="17" xfId="0" applyNumberFormat="1" applyFont="1" applyFill="1" applyBorder="1" applyAlignment="1">
      <alignment horizontal="center" vertical="top" wrapText="1"/>
    </xf>
    <xf numFmtId="49" fontId="23" fillId="0" borderId="34" xfId="0" applyNumberFormat="1" applyFont="1" applyBorder="1" applyAlignment="1">
      <alignment horizontal="center" vertical="top"/>
    </xf>
    <xf numFmtId="0" fontId="29" fillId="8" borderId="40" xfId="0" applyFont="1" applyFill="1" applyBorder="1" applyAlignment="1">
      <alignment horizontal="center" vertical="top"/>
    </xf>
    <xf numFmtId="164" fontId="29" fillId="10" borderId="10" xfId="0" applyNumberFormat="1" applyFont="1" applyFill="1" applyBorder="1" applyAlignment="1">
      <alignment horizontal="right" vertical="top"/>
    </xf>
    <xf numFmtId="164" fontId="29" fillId="10" borderId="3" xfId="0" applyNumberFormat="1" applyFont="1" applyFill="1" applyBorder="1" applyAlignment="1">
      <alignment horizontal="right" vertical="top" wrapText="1"/>
    </xf>
    <xf numFmtId="0" fontId="23" fillId="0" borderId="17" xfId="1" applyNumberFormat="1" applyFont="1" applyFill="1" applyBorder="1" applyAlignment="1">
      <alignment horizontal="left" vertical="top"/>
    </xf>
    <xf numFmtId="0" fontId="23" fillId="0" borderId="17" xfId="1" applyNumberFormat="1" applyFont="1" applyFill="1" applyBorder="1" applyAlignment="1">
      <alignment horizontal="center" vertical="top"/>
    </xf>
    <xf numFmtId="0" fontId="3" fillId="0" borderId="26" xfId="1" applyNumberFormat="1" applyFont="1" applyFill="1" applyBorder="1" applyAlignment="1">
      <alignment horizontal="center" vertical="top"/>
    </xf>
    <xf numFmtId="164" fontId="29" fillId="3" borderId="5" xfId="0" applyNumberFormat="1" applyFont="1" applyFill="1" applyBorder="1" applyAlignment="1">
      <alignment horizontal="right" vertical="top" wrapText="1"/>
    </xf>
    <xf numFmtId="164" fontId="29" fillId="4" borderId="72" xfId="0" applyNumberFormat="1" applyFont="1" applyFill="1" applyBorder="1" applyAlignment="1">
      <alignment horizontal="right" vertical="top" wrapText="1"/>
    </xf>
    <xf numFmtId="164" fontId="29" fillId="4" borderId="54" xfId="0" applyNumberFormat="1" applyFont="1" applyFill="1" applyBorder="1" applyAlignment="1">
      <alignment horizontal="right" vertical="top" wrapText="1"/>
    </xf>
    <xf numFmtId="164" fontId="29" fillId="4" borderId="25" xfId="0" applyNumberFormat="1" applyFont="1" applyFill="1" applyBorder="1" applyAlignment="1">
      <alignment horizontal="right" vertical="top" wrapText="1"/>
    </xf>
    <xf numFmtId="164" fontId="5" fillId="7" borderId="5" xfId="0" applyNumberFormat="1" applyFont="1" applyFill="1" applyBorder="1" applyAlignment="1">
      <alignment horizontal="right" vertical="top"/>
    </xf>
    <xf numFmtId="164" fontId="29" fillId="7" borderId="25" xfId="0" applyNumberFormat="1" applyFont="1" applyFill="1" applyBorder="1" applyAlignment="1">
      <alignment horizontal="right" vertical="top" wrapText="1"/>
    </xf>
    <xf numFmtId="164" fontId="5" fillId="7" borderId="25" xfId="0" applyNumberFormat="1" applyFont="1" applyFill="1" applyBorder="1" applyAlignment="1">
      <alignment horizontal="right" vertical="top"/>
    </xf>
    <xf numFmtId="164" fontId="29" fillId="7" borderId="22" xfId="0" applyNumberFormat="1" applyFont="1" applyFill="1" applyBorder="1" applyAlignment="1">
      <alignment horizontal="right" vertical="top" wrapText="1"/>
    </xf>
    <xf numFmtId="164" fontId="29" fillId="7" borderId="69" xfId="0" applyNumberFormat="1" applyFont="1" applyFill="1" applyBorder="1" applyAlignment="1">
      <alignment horizontal="right" vertical="top" wrapText="1"/>
    </xf>
    <xf numFmtId="164" fontId="3" fillId="0" borderId="54" xfId="0" applyNumberFormat="1" applyFont="1" applyFill="1" applyBorder="1" applyAlignment="1">
      <alignment horizontal="right" vertical="top" wrapText="1"/>
    </xf>
    <xf numFmtId="0" fontId="5" fillId="0" borderId="66" xfId="0" applyFont="1" applyFill="1" applyBorder="1" applyAlignment="1">
      <alignment horizontal="center" vertical="top"/>
    </xf>
    <xf numFmtId="164" fontId="5" fillId="10" borderId="26" xfId="0" applyNumberFormat="1" applyFont="1" applyFill="1" applyBorder="1" applyAlignment="1">
      <alignment horizontal="right" vertical="top"/>
    </xf>
    <xf numFmtId="164" fontId="5" fillId="10" borderId="62" xfId="0" applyNumberFormat="1" applyFont="1" applyFill="1" applyBorder="1" applyAlignment="1">
      <alignment horizontal="right" vertical="top"/>
    </xf>
    <xf numFmtId="164" fontId="5" fillId="0" borderId="66" xfId="0" applyNumberFormat="1" applyFont="1" applyFill="1" applyBorder="1" applyAlignment="1">
      <alignment horizontal="right" vertical="top"/>
    </xf>
    <xf numFmtId="164" fontId="5" fillId="0" borderId="36" xfId="0" applyNumberFormat="1" applyFont="1" applyFill="1" applyBorder="1" applyAlignment="1">
      <alignment horizontal="right" vertical="top"/>
    </xf>
    <xf numFmtId="164" fontId="5" fillId="10" borderId="27" xfId="0" applyNumberFormat="1" applyFont="1" applyFill="1" applyBorder="1" applyAlignment="1">
      <alignment horizontal="right" vertical="top"/>
    </xf>
    <xf numFmtId="164" fontId="5" fillId="8" borderId="66" xfId="0" applyNumberFormat="1" applyFont="1" applyFill="1" applyBorder="1" applyAlignment="1">
      <alignment horizontal="right" vertical="top"/>
    </xf>
    <xf numFmtId="0" fontId="3" fillId="8" borderId="77" xfId="0" applyFont="1" applyFill="1" applyBorder="1" applyAlignment="1">
      <alignment horizontal="center" vertical="top"/>
    </xf>
    <xf numFmtId="164" fontId="5" fillId="10" borderId="28" xfId="0" applyNumberFormat="1" applyFont="1" applyFill="1" applyBorder="1" applyAlignment="1">
      <alignment horizontal="right" vertical="top"/>
    </xf>
    <xf numFmtId="164" fontId="5" fillId="10" borderId="29" xfId="0" applyNumberFormat="1" applyFont="1" applyFill="1" applyBorder="1" applyAlignment="1">
      <alignment horizontal="right" vertical="top"/>
    </xf>
    <xf numFmtId="3" fontId="3" fillId="0" borderId="29" xfId="0" applyNumberFormat="1" applyFont="1" applyFill="1" applyBorder="1" applyAlignment="1">
      <alignment vertical="top" wrapText="1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0" fontId="3" fillId="2" borderId="62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3" fillId="0" borderId="17" xfId="0" applyNumberFormat="1" applyFont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3" borderId="47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8" borderId="28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28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3" fontId="3" fillId="2" borderId="17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165" fontId="3" fillId="0" borderId="21" xfId="0" applyNumberFormat="1" applyFont="1" applyFill="1" applyBorder="1" applyAlignment="1">
      <alignment horizontal="center" vertical="top" wrapText="1"/>
    </xf>
    <xf numFmtId="165" fontId="3" fillId="0" borderId="17" xfId="0" applyNumberFormat="1" applyFont="1" applyFill="1" applyBorder="1" applyAlignment="1">
      <alignment horizontal="center" vertical="top" wrapText="1"/>
    </xf>
    <xf numFmtId="49" fontId="3" fillId="0" borderId="21" xfId="0" applyNumberFormat="1" applyFont="1" applyBorder="1" applyAlignment="1">
      <alignment horizontal="center" vertical="top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3" fillId="8" borderId="35" xfId="0" applyFont="1" applyFill="1" applyBorder="1" applyAlignment="1">
      <alignment horizontal="center" vertical="top"/>
    </xf>
    <xf numFmtId="164" fontId="19" fillId="10" borderId="11" xfId="0" applyNumberFormat="1" applyFont="1" applyFill="1" applyBorder="1" applyAlignment="1">
      <alignment horizontal="right" vertical="top"/>
    </xf>
    <xf numFmtId="164" fontId="3" fillId="8" borderId="30" xfId="0" applyNumberFormat="1" applyFont="1" applyFill="1" applyBorder="1" applyAlignment="1">
      <alignment horizontal="right" vertical="top"/>
    </xf>
    <xf numFmtId="3" fontId="21" fillId="0" borderId="26" xfId="0" applyNumberFormat="1" applyFont="1" applyFill="1" applyBorder="1" applyAlignment="1">
      <alignment horizontal="center" vertical="center" wrapText="1"/>
    </xf>
    <xf numFmtId="164" fontId="3" fillId="8" borderId="41" xfId="0" applyNumberFormat="1" applyFont="1" applyFill="1" applyBorder="1" applyAlignment="1">
      <alignment horizontal="right" vertical="top"/>
    </xf>
    <xf numFmtId="164" fontId="5" fillId="8" borderId="46" xfId="0" applyNumberFormat="1" applyFont="1" applyFill="1" applyBorder="1" applyAlignment="1">
      <alignment horizontal="right" vertical="top"/>
    </xf>
    <xf numFmtId="0" fontId="3" fillId="0" borderId="8" xfId="1" applyFont="1" applyFill="1" applyBorder="1" applyAlignment="1">
      <alignment vertical="top" wrapText="1"/>
    </xf>
    <xf numFmtId="3" fontId="3" fillId="0" borderId="28" xfId="1" applyNumberFormat="1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top" wrapText="1"/>
    </xf>
    <xf numFmtId="0" fontId="3" fillId="3" borderId="68" xfId="0" applyFont="1" applyFill="1" applyBorder="1" applyAlignment="1">
      <alignment horizontal="center" vertical="top" wrapText="1"/>
    </xf>
    <xf numFmtId="0" fontId="3" fillId="3" borderId="69" xfId="0" applyFont="1" applyFill="1" applyBorder="1" applyAlignment="1">
      <alignment horizontal="center" vertical="top" wrapText="1"/>
    </xf>
    <xf numFmtId="49" fontId="3" fillId="0" borderId="28" xfId="0" applyNumberFormat="1" applyFont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top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49" fontId="5" fillId="4" borderId="8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0" fontId="3" fillId="2" borderId="62" xfId="0" applyFont="1" applyFill="1" applyBorder="1" applyAlignment="1">
      <alignment horizontal="left" vertical="top" wrapText="1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 wrapText="1"/>
    </xf>
    <xf numFmtId="0" fontId="3" fillId="0" borderId="10" xfId="0" applyFont="1" applyFill="1" applyBorder="1" applyAlignment="1">
      <alignment horizontal="left" vertical="top" wrapText="1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0" fontId="7" fillId="0" borderId="11" xfId="0" applyFont="1" applyBorder="1" applyAlignment="1">
      <alignment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0" borderId="17" xfId="0" applyNumberFormat="1" applyFont="1" applyFill="1" applyBorder="1" applyAlignment="1">
      <alignment horizontal="center" vertical="top"/>
    </xf>
    <xf numFmtId="0" fontId="3" fillId="2" borderId="33" xfId="0" applyFont="1" applyFill="1" applyBorder="1" applyAlignment="1">
      <alignment horizontal="left" vertical="top" wrapText="1"/>
    </xf>
    <xf numFmtId="49" fontId="3" fillId="0" borderId="17" xfId="0" applyNumberFormat="1" applyFont="1" applyBorder="1" applyAlignment="1">
      <alignment horizontal="center" vertical="top"/>
    </xf>
    <xf numFmtId="49" fontId="3" fillId="0" borderId="34" xfId="0" applyNumberFormat="1" applyFont="1" applyBorder="1" applyAlignment="1">
      <alignment horizontal="center" vertical="top"/>
    </xf>
    <xf numFmtId="49" fontId="5" fillId="0" borderId="33" xfId="0" applyNumberFormat="1" applyFont="1" applyBorder="1" applyAlignment="1">
      <alignment horizontal="center" vertical="top"/>
    </xf>
    <xf numFmtId="0" fontId="3" fillId="0" borderId="31" xfId="0" applyFont="1" applyFill="1" applyBorder="1" applyAlignment="1">
      <alignment horizontal="left" vertical="top" wrapText="1"/>
    </xf>
    <xf numFmtId="49" fontId="5" fillId="3" borderId="47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0" borderId="28" xfId="0" applyNumberFormat="1" applyFont="1" applyFill="1" applyBorder="1" applyAlignment="1">
      <alignment horizontal="center" vertical="top"/>
    </xf>
    <xf numFmtId="49" fontId="5" fillId="8" borderId="28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28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3" fontId="3" fillId="2" borderId="17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0" fontId="3" fillId="0" borderId="45" xfId="0" applyFont="1" applyFill="1" applyBorder="1" applyAlignment="1">
      <alignment horizontal="left" vertical="top" wrapText="1"/>
    </xf>
    <xf numFmtId="165" fontId="3" fillId="0" borderId="21" xfId="0" applyNumberFormat="1" applyFont="1" applyFill="1" applyBorder="1" applyAlignment="1">
      <alignment horizontal="center" vertical="top" wrapText="1"/>
    </xf>
    <xf numFmtId="165" fontId="3" fillId="0" borderId="17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0" fontId="15" fillId="0" borderId="29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center" vertical="center" textRotation="90" wrapText="1"/>
    </xf>
    <xf numFmtId="49" fontId="3" fillId="0" borderId="2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49" fontId="5" fillId="8" borderId="26" xfId="0" applyNumberFormat="1" applyFont="1" applyFill="1" applyBorder="1" applyAlignment="1">
      <alignment horizontal="center" vertical="top" wrapText="1"/>
    </xf>
    <xf numFmtId="49" fontId="5" fillId="4" borderId="8" xfId="0" applyNumberFormat="1" applyFont="1" applyFill="1" applyBorder="1" applyAlignment="1">
      <alignment horizontal="center" vertical="top" wrapText="1"/>
    </xf>
    <xf numFmtId="49" fontId="5" fillId="3" borderId="28" xfId="0" applyNumberFormat="1" applyFont="1" applyFill="1" applyBorder="1" applyAlignment="1">
      <alignment horizontal="center" vertical="top" wrapText="1"/>
    </xf>
    <xf numFmtId="164" fontId="3" fillId="0" borderId="31" xfId="0" applyNumberFormat="1" applyFont="1" applyBorder="1" applyAlignment="1">
      <alignment horizontal="right" vertical="top"/>
    </xf>
    <xf numFmtId="164" fontId="3" fillId="0" borderId="34" xfId="0" applyNumberFormat="1" applyFont="1" applyBorder="1" applyAlignment="1">
      <alignment horizontal="right" vertical="top"/>
    </xf>
    <xf numFmtId="164" fontId="3" fillId="0" borderId="33" xfId="0" applyNumberFormat="1" applyFont="1" applyBorder="1" applyAlignment="1">
      <alignment horizontal="right" vertical="top"/>
    </xf>
    <xf numFmtId="164" fontId="3" fillId="0" borderId="32" xfId="0" applyNumberFormat="1" applyFont="1" applyBorder="1" applyAlignment="1">
      <alignment horizontal="right" vertical="top"/>
    </xf>
    <xf numFmtId="164" fontId="3" fillId="0" borderId="45" xfId="0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6" xfId="0" applyNumberFormat="1" applyFont="1" applyBorder="1" applyAlignment="1">
      <alignment horizontal="right" vertical="top"/>
    </xf>
    <xf numFmtId="164" fontId="3" fillId="0" borderId="2" xfId="0" applyNumberFormat="1" applyFont="1" applyBorder="1" applyAlignment="1">
      <alignment horizontal="right" vertical="top"/>
    </xf>
    <xf numFmtId="164" fontId="3" fillId="0" borderId="37" xfId="0" applyNumberFormat="1" applyFont="1" applyBorder="1" applyAlignment="1">
      <alignment horizontal="right" vertical="top"/>
    </xf>
    <xf numFmtId="164" fontId="3" fillId="0" borderId="18" xfId="0" applyNumberFormat="1" applyFont="1" applyBorder="1" applyAlignment="1">
      <alignment horizontal="right" vertical="top"/>
    </xf>
    <xf numFmtId="164" fontId="19" fillId="8" borderId="2" xfId="0" applyNumberFormat="1" applyFont="1" applyFill="1" applyBorder="1" applyAlignment="1">
      <alignment horizontal="right" vertical="top"/>
    </xf>
    <xf numFmtId="164" fontId="19" fillId="0" borderId="2" xfId="0" applyNumberFormat="1" applyFont="1" applyBorder="1" applyAlignment="1">
      <alignment horizontal="right" vertical="top"/>
    </xf>
    <xf numFmtId="164" fontId="3" fillId="0" borderId="23" xfId="0" applyNumberFormat="1" applyFont="1" applyFill="1" applyBorder="1" applyAlignment="1">
      <alignment horizontal="right" vertical="top" wrapText="1"/>
    </xf>
    <xf numFmtId="164" fontId="5" fillId="10" borderId="2" xfId="0" applyNumberFormat="1" applyFont="1" applyFill="1" applyBorder="1" applyAlignment="1">
      <alignment horizontal="right" vertical="top"/>
    </xf>
    <xf numFmtId="164" fontId="5" fillId="10" borderId="43" xfId="0" applyNumberFormat="1" applyFont="1" applyFill="1" applyBorder="1" applyAlignment="1">
      <alignment horizontal="right" vertical="top"/>
    </xf>
    <xf numFmtId="164" fontId="3" fillId="8" borderId="31" xfId="0" applyNumberFormat="1" applyFont="1" applyFill="1" applyBorder="1" applyAlignment="1">
      <alignment horizontal="right" vertical="top"/>
    </xf>
    <xf numFmtId="164" fontId="3" fillId="8" borderId="34" xfId="0" applyNumberFormat="1" applyFont="1" applyFill="1" applyBorder="1" applyAlignment="1">
      <alignment horizontal="right" vertical="top"/>
    </xf>
    <xf numFmtId="164" fontId="3" fillId="8" borderId="33" xfId="0" applyNumberFormat="1" applyFont="1" applyFill="1" applyBorder="1" applyAlignment="1">
      <alignment horizontal="right" vertical="top"/>
    </xf>
    <xf numFmtId="164" fontId="3" fillId="0" borderId="21" xfId="0" applyNumberFormat="1" applyFont="1" applyFill="1" applyBorder="1" applyAlignment="1">
      <alignment horizontal="right" vertical="top"/>
    </xf>
    <xf numFmtId="164" fontId="3" fillId="2" borderId="49" xfId="0" applyNumberFormat="1" applyFont="1" applyFill="1" applyBorder="1" applyAlignment="1">
      <alignment horizontal="right" vertical="top" wrapText="1"/>
    </xf>
    <xf numFmtId="164" fontId="3" fillId="2" borderId="24" xfId="0" applyNumberFormat="1" applyFont="1" applyFill="1" applyBorder="1" applyAlignment="1">
      <alignment horizontal="right" vertical="top" wrapText="1"/>
    </xf>
    <xf numFmtId="164" fontId="3" fillId="0" borderId="34" xfId="0" applyNumberFormat="1" applyFont="1" applyFill="1" applyBorder="1" applyAlignment="1">
      <alignment horizontal="right" vertical="top"/>
    </xf>
    <xf numFmtId="164" fontId="3" fillId="0" borderId="17" xfId="0" applyNumberFormat="1" applyFont="1" applyFill="1" applyBorder="1" applyAlignment="1">
      <alignment horizontal="right" vertical="top"/>
    </xf>
    <xf numFmtId="164" fontId="3" fillId="2" borderId="21" xfId="0" applyNumberFormat="1" applyFont="1" applyFill="1" applyBorder="1" applyAlignment="1">
      <alignment horizontal="right" vertical="top"/>
    </xf>
    <xf numFmtId="49" fontId="5" fillId="0" borderId="55" xfId="0" applyNumberFormat="1" applyFont="1" applyBorder="1" applyAlignment="1">
      <alignment horizontal="center" vertical="top"/>
    </xf>
    <xf numFmtId="164" fontId="3" fillId="2" borderId="16" xfId="0" applyNumberFormat="1" applyFont="1" applyFill="1" applyBorder="1" applyAlignment="1">
      <alignment horizontal="right" vertical="top"/>
    </xf>
    <xf numFmtId="164" fontId="3" fillId="2" borderId="2" xfId="0" applyNumberFormat="1" applyFont="1" applyFill="1" applyBorder="1" applyAlignment="1">
      <alignment horizontal="right" vertical="top"/>
    </xf>
    <xf numFmtId="164" fontId="5" fillId="10" borderId="44" xfId="0" applyNumberFormat="1" applyFont="1" applyFill="1" applyBorder="1" applyAlignment="1">
      <alignment horizontal="right" vertical="top"/>
    </xf>
    <xf numFmtId="0" fontId="3" fillId="10" borderId="0" xfId="0" applyFont="1" applyFill="1" applyBorder="1" applyAlignment="1">
      <alignment vertical="top"/>
    </xf>
    <xf numFmtId="0" fontId="9" fillId="0" borderId="8" xfId="0" applyFont="1" applyFill="1" applyBorder="1" applyAlignment="1">
      <alignment vertical="top" wrapText="1"/>
    </xf>
    <xf numFmtId="164" fontId="3" fillId="0" borderId="48" xfId="0" applyNumberFormat="1" applyFont="1" applyBorder="1" applyAlignment="1">
      <alignment horizontal="right" vertical="top"/>
    </xf>
    <xf numFmtId="164" fontId="3" fillId="0" borderId="20" xfId="0" applyNumberFormat="1" applyFont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3" xfId="0" applyNumberFormat="1" applyFont="1" applyBorder="1" applyAlignment="1">
      <alignment horizontal="right" vertical="top"/>
    </xf>
    <xf numFmtId="164" fontId="3" fillId="0" borderId="14" xfId="0" applyNumberFormat="1" applyFont="1" applyBorder="1" applyAlignment="1">
      <alignment horizontal="right" vertical="top"/>
    </xf>
    <xf numFmtId="164" fontId="3" fillId="0" borderId="15" xfId="0" applyNumberFormat="1" applyFont="1" applyBorder="1" applyAlignment="1">
      <alignment horizontal="right" vertical="top"/>
    </xf>
    <xf numFmtId="164" fontId="5" fillId="5" borderId="22" xfId="0" applyNumberFormat="1" applyFont="1" applyFill="1" applyBorder="1" applyAlignment="1">
      <alignment horizontal="right" vertical="top"/>
    </xf>
    <xf numFmtId="164" fontId="3" fillId="0" borderId="21" xfId="0" applyNumberFormat="1" applyFont="1" applyBorder="1" applyAlignment="1">
      <alignment horizontal="right" vertical="top"/>
    </xf>
    <xf numFmtId="164" fontId="3" fillId="0" borderId="50" xfId="0" applyNumberFormat="1" applyFont="1" applyBorder="1" applyAlignment="1">
      <alignment horizontal="right" vertical="top"/>
    </xf>
    <xf numFmtId="164" fontId="19" fillId="0" borderId="31" xfId="0" applyNumberFormat="1" applyFont="1" applyBorder="1" applyAlignment="1">
      <alignment horizontal="right" vertical="top"/>
    </xf>
    <xf numFmtId="164" fontId="19" fillId="0" borderId="21" xfId="0" applyNumberFormat="1" applyFont="1" applyFill="1" applyBorder="1" applyAlignment="1">
      <alignment horizontal="right" vertical="top"/>
    </xf>
    <xf numFmtId="164" fontId="3" fillId="0" borderId="2" xfId="0" applyNumberFormat="1" applyFont="1" applyFill="1" applyBorder="1" applyAlignment="1">
      <alignment horizontal="right" vertical="top"/>
    </xf>
    <xf numFmtId="164" fontId="19" fillId="2" borderId="17" xfId="0" applyNumberFormat="1" applyFont="1" applyFill="1" applyBorder="1" applyAlignment="1">
      <alignment horizontal="right" vertical="top"/>
    </xf>
    <xf numFmtId="164" fontId="5" fillId="5" borderId="63" xfId="0" applyNumberFormat="1" applyFont="1" applyFill="1" applyBorder="1" applyAlignment="1">
      <alignment horizontal="right" vertical="top"/>
    </xf>
    <xf numFmtId="164" fontId="3" fillId="8" borderId="16" xfId="0" applyNumberFormat="1" applyFont="1" applyFill="1" applyBorder="1" applyAlignment="1">
      <alignment horizontal="right" vertical="top"/>
    </xf>
    <xf numFmtId="164" fontId="3" fillId="8" borderId="2" xfId="0" applyNumberFormat="1" applyFont="1" applyFill="1" applyBorder="1" applyAlignment="1">
      <alignment horizontal="right" vertical="top"/>
    </xf>
    <xf numFmtId="164" fontId="3" fillId="8" borderId="18" xfId="0" applyNumberFormat="1" applyFont="1" applyFill="1" applyBorder="1" applyAlignment="1">
      <alignment horizontal="right" vertical="top"/>
    </xf>
    <xf numFmtId="164" fontId="3" fillId="2" borderId="31" xfId="0" applyNumberFormat="1" applyFont="1" applyFill="1" applyBorder="1" applyAlignment="1">
      <alignment horizontal="right" vertical="top"/>
    </xf>
    <xf numFmtId="164" fontId="3" fillId="2" borderId="34" xfId="0" applyNumberFormat="1" applyFont="1" applyFill="1" applyBorder="1" applyAlignment="1">
      <alignment horizontal="right" vertical="top"/>
    </xf>
    <xf numFmtId="164" fontId="3" fillId="2" borderId="33" xfId="0" applyNumberFormat="1" applyFont="1" applyFill="1" applyBorder="1" applyAlignment="1">
      <alignment horizontal="right" vertical="top"/>
    </xf>
    <xf numFmtId="164" fontId="3" fillId="0" borderId="70" xfId="0" applyNumberFormat="1" applyFont="1" applyFill="1" applyBorder="1" applyAlignment="1">
      <alignment horizontal="right" vertical="top" wrapText="1"/>
    </xf>
    <xf numFmtId="164" fontId="3" fillId="2" borderId="12" xfId="0" applyNumberFormat="1" applyFont="1" applyFill="1" applyBorder="1" applyAlignment="1">
      <alignment horizontal="right" vertical="top"/>
    </xf>
    <xf numFmtId="164" fontId="3" fillId="2" borderId="13" xfId="0" applyNumberFormat="1" applyFont="1" applyFill="1" applyBorder="1" applyAlignment="1">
      <alignment horizontal="right" vertical="top"/>
    </xf>
    <xf numFmtId="0" fontId="5" fillId="10" borderId="64" xfId="0" applyFont="1" applyFill="1" applyBorder="1" applyAlignment="1">
      <alignment horizontal="center" vertical="top"/>
    </xf>
    <xf numFmtId="164" fontId="3" fillId="0" borderId="18" xfId="0" applyNumberFormat="1" applyFont="1" applyFill="1" applyBorder="1" applyAlignment="1">
      <alignment horizontal="right" vertical="top"/>
    </xf>
    <xf numFmtId="164" fontId="3" fillId="0" borderId="39" xfId="0" applyNumberFormat="1" applyFont="1" applyBorder="1" applyAlignment="1">
      <alignment horizontal="right" vertical="top"/>
    </xf>
    <xf numFmtId="164" fontId="3" fillId="8" borderId="14" xfId="0" applyNumberFormat="1" applyFont="1" applyFill="1" applyBorder="1" applyAlignment="1">
      <alignment horizontal="right" vertical="top"/>
    </xf>
    <xf numFmtId="164" fontId="3" fillId="8" borderId="12" xfId="0" applyNumberFormat="1" applyFont="1" applyFill="1" applyBorder="1" applyAlignment="1">
      <alignment horizontal="right" vertical="top"/>
    </xf>
    <xf numFmtId="164" fontId="3" fillId="8" borderId="13" xfId="0" applyNumberFormat="1" applyFont="1" applyFill="1" applyBorder="1" applyAlignment="1">
      <alignment horizontal="right" vertical="top"/>
    </xf>
    <xf numFmtId="164" fontId="3" fillId="0" borderId="28" xfId="0" applyNumberFormat="1" applyFont="1" applyFill="1" applyBorder="1" applyAlignment="1">
      <alignment horizontal="right" vertical="top"/>
    </xf>
    <xf numFmtId="164" fontId="3" fillId="2" borderId="29" xfId="0" applyNumberFormat="1" applyFont="1" applyFill="1" applyBorder="1" applyAlignment="1">
      <alignment horizontal="right" vertical="top"/>
    </xf>
    <xf numFmtId="164" fontId="3" fillId="2" borderId="1" xfId="0" applyNumberFormat="1" applyFont="1" applyFill="1" applyBorder="1" applyAlignment="1">
      <alignment horizontal="right" vertical="top"/>
    </xf>
    <xf numFmtId="49" fontId="3" fillId="0" borderId="7" xfId="0" applyNumberFormat="1" applyFont="1" applyFill="1" applyBorder="1" applyAlignment="1">
      <alignment horizontal="center" vertical="top"/>
    </xf>
    <xf numFmtId="164" fontId="3" fillId="0" borderId="12" xfId="0" applyNumberFormat="1" applyFont="1" applyFill="1" applyBorder="1" applyAlignment="1">
      <alignment vertical="top"/>
    </xf>
    <xf numFmtId="164" fontId="3" fillId="0" borderId="13" xfId="0" applyNumberFormat="1" applyFont="1" applyFill="1" applyBorder="1" applyAlignment="1">
      <alignment vertical="top"/>
    </xf>
    <xf numFmtId="164" fontId="3" fillId="0" borderId="14" xfId="0" applyNumberFormat="1" applyFont="1" applyFill="1" applyBorder="1" applyAlignment="1">
      <alignment vertical="top"/>
    </xf>
    <xf numFmtId="164" fontId="5" fillId="0" borderId="13" xfId="0" applyNumberFormat="1" applyFont="1" applyFill="1" applyBorder="1" applyAlignment="1">
      <alignment vertical="top"/>
    </xf>
    <xf numFmtId="164" fontId="3" fillId="0" borderId="7" xfId="0" applyNumberFormat="1" applyFont="1" applyFill="1" applyBorder="1" applyAlignment="1">
      <alignment vertical="top"/>
    </xf>
    <xf numFmtId="49" fontId="5" fillId="0" borderId="34" xfId="0" applyNumberFormat="1" applyFont="1" applyFill="1" applyBorder="1" applyAlignment="1">
      <alignment horizontal="center" vertical="top"/>
    </xf>
    <xf numFmtId="49" fontId="3" fillId="0" borderId="23" xfId="0" applyNumberFormat="1" applyFont="1" applyFill="1" applyBorder="1" applyAlignment="1">
      <alignment horizontal="center" vertical="top"/>
    </xf>
    <xf numFmtId="164" fontId="3" fillId="0" borderId="16" xfId="0" applyNumberFormat="1" applyFont="1" applyFill="1" applyBorder="1" applyAlignment="1">
      <alignment vertical="top"/>
    </xf>
    <xf numFmtId="164" fontId="3" fillId="0" borderId="2" xfId="0" applyNumberFormat="1" applyFont="1" applyFill="1" applyBorder="1" applyAlignment="1">
      <alignment vertical="top"/>
    </xf>
    <xf numFmtId="164" fontId="3" fillId="0" borderId="37" xfId="0" applyNumberFormat="1" applyFont="1" applyFill="1" applyBorder="1" applyAlignment="1">
      <alignment vertical="top"/>
    </xf>
    <xf numFmtId="164" fontId="3" fillId="8" borderId="16" xfId="0" applyNumberFormat="1" applyFont="1" applyFill="1" applyBorder="1" applyAlignment="1">
      <alignment vertical="top"/>
    </xf>
    <xf numFmtId="164" fontId="3" fillId="8" borderId="2" xfId="0" applyNumberFormat="1" applyFont="1" applyFill="1" applyBorder="1" applyAlignment="1">
      <alignment vertical="top"/>
    </xf>
    <xf numFmtId="164" fontId="5" fillId="0" borderId="2" xfId="0" applyNumberFormat="1" applyFont="1" applyFill="1" applyBorder="1" applyAlignment="1">
      <alignment vertical="top"/>
    </xf>
    <xf numFmtId="164" fontId="3" fillId="0" borderId="23" xfId="0" applyNumberFormat="1" applyFont="1" applyFill="1" applyBorder="1" applyAlignment="1">
      <alignment vertical="top"/>
    </xf>
    <xf numFmtId="0" fontId="3" fillId="0" borderId="24" xfId="0" applyFont="1" applyFill="1" applyBorder="1" applyAlignment="1">
      <alignment horizontal="center" vertical="top"/>
    </xf>
    <xf numFmtId="164" fontId="5" fillId="3" borderId="68" xfId="0" applyNumberFormat="1" applyFont="1" applyFill="1" applyBorder="1" applyAlignment="1">
      <alignment horizontal="right" vertical="top"/>
    </xf>
    <xf numFmtId="164" fontId="19" fillId="10" borderId="21" xfId="0" applyNumberFormat="1" applyFont="1" applyFill="1" applyBorder="1" applyAlignment="1">
      <alignment horizontal="right" vertical="top"/>
    </xf>
    <xf numFmtId="164" fontId="19" fillId="8" borderId="12" xfId="0" applyNumberFormat="1" applyFont="1" applyFill="1" applyBorder="1" applyAlignment="1">
      <alignment horizontal="right" vertical="top"/>
    </xf>
    <xf numFmtId="164" fontId="19" fillId="8" borderId="13" xfId="0" applyNumberFormat="1" applyFont="1" applyFill="1" applyBorder="1" applyAlignment="1">
      <alignment horizontal="right" vertical="top"/>
    </xf>
    <xf numFmtId="0" fontId="3" fillId="8" borderId="0" xfId="0" applyFont="1" applyFill="1" applyBorder="1" applyAlignment="1">
      <alignment vertical="top"/>
    </xf>
    <xf numFmtId="164" fontId="3" fillId="8" borderId="39" xfId="0" applyNumberFormat="1" applyFont="1" applyFill="1" applyBorder="1" applyAlignment="1">
      <alignment horizontal="right" vertical="top"/>
    </xf>
    <xf numFmtId="164" fontId="19" fillId="8" borderId="17" xfId="0" applyNumberFormat="1" applyFont="1" applyFill="1" applyBorder="1" applyAlignment="1">
      <alignment horizontal="right" vertical="top"/>
    </xf>
    <xf numFmtId="164" fontId="3" fillId="8" borderId="15" xfId="0" applyNumberFormat="1" applyFont="1" applyFill="1" applyBorder="1" applyAlignment="1">
      <alignment horizontal="right" vertical="top"/>
    </xf>
    <xf numFmtId="164" fontId="3" fillId="2" borderId="18" xfId="0" applyNumberFormat="1" applyFont="1" applyFill="1" applyBorder="1" applyAlignment="1">
      <alignment horizontal="right" vertical="top"/>
    </xf>
    <xf numFmtId="0" fontId="3" fillId="8" borderId="65" xfId="0" applyFont="1" applyFill="1" applyBorder="1" applyAlignment="1">
      <alignment horizontal="center" vertical="top"/>
    </xf>
    <xf numFmtId="0" fontId="3" fillId="8" borderId="53" xfId="0" applyFont="1" applyFill="1" applyBorder="1" applyAlignment="1">
      <alignment horizontal="center" vertical="top"/>
    </xf>
    <xf numFmtId="164" fontId="3" fillId="8" borderId="20" xfId="0" applyNumberFormat="1" applyFont="1" applyFill="1" applyBorder="1" applyAlignment="1">
      <alignment horizontal="right" vertical="top"/>
    </xf>
    <xf numFmtId="164" fontId="3" fillId="8" borderId="21" xfId="0" applyNumberFormat="1" applyFont="1" applyFill="1" applyBorder="1" applyAlignment="1">
      <alignment horizontal="right" vertical="top"/>
    </xf>
    <xf numFmtId="164" fontId="3" fillId="8" borderId="1" xfId="0" applyNumberFormat="1" applyFont="1" applyFill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28" xfId="0" applyNumberFormat="1" applyFont="1" applyBorder="1" applyAlignment="1">
      <alignment horizontal="right" vertical="top"/>
    </xf>
    <xf numFmtId="164" fontId="3" fillId="0" borderId="47" xfId="0" applyNumberFormat="1" applyFont="1" applyBorder="1" applyAlignment="1">
      <alignment horizontal="right" vertical="top"/>
    </xf>
    <xf numFmtId="164" fontId="3" fillId="0" borderId="29" xfId="0" applyNumberFormat="1" applyFont="1" applyBorder="1" applyAlignment="1">
      <alignment horizontal="right" vertical="top"/>
    </xf>
    <xf numFmtId="0" fontId="3" fillId="0" borderId="23" xfId="0" applyFont="1" applyBorder="1" applyAlignment="1">
      <alignment horizontal="center" vertical="top" wrapText="1"/>
    </xf>
    <xf numFmtId="49" fontId="5" fillId="0" borderId="52" xfId="0" applyNumberFormat="1" applyFont="1" applyBorder="1" applyAlignment="1">
      <alignment horizontal="center" vertical="top"/>
    </xf>
    <xf numFmtId="164" fontId="3" fillId="0" borderId="48" xfId="0" applyNumberFormat="1" applyFont="1" applyFill="1" applyBorder="1" applyAlignment="1">
      <alignment horizontal="right" vertical="top"/>
    </xf>
    <xf numFmtId="49" fontId="5" fillId="0" borderId="55" xfId="0" applyNumberFormat="1" applyFont="1" applyBorder="1" applyAlignment="1">
      <alignment horizontal="center" vertical="top" wrapText="1"/>
    </xf>
    <xf numFmtId="49" fontId="3" fillId="2" borderId="41" xfId="0" applyNumberFormat="1" applyFont="1" applyFill="1" applyBorder="1" applyAlignment="1">
      <alignment horizontal="center" vertical="top" wrapText="1"/>
    </xf>
    <xf numFmtId="49" fontId="3" fillId="2" borderId="43" xfId="0" applyNumberFormat="1" applyFont="1" applyFill="1" applyBorder="1" applyAlignment="1">
      <alignment horizontal="center" vertical="top" wrapText="1"/>
    </xf>
    <xf numFmtId="49" fontId="3" fillId="2" borderId="43" xfId="0" applyNumberFormat="1" applyFont="1" applyFill="1" applyBorder="1" applyAlignment="1">
      <alignment horizontal="center" vertical="top"/>
    </xf>
    <xf numFmtId="164" fontId="3" fillId="2" borderId="43" xfId="0" applyNumberFormat="1" applyFont="1" applyFill="1" applyBorder="1" applyAlignment="1">
      <alignment horizontal="center" vertical="top"/>
    </xf>
    <xf numFmtId="164" fontId="3" fillId="2" borderId="37" xfId="0" applyNumberFormat="1" applyFont="1" applyFill="1" applyBorder="1" applyAlignment="1">
      <alignment horizontal="center" vertical="top"/>
    </xf>
    <xf numFmtId="49" fontId="3" fillId="8" borderId="47" xfId="0" applyNumberFormat="1" applyFont="1" applyFill="1" applyBorder="1" applyAlignment="1">
      <alignment horizontal="center" vertical="top"/>
    </xf>
    <xf numFmtId="164" fontId="11" fillId="2" borderId="2" xfId="0" applyNumberFormat="1" applyFont="1" applyFill="1" applyBorder="1" applyAlignment="1">
      <alignment horizontal="center" vertical="top" wrapText="1"/>
    </xf>
    <xf numFmtId="164" fontId="11" fillId="2" borderId="37" xfId="0" applyNumberFormat="1" applyFont="1" applyFill="1" applyBorder="1" applyAlignment="1">
      <alignment horizontal="center" vertical="top" wrapText="1"/>
    </xf>
    <xf numFmtId="164" fontId="11" fillId="2" borderId="12" xfId="0" applyNumberFormat="1" applyFont="1" applyFill="1" applyBorder="1" applyAlignment="1">
      <alignment horizontal="center" vertical="top" wrapText="1"/>
    </xf>
    <xf numFmtId="164" fontId="11" fillId="2" borderId="13" xfId="0" applyNumberFormat="1" applyFont="1" applyFill="1" applyBorder="1" applyAlignment="1">
      <alignment horizontal="center" vertical="top" wrapText="1"/>
    </xf>
    <xf numFmtId="164" fontId="11" fillId="2" borderId="15" xfId="0" applyNumberFormat="1" applyFont="1" applyFill="1" applyBorder="1" applyAlignment="1">
      <alignment horizontal="center" vertical="top" wrapText="1"/>
    </xf>
    <xf numFmtId="164" fontId="11" fillId="10" borderId="38" xfId="0" applyNumberFormat="1" applyFont="1" applyFill="1" applyBorder="1" applyAlignment="1">
      <alignment horizontal="center" vertical="top" wrapText="1"/>
    </xf>
    <xf numFmtId="164" fontId="11" fillId="10" borderId="2" xfId="0" applyNumberFormat="1" applyFont="1" applyFill="1" applyBorder="1" applyAlignment="1">
      <alignment horizontal="center" vertical="top" wrapText="1"/>
    </xf>
    <xf numFmtId="49" fontId="3" fillId="8" borderId="50" xfId="0" applyNumberFormat="1" applyFont="1" applyFill="1" applyBorder="1" applyAlignment="1">
      <alignment horizontal="center" vertical="top"/>
    </xf>
    <xf numFmtId="164" fontId="11" fillId="2" borderId="51" xfId="0" applyNumberFormat="1" applyFont="1" applyFill="1" applyBorder="1" applyAlignment="1">
      <alignment horizontal="center" vertical="top" wrapText="1"/>
    </xf>
    <xf numFmtId="164" fontId="11" fillId="2" borderId="48" xfId="0" applyNumberFormat="1" applyFont="1" applyFill="1" applyBorder="1" applyAlignment="1">
      <alignment horizontal="center" vertical="top" wrapText="1"/>
    </xf>
    <xf numFmtId="164" fontId="11" fillId="2" borderId="45" xfId="0" applyNumberFormat="1" applyFont="1" applyFill="1" applyBorder="1" applyAlignment="1">
      <alignment horizontal="center" vertical="top" wrapText="1"/>
    </xf>
    <xf numFmtId="164" fontId="11" fillId="2" borderId="1" xfId="0" applyNumberFormat="1" applyFont="1" applyFill="1" applyBorder="1" applyAlignment="1">
      <alignment horizontal="center" vertical="top" wrapText="1"/>
    </xf>
    <xf numFmtId="164" fontId="11" fillId="10" borderId="51" xfId="0" applyNumberFormat="1" applyFont="1" applyFill="1" applyBorder="1" applyAlignment="1">
      <alignment horizontal="center" vertical="top" wrapText="1"/>
    </xf>
    <xf numFmtId="164" fontId="11" fillId="10" borderId="48" xfId="0" applyNumberFormat="1" applyFont="1" applyFill="1" applyBorder="1" applyAlignment="1">
      <alignment horizontal="center" vertical="top" wrapText="1"/>
    </xf>
    <xf numFmtId="49" fontId="3" fillId="8" borderId="62" xfId="0" applyNumberFormat="1" applyFont="1" applyFill="1" applyBorder="1" applyAlignment="1">
      <alignment horizontal="center" vertical="top"/>
    </xf>
    <xf numFmtId="164" fontId="5" fillId="10" borderId="51" xfId="0" applyNumberFormat="1" applyFont="1" applyFill="1" applyBorder="1" applyAlignment="1">
      <alignment horizontal="center" vertical="top" wrapText="1"/>
    </xf>
    <xf numFmtId="164" fontId="5" fillId="10" borderId="48" xfId="0" applyNumberFormat="1" applyFont="1" applyFill="1" applyBorder="1" applyAlignment="1">
      <alignment horizontal="center" vertical="top" wrapText="1"/>
    </xf>
    <xf numFmtId="164" fontId="5" fillId="10" borderId="45" xfId="0" applyNumberFormat="1" applyFont="1" applyFill="1" applyBorder="1" applyAlignment="1">
      <alignment horizontal="center" vertical="top" wrapText="1"/>
    </xf>
    <xf numFmtId="164" fontId="5" fillId="10" borderId="1" xfId="0" applyNumberFormat="1" applyFont="1" applyFill="1" applyBorder="1" applyAlignment="1">
      <alignment horizontal="center" vertical="top" wrapText="1"/>
    </xf>
    <xf numFmtId="0" fontId="3" fillId="8" borderId="0" xfId="0" applyFont="1" applyFill="1" applyAlignment="1">
      <alignment vertical="top"/>
    </xf>
    <xf numFmtId="0" fontId="3" fillId="0" borderId="8" xfId="0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49" fontId="3" fillId="0" borderId="24" xfId="0" applyNumberFormat="1" applyFont="1" applyFill="1" applyBorder="1" applyAlignment="1">
      <alignment horizontal="center" vertical="top" wrapText="1"/>
    </xf>
    <xf numFmtId="49" fontId="5" fillId="14" borderId="16" xfId="0" applyNumberFormat="1" applyFont="1" applyFill="1" applyBorder="1" applyAlignment="1">
      <alignment horizontal="center" vertical="top" wrapText="1"/>
    </xf>
    <xf numFmtId="49" fontId="5" fillId="14" borderId="40" xfId="0" applyNumberFormat="1" applyFont="1" applyFill="1" applyBorder="1" applyAlignment="1">
      <alignment horizontal="center" vertical="top"/>
    </xf>
    <xf numFmtId="49" fontId="5" fillId="14" borderId="35" xfId="0" applyNumberFormat="1" applyFont="1" applyFill="1" applyBorder="1" applyAlignment="1">
      <alignment horizontal="center" vertical="top"/>
    </xf>
    <xf numFmtId="49" fontId="5" fillId="14" borderId="56" xfId="0" applyNumberFormat="1" applyFont="1" applyFill="1" applyBorder="1" applyAlignment="1">
      <alignment horizontal="center" vertical="top"/>
    </xf>
    <xf numFmtId="49" fontId="5" fillId="14" borderId="63" xfId="0" applyNumberFormat="1" applyFont="1" applyFill="1" applyBorder="1" applyAlignment="1">
      <alignment horizontal="center" vertical="top"/>
    </xf>
    <xf numFmtId="49" fontId="5" fillId="14" borderId="8" xfId="0" applyNumberFormat="1" applyFont="1" applyFill="1" applyBorder="1" applyAlignment="1">
      <alignment horizontal="center" vertical="top" wrapText="1"/>
    </xf>
    <xf numFmtId="164" fontId="5" fillId="14" borderId="22" xfId="0" applyNumberFormat="1" applyFont="1" applyFill="1" applyBorder="1" applyAlignment="1">
      <alignment horizontal="right" vertical="top"/>
    </xf>
    <xf numFmtId="164" fontId="5" fillId="14" borderId="68" xfId="0" applyNumberFormat="1" applyFont="1" applyFill="1" applyBorder="1" applyAlignment="1">
      <alignment horizontal="right" vertical="top"/>
    </xf>
    <xf numFmtId="164" fontId="5" fillId="14" borderId="56" xfId="0" applyNumberFormat="1" applyFont="1" applyFill="1" applyBorder="1" applyAlignment="1">
      <alignment horizontal="right" vertical="top"/>
    </xf>
    <xf numFmtId="164" fontId="5" fillId="14" borderId="69" xfId="0" applyNumberFormat="1" applyFont="1" applyFill="1" applyBorder="1" applyAlignment="1">
      <alignment horizontal="right" vertical="top"/>
    </xf>
    <xf numFmtId="164" fontId="5" fillId="14" borderId="25" xfId="0" applyNumberFormat="1" applyFont="1" applyFill="1" applyBorder="1" applyAlignment="1">
      <alignment horizontal="right" vertical="top"/>
    </xf>
    <xf numFmtId="3" fontId="3" fillId="0" borderId="21" xfId="0" applyNumberFormat="1" applyFont="1" applyFill="1" applyBorder="1" applyAlignment="1">
      <alignment vertical="top" wrapText="1"/>
    </xf>
    <xf numFmtId="0" fontId="3" fillId="0" borderId="0" xfId="1" applyFont="1" applyFill="1" applyBorder="1" applyAlignment="1">
      <alignment vertical="top" wrapText="1"/>
    </xf>
    <xf numFmtId="164" fontId="5" fillId="8" borderId="51" xfId="0" applyNumberFormat="1" applyFont="1" applyFill="1" applyBorder="1" applyAlignment="1">
      <alignment horizontal="right" vertical="top"/>
    </xf>
    <xf numFmtId="49" fontId="5" fillId="0" borderId="24" xfId="0" applyNumberFormat="1" applyFont="1" applyBorder="1" applyAlignment="1">
      <alignment horizontal="center" vertical="top"/>
    </xf>
    <xf numFmtId="164" fontId="5" fillId="8" borderId="38" xfId="0" applyNumberFormat="1" applyFont="1" applyFill="1" applyBorder="1" applyAlignment="1">
      <alignment horizontal="right" vertical="top"/>
    </xf>
    <xf numFmtId="164" fontId="5" fillId="8" borderId="23" xfId="0" applyNumberFormat="1" applyFont="1" applyFill="1" applyBorder="1" applyAlignment="1">
      <alignment horizontal="right" vertical="top"/>
    </xf>
    <xf numFmtId="3" fontId="3" fillId="0" borderId="34" xfId="0" applyNumberFormat="1" applyFont="1" applyFill="1" applyBorder="1" applyAlignment="1">
      <alignment vertical="top" wrapText="1"/>
    </xf>
    <xf numFmtId="49" fontId="5" fillId="13" borderId="62" xfId="0" applyNumberFormat="1" applyFont="1" applyFill="1" applyBorder="1" applyAlignment="1">
      <alignment vertical="top"/>
    </xf>
    <xf numFmtId="49" fontId="5" fillId="13" borderId="30" xfId="0" applyNumberFormat="1" applyFont="1" applyFill="1" applyBorder="1" applyAlignment="1">
      <alignment vertical="top"/>
    </xf>
    <xf numFmtId="0" fontId="3" fillId="13" borderId="30" xfId="0" applyFont="1" applyFill="1" applyBorder="1" applyAlignment="1">
      <alignment horizontal="left" vertical="top" wrapText="1"/>
    </xf>
    <xf numFmtId="0" fontId="3" fillId="13" borderId="30" xfId="0" applyFont="1" applyFill="1" applyBorder="1" applyAlignment="1">
      <alignment horizontal="center" vertical="center" textRotation="90" wrapText="1"/>
    </xf>
    <xf numFmtId="49" fontId="3" fillId="13" borderId="30" xfId="0" applyNumberFormat="1" applyFont="1" applyFill="1" applyBorder="1" applyAlignment="1">
      <alignment horizontal="center" vertical="top" wrapText="1"/>
    </xf>
    <xf numFmtId="49" fontId="5" fillId="13" borderId="30" xfId="0" applyNumberFormat="1" applyFont="1" applyFill="1" applyBorder="1" applyAlignment="1">
      <alignment horizontal="center" vertical="top"/>
    </xf>
    <xf numFmtId="164" fontId="5" fillId="13" borderId="11" xfId="0" applyNumberFormat="1" applyFont="1" applyFill="1" applyBorder="1" applyAlignment="1">
      <alignment horizontal="right" vertical="top"/>
    </xf>
    <xf numFmtId="0" fontId="3" fillId="0" borderId="48" xfId="1" applyNumberFormat="1" applyFont="1" applyFill="1" applyBorder="1" applyAlignment="1">
      <alignment horizontal="center" vertical="top"/>
    </xf>
    <xf numFmtId="164" fontId="5" fillId="13" borderId="75" xfId="0" applyNumberFormat="1" applyFont="1" applyFill="1" applyBorder="1" applyAlignment="1">
      <alignment horizontal="right" vertical="top"/>
    </xf>
    <xf numFmtId="3" fontId="3" fillId="2" borderId="34" xfId="0" applyNumberFormat="1" applyFont="1" applyFill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164" fontId="3" fillId="0" borderId="39" xfId="0" applyNumberFormat="1" applyFont="1" applyFill="1" applyBorder="1" applyAlignment="1">
      <alignment horizontal="right" vertical="top"/>
    </xf>
    <xf numFmtId="164" fontId="19" fillId="0" borderId="45" xfId="0" applyNumberFormat="1" applyFont="1" applyBorder="1" applyAlignment="1">
      <alignment horizontal="right" vertical="top"/>
    </xf>
    <xf numFmtId="164" fontId="19" fillId="0" borderId="21" xfId="0" applyNumberFormat="1" applyFont="1" applyBorder="1" applyAlignment="1">
      <alignment horizontal="right" vertical="top"/>
    </xf>
    <xf numFmtId="0" fontId="3" fillId="2" borderId="40" xfId="0" applyFont="1" applyFill="1" applyBorder="1" applyAlignment="1">
      <alignment horizontal="center" vertical="top"/>
    </xf>
    <xf numFmtId="164" fontId="5" fillId="8" borderId="40" xfId="0" applyNumberFormat="1" applyFont="1" applyFill="1" applyBorder="1" applyAlignment="1">
      <alignment horizontal="right" vertical="top"/>
    </xf>
    <xf numFmtId="164" fontId="5" fillId="8" borderId="17" xfId="0" applyNumberFormat="1" applyFont="1" applyFill="1" applyBorder="1" applyAlignment="1">
      <alignment horizontal="right" vertical="top"/>
    </xf>
    <xf numFmtId="164" fontId="5" fillId="8" borderId="39" xfId="0" applyNumberFormat="1" applyFont="1" applyFill="1" applyBorder="1" applyAlignment="1">
      <alignment horizontal="right" vertical="top"/>
    </xf>
    <xf numFmtId="164" fontId="19" fillId="2" borderId="50" xfId="0" applyNumberFormat="1" applyFont="1" applyFill="1" applyBorder="1" applyAlignment="1">
      <alignment horizontal="right" vertical="top"/>
    </xf>
    <xf numFmtId="164" fontId="5" fillId="2" borderId="9" xfId="0" applyNumberFormat="1" applyFont="1" applyFill="1" applyBorder="1" applyAlignment="1">
      <alignment horizontal="right" vertical="top"/>
    </xf>
    <xf numFmtId="164" fontId="19" fillId="10" borderId="40" xfId="0" applyNumberFormat="1" applyFont="1" applyFill="1" applyBorder="1" applyAlignment="1">
      <alignment horizontal="right" vertical="top"/>
    </xf>
    <xf numFmtId="164" fontId="5" fillId="10" borderId="0" xfId="0" applyNumberFormat="1" applyFont="1" applyFill="1" applyBorder="1" applyAlignment="1">
      <alignment horizontal="right" vertical="top"/>
    </xf>
    <xf numFmtId="164" fontId="19" fillId="8" borderId="34" xfId="0" applyNumberFormat="1" applyFont="1" applyFill="1" applyBorder="1" applyAlignment="1">
      <alignment horizontal="right" vertical="top"/>
    </xf>
    <xf numFmtId="164" fontId="3" fillId="8" borderId="45" xfId="0" applyNumberFormat="1" applyFont="1" applyFill="1" applyBorder="1" applyAlignment="1">
      <alignment horizontal="right" vertical="top"/>
    </xf>
    <xf numFmtId="164" fontId="3" fillId="2" borderId="45" xfId="0" applyNumberFormat="1" applyFont="1" applyFill="1" applyBorder="1" applyAlignment="1">
      <alignment horizontal="right" vertical="top"/>
    </xf>
    <xf numFmtId="164" fontId="5" fillId="13" borderId="66" xfId="0" applyNumberFormat="1" applyFont="1" applyFill="1" applyBorder="1" applyAlignment="1">
      <alignment horizontal="right" vertical="top"/>
    </xf>
    <xf numFmtId="164" fontId="3" fillId="0" borderId="33" xfId="0" applyNumberFormat="1" applyFont="1" applyFill="1" applyBorder="1" applyAlignment="1">
      <alignment horizontal="right" vertical="top"/>
    </xf>
    <xf numFmtId="164" fontId="5" fillId="13" borderId="30" xfId="0" applyNumberFormat="1" applyFont="1" applyFill="1" applyBorder="1" applyAlignment="1">
      <alignment horizontal="right" vertical="top"/>
    </xf>
    <xf numFmtId="164" fontId="5" fillId="13" borderId="36" xfId="0" applyNumberFormat="1" applyFont="1" applyFill="1" applyBorder="1" applyAlignment="1">
      <alignment horizontal="right" vertical="top"/>
    </xf>
    <xf numFmtId="164" fontId="3" fillId="2" borderId="55" xfId="0" applyNumberFormat="1" applyFont="1" applyFill="1" applyBorder="1" applyAlignment="1">
      <alignment horizontal="right" vertical="top" wrapText="1"/>
    </xf>
    <xf numFmtId="164" fontId="3" fillId="8" borderId="38" xfId="0" applyNumberFormat="1" applyFont="1" applyFill="1" applyBorder="1" applyAlignment="1">
      <alignment horizontal="right" vertical="top"/>
    </xf>
    <xf numFmtId="164" fontId="3" fillId="8" borderId="37" xfId="0" applyNumberFormat="1" applyFont="1" applyFill="1" applyBorder="1" applyAlignment="1">
      <alignment horizontal="right" vertical="top"/>
    </xf>
    <xf numFmtId="164" fontId="3" fillId="8" borderId="50" xfId="0" applyNumberFormat="1" applyFont="1" applyFill="1" applyBorder="1" applyAlignment="1">
      <alignment horizontal="right" vertical="top"/>
    </xf>
    <xf numFmtId="164" fontId="3" fillId="8" borderId="32" xfId="0" applyNumberFormat="1" applyFont="1" applyFill="1" applyBorder="1" applyAlignment="1">
      <alignment horizontal="right" vertical="top"/>
    </xf>
    <xf numFmtId="0" fontId="3" fillId="0" borderId="83" xfId="0" applyFont="1" applyFill="1" applyBorder="1" applyAlignment="1">
      <alignment horizontal="center" vertical="top" wrapText="1"/>
    </xf>
    <xf numFmtId="164" fontId="3" fillId="8" borderId="84" xfId="0" applyNumberFormat="1" applyFont="1" applyFill="1" applyBorder="1" applyAlignment="1">
      <alignment horizontal="right" vertical="top"/>
    </xf>
    <xf numFmtId="164" fontId="19" fillId="0" borderId="84" xfId="0" applyNumberFormat="1" applyFont="1" applyBorder="1" applyAlignment="1">
      <alignment horizontal="right" vertical="top"/>
    </xf>
    <xf numFmtId="164" fontId="19" fillId="0" borderId="85" xfId="0" applyNumberFormat="1" applyFont="1" applyFill="1" applyBorder="1" applyAlignment="1">
      <alignment horizontal="right" vertical="top"/>
    </xf>
    <xf numFmtId="164" fontId="19" fillId="0" borderId="86" xfId="0" applyNumberFormat="1" applyFont="1" applyFill="1" applyBorder="1" applyAlignment="1">
      <alignment horizontal="right" vertical="top"/>
    </xf>
    <xf numFmtId="164" fontId="3" fillId="10" borderId="84" xfId="0" applyNumberFormat="1" applyFont="1" applyFill="1" applyBorder="1" applyAlignment="1">
      <alignment horizontal="right" vertical="top"/>
    </xf>
    <xf numFmtId="164" fontId="3" fillId="10" borderId="85" xfId="0" applyNumberFormat="1" applyFont="1" applyFill="1" applyBorder="1" applyAlignment="1">
      <alignment horizontal="right" vertical="top"/>
    </xf>
    <xf numFmtId="164" fontId="3" fillId="10" borderId="86" xfId="0" applyNumberFormat="1" applyFont="1" applyFill="1" applyBorder="1" applyAlignment="1">
      <alignment horizontal="right" vertical="top"/>
    </xf>
    <xf numFmtId="164" fontId="3" fillId="0" borderId="83" xfId="0" applyNumberFormat="1" applyFont="1" applyFill="1" applyBorder="1" applyAlignment="1">
      <alignment horizontal="right" vertical="top"/>
    </xf>
    <xf numFmtId="0" fontId="3" fillId="0" borderId="87" xfId="0" applyFont="1" applyFill="1" applyBorder="1" applyAlignment="1">
      <alignment horizontal="center" vertical="top" wrapText="1"/>
    </xf>
    <xf numFmtId="164" fontId="3" fillId="8" borderId="88" xfId="0" applyNumberFormat="1" applyFont="1" applyFill="1" applyBorder="1" applyAlignment="1">
      <alignment horizontal="right" vertical="top"/>
    </xf>
    <xf numFmtId="164" fontId="19" fillId="8" borderId="89" xfId="0" applyNumberFormat="1" applyFont="1" applyFill="1" applyBorder="1" applyAlignment="1">
      <alignment horizontal="right" vertical="top"/>
    </xf>
    <xf numFmtId="164" fontId="3" fillId="0" borderId="90" xfId="0" applyNumberFormat="1" applyFont="1" applyBorder="1" applyAlignment="1">
      <alignment horizontal="right" vertical="top"/>
    </xf>
    <xf numFmtId="164" fontId="3" fillId="0" borderId="91" xfId="0" applyNumberFormat="1" applyFont="1" applyBorder="1" applyAlignment="1">
      <alignment horizontal="right" vertical="top"/>
    </xf>
    <xf numFmtId="164" fontId="3" fillId="0" borderId="89" xfId="0" applyNumberFormat="1" applyFont="1" applyBorder="1" applyAlignment="1">
      <alignment horizontal="right" vertical="top"/>
    </xf>
    <xf numFmtId="164" fontId="3" fillId="0" borderId="81" xfId="0" applyNumberFormat="1" applyFont="1" applyBorder="1" applyAlignment="1">
      <alignment horizontal="right" vertical="top"/>
    </xf>
    <xf numFmtId="164" fontId="3" fillId="10" borderId="88" xfId="0" applyNumberFormat="1" applyFont="1" applyFill="1" applyBorder="1" applyAlignment="1">
      <alignment horizontal="right" vertical="top"/>
    </xf>
    <xf numFmtId="164" fontId="3" fillId="10" borderId="89" xfId="0" applyNumberFormat="1" applyFont="1" applyFill="1" applyBorder="1" applyAlignment="1">
      <alignment horizontal="right" vertical="top"/>
    </xf>
    <xf numFmtId="164" fontId="3" fillId="10" borderId="90" xfId="0" applyNumberFormat="1" applyFont="1" applyFill="1" applyBorder="1" applyAlignment="1">
      <alignment horizontal="right" vertical="top"/>
    </xf>
    <xf numFmtId="164" fontId="3" fillId="0" borderId="87" xfId="0" applyNumberFormat="1" applyFont="1" applyFill="1" applyBorder="1" applyAlignment="1">
      <alignment horizontal="right" vertical="top" wrapText="1"/>
    </xf>
    <xf numFmtId="164" fontId="3" fillId="8" borderId="85" xfId="0" applyNumberFormat="1" applyFont="1" applyFill="1" applyBorder="1" applyAlignment="1">
      <alignment horizontal="right" vertical="top"/>
    </xf>
    <xf numFmtId="164" fontId="19" fillId="2" borderId="84" xfId="0" applyNumberFormat="1" applyFont="1" applyFill="1" applyBorder="1" applyAlignment="1">
      <alignment horizontal="right" vertical="top"/>
    </xf>
    <xf numFmtId="164" fontId="19" fillId="2" borderId="85" xfId="0" applyNumberFormat="1" applyFont="1" applyFill="1" applyBorder="1" applyAlignment="1">
      <alignment horizontal="right" vertical="top"/>
    </xf>
    <xf numFmtId="0" fontId="3" fillId="0" borderId="84" xfId="0" applyFont="1" applyFill="1" applyBorder="1" applyAlignment="1">
      <alignment horizontal="left" vertical="top" wrapText="1"/>
    </xf>
    <xf numFmtId="3" fontId="3" fillId="0" borderId="85" xfId="0" applyNumberFormat="1" applyFont="1" applyFill="1" applyBorder="1" applyAlignment="1">
      <alignment horizontal="center" vertical="top" wrapText="1"/>
    </xf>
    <xf numFmtId="3" fontId="3" fillId="0" borderId="93" xfId="0" applyNumberFormat="1" applyFont="1" applyFill="1" applyBorder="1" applyAlignment="1">
      <alignment horizontal="center" vertical="top" wrapText="1"/>
    </xf>
    <xf numFmtId="164" fontId="3" fillId="0" borderId="84" xfId="0" applyNumberFormat="1" applyFont="1" applyBorder="1" applyAlignment="1">
      <alignment horizontal="right" vertical="top"/>
    </xf>
    <xf numFmtId="164" fontId="3" fillId="0" borderId="85" xfId="0" applyNumberFormat="1" applyFont="1" applyFill="1" applyBorder="1" applyAlignment="1">
      <alignment horizontal="right" vertical="top"/>
    </xf>
    <xf numFmtId="164" fontId="3" fillId="0" borderId="93" xfId="0" applyNumberFormat="1" applyFont="1" applyBorder="1" applyAlignment="1">
      <alignment horizontal="right" vertical="top"/>
    </xf>
    <xf numFmtId="164" fontId="3" fillId="10" borderId="93" xfId="0" applyNumberFormat="1" applyFont="1" applyFill="1" applyBorder="1" applyAlignment="1">
      <alignment horizontal="right" vertical="top"/>
    </xf>
    <xf numFmtId="164" fontId="19" fillId="8" borderId="84" xfId="0" applyNumberFormat="1" applyFont="1" applyFill="1" applyBorder="1" applyAlignment="1">
      <alignment horizontal="right" vertical="top"/>
    </xf>
    <xf numFmtId="164" fontId="3" fillId="8" borderId="93" xfId="0" applyNumberFormat="1" applyFont="1" applyFill="1" applyBorder="1" applyAlignment="1">
      <alignment horizontal="right" vertical="top"/>
    </xf>
    <xf numFmtId="164" fontId="3" fillId="2" borderId="83" xfId="0" applyNumberFormat="1" applyFont="1" applyFill="1" applyBorder="1" applyAlignment="1">
      <alignment horizontal="right" vertical="top" wrapText="1"/>
    </xf>
    <xf numFmtId="49" fontId="3" fillId="0" borderId="23" xfId="0" applyNumberFormat="1" applyFont="1" applyFill="1" applyBorder="1" applyAlignment="1">
      <alignment horizontal="center" vertical="top" wrapText="1"/>
    </xf>
    <xf numFmtId="0" fontId="3" fillId="2" borderId="100" xfId="0" applyFont="1" applyFill="1" applyBorder="1" applyAlignment="1">
      <alignment horizontal="center" vertical="top"/>
    </xf>
    <xf numFmtId="164" fontId="3" fillId="8" borderId="91" xfId="0" applyNumberFormat="1" applyFont="1" applyFill="1" applyBorder="1" applyAlignment="1">
      <alignment horizontal="right" vertical="top"/>
    </xf>
    <xf numFmtId="164" fontId="3" fillId="8" borderId="89" xfId="0" applyNumberFormat="1" applyFont="1" applyFill="1" applyBorder="1" applyAlignment="1">
      <alignment horizontal="right" vertical="top"/>
    </xf>
    <xf numFmtId="164" fontId="3" fillId="8" borderId="81" xfId="0" applyNumberFormat="1" applyFont="1" applyFill="1" applyBorder="1" applyAlignment="1">
      <alignment horizontal="right" vertical="top"/>
    </xf>
    <xf numFmtId="164" fontId="19" fillId="2" borderId="91" xfId="0" applyNumberFormat="1" applyFont="1" applyFill="1" applyBorder="1" applyAlignment="1">
      <alignment horizontal="right" vertical="top"/>
    </xf>
    <xf numFmtId="164" fontId="19" fillId="2" borderId="89" xfId="0" applyNumberFormat="1" applyFont="1" applyFill="1" applyBorder="1" applyAlignment="1">
      <alignment horizontal="right" vertical="top"/>
    </xf>
    <xf numFmtId="164" fontId="5" fillId="10" borderId="89" xfId="0" applyNumberFormat="1" applyFont="1" applyFill="1" applyBorder="1" applyAlignment="1">
      <alignment horizontal="right" vertical="top"/>
    </xf>
    <xf numFmtId="164" fontId="3" fillId="8" borderId="51" xfId="0" applyNumberFormat="1" applyFont="1" applyFill="1" applyBorder="1" applyAlignment="1">
      <alignment horizontal="right" vertical="top"/>
    </xf>
    <xf numFmtId="164" fontId="3" fillId="8" borderId="48" xfId="0" applyNumberFormat="1" applyFont="1" applyFill="1" applyBorder="1" applyAlignment="1">
      <alignment horizontal="right" vertical="top"/>
    </xf>
    <xf numFmtId="164" fontId="3" fillId="8" borderId="101" xfId="0" applyNumberFormat="1" applyFont="1" applyFill="1" applyBorder="1" applyAlignment="1">
      <alignment horizontal="right" vertical="top"/>
    </xf>
    <xf numFmtId="164" fontId="3" fillId="0" borderId="85" xfId="0" applyNumberFormat="1" applyFont="1" applyBorder="1" applyAlignment="1">
      <alignment horizontal="right" vertical="top"/>
    </xf>
    <xf numFmtId="164" fontId="3" fillId="10" borderId="101" xfId="0" applyNumberFormat="1" applyFont="1" applyFill="1" applyBorder="1" applyAlignment="1">
      <alignment horizontal="right" vertical="top"/>
    </xf>
    <xf numFmtId="164" fontId="3" fillId="2" borderId="92" xfId="0" applyNumberFormat="1" applyFont="1" applyFill="1" applyBorder="1" applyAlignment="1">
      <alignment horizontal="right" vertical="top" wrapText="1"/>
    </xf>
    <xf numFmtId="164" fontId="3" fillId="8" borderId="90" xfId="0" applyNumberFormat="1" applyFont="1" applyFill="1" applyBorder="1" applyAlignment="1">
      <alignment horizontal="right" vertical="top"/>
    </xf>
    <xf numFmtId="164" fontId="3" fillId="0" borderId="102" xfId="0" applyNumberFormat="1" applyFont="1" applyFill="1" applyBorder="1" applyAlignment="1">
      <alignment horizontal="right" vertical="top" wrapText="1"/>
    </xf>
    <xf numFmtId="0" fontId="3" fillId="0" borderId="32" xfId="1" applyNumberFormat="1" applyFont="1" applyFill="1" applyBorder="1" applyAlignment="1">
      <alignment horizontal="center" vertical="top"/>
    </xf>
    <xf numFmtId="0" fontId="0" fillId="13" borderId="35" xfId="0" applyFill="1" applyBorder="1" applyAlignment="1">
      <alignment vertical="top" wrapText="1"/>
    </xf>
    <xf numFmtId="3" fontId="3" fillId="13" borderId="36" xfId="0" applyNumberFormat="1" applyFont="1" applyFill="1" applyBorder="1" applyAlignment="1">
      <alignment vertical="top" wrapText="1"/>
    </xf>
    <xf numFmtId="3" fontId="3" fillId="13" borderId="67" xfId="1" applyNumberFormat="1" applyFont="1" applyFill="1" applyBorder="1" applyAlignment="1">
      <alignment vertical="top"/>
    </xf>
    <xf numFmtId="3" fontId="3" fillId="13" borderId="67" xfId="0" applyNumberFormat="1" applyFont="1" applyFill="1" applyBorder="1" applyAlignment="1">
      <alignment vertical="top" wrapText="1"/>
    </xf>
    <xf numFmtId="3" fontId="3" fillId="13" borderId="30" xfId="1" applyNumberFormat="1" applyFont="1" applyFill="1" applyBorder="1" applyAlignment="1">
      <alignment vertical="top"/>
    </xf>
    <xf numFmtId="3" fontId="3" fillId="13" borderId="30" xfId="0" applyNumberFormat="1" applyFont="1" applyFill="1" applyBorder="1" applyAlignment="1">
      <alignment vertical="top" wrapText="1"/>
    </xf>
    <xf numFmtId="164" fontId="3" fillId="0" borderId="31" xfId="0" applyNumberFormat="1" applyFont="1" applyFill="1" applyBorder="1" applyAlignment="1">
      <alignment horizontal="right" vertical="top"/>
    </xf>
    <xf numFmtId="0" fontId="3" fillId="0" borderId="96" xfId="0" applyFont="1" applyFill="1" applyBorder="1" applyAlignment="1">
      <alignment horizontal="center" vertical="top" wrapText="1"/>
    </xf>
    <xf numFmtId="164" fontId="3" fillId="8" borderId="103" xfId="0" applyNumberFormat="1" applyFont="1" applyFill="1" applyBorder="1" applyAlignment="1">
      <alignment horizontal="right" vertical="top"/>
    </xf>
    <xf numFmtId="164" fontId="3" fillId="8" borderId="98" xfId="0" applyNumberFormat="1" applyFont="1" applyFill="1" applyBorder="1" applyAlignment="1">
      <alignment horizontal="right" vertical="top"/>
    </xf>
    <xf numFmtId="164" fontId="3" fillId="0" borderId="98" xfId="0" applyNumberFormat="1" applyFont="1" applyBorder="1" applyAlignment="1">
      <alignment horizontal="right" vertical="top"/>
    </xf>
    <xf numFmtId="164" fontId="3" fillId="0" borderId="104" xfId="0" applyNumberFormat="1" applyFont="1" applyBorder="1" applyAlignment="1">
      <alignment horizontal="right" vertical="top"/>
    </xf>
    <xf numFmtId="164" fontId="3" fillId="0" borderId="97" xfId="0" applyNumberFormat="1" applyFont="1" applyBorder="1" applyAlignment="1">
      <alignment horizontal="right" vertical="top"/>
    </xf>
    <xf numFmtId="0" fontId="3" fillId="0" borderId="84" xfId="0" applyFont="1" applyFill="1" applyBorder="1" applyAlignment="1">
      <alignment vertical="top" wrapText="1"/>
    </xf>
    <xf numFmtId="0" fontId="3" fillId="0" borderId="16" xfId="0" applyFont="1" applyFill="1" applyBorder="1" applyAlignment="1">
      <alignment horizontal="center" vertical="center" textRotation="90" wrapText="1"/>
    </xf>
    <xf numFmtId="49" fontId="3" fillId="0" borderId="2" xfId="0" applyNumberFormat="1" applyFont="1" applyBorder="1" applyAlignment="1">
      <alignment horizontal="center" vertical="top"/>
    </xf>
    <xf numFmtId="164" fontId="3" fillId="0" borderId="76" xfId="0" applyNumberFormat="1" applyFont="1" applyFill="1" applyBorder="1" applyAlignment="1">
      <alignment horizontal="right" vertical="top" wrapText="1"/>
    </xf>
    <xf numFmtId="49" fontId="3" fillId="0" borderId="23" xfId="0" applyNumberFormat="1" applyFont="1" applyBorder="1" applyAlignment="1">
      <alignment horizontal="center" vertical="top" wrapText="1"/>
    </xf>
    <xf numFmtId="164" fontId="3" fillId="8" borderId="58" xfId="0" applyNumberFormat="1" applyFont="1" applyFill="1" applyBorder="1" applyAlignment="1">
      <alignment horizontal="right" vertical="top"/>
    </xf>
    <xf numFmtId="0" fontId="3" fillId="0" borderId="35" xfId="0" applyFont="1" applyBorder="1" applyAlignment="1">
      <alignment vertical="top"/>
    </xf>
    <xf numFmtId="0" fontId="3" fillId="0" borderId="26" xfId="0" applyFont="1" applyBorder="1" applyAlignment="1">
      <alignment vertical="top"/>
    </xf>
    <xf numFmtId="0" fontId="3" fillId="0" borderId="62" xfId="0" applyFont="1" applyBorder="1" applyAlignment="1">
      <alignment vertical="top"/>
    </xf>
    <xf numFmtId="0" fontId="3" fillId="0" borderId="27" xfId="0" applyFont="1" applyBorder="1" applyAlignment="1">
      <alignment vertical="top"/>
    </xf>
    <xf numFmtId="0" fontId="3" fillId="2" borderId="45" xfId="0" applyFont="1" applyFill="1" applyBorder="1" applyAlignment="1">
      <alignment vertical="top" wrapText="1"/>
    </xf>
    <xf numFmtId="0" fontId="3" fillId="0" borderId="93" xfId="0" applyFont="1" applyBorder="1" applyAlignment="1">
      <alignment vertical="top" wrapText="1"/>
    </xf>
    <xf numFmtId="0" fontId="3" fillId="0" borderId="84" xfId="0" applyFont="1" applyBorder="1" applyAlignment="1">
      <alignment textRotation="90"/>
    </xf>
    <xf numFmtId="49" fontId="3" fillId="0" borderId="21" xfId="0" applyNumberFormat="1" applyFont="1" applyFill="1" applyBorder="1" applyAlignment="1">
      <alignment horizontal="center" vertical="top"/>
    </xf>
    <xf numFmtId="49" fontId="5" fillId="0" borderId="50" xfId="0" applyNumberFormat="1" applyFont="1" applyFill="1" applyBorder="1" applyAlignment="1">
      <alignment horizontal="center" vertical="top"/>
    </xf>
    <xf numFmtId="0" fontId="3" fillId="13" borderId="0" xfId="0" applyFont="1" applyFill="1" applyBorder="1" applyAlignment="1">
      <alignment horizontal="left" vertical="top" wrapText="1"/>
    </xf>
    <xf numFmtId="49" fontId="5" fillId="13" borderId="0" xfId="0" applyNumberFormat="1" applyFont="1" applyFill="1" applyBorder="1" applyAlignment="1">
      <alignment horizontal="center" vertical="top"/>
    </xf>
    <xf numFmtId="49" fontId="3" fillId="0" borderId="83" xfId="0" applyNumberFormat="1" applyFont="1" applyFill="1" applyBorder="1" applyAlignment="1">
      <alignment horizontal="center" vertical="top"/>
    </xf>
    <xf numFmtId="164" fontId="3" fillId="0" borderId="85" xfId="0" applyNumberFormat="1" applyFont="1" applyFill="1" applyBorder="1" applyAlignment="1">
      <alignment vertical="top"/>
    </xf>
    <xf numFmtId="164" fontId="3" fillId="0" borderId="15" xfId="0" applyNumberFormat="1" applyFont="1" applyFill="1" applyBorder="1" applyAlignment="1">
      <alignment vertical="top"/>
    </xf>
    <xf numFmtId="164" fontId="3" fillId="0" borderId="18" xfId="0" applyNumberFormat="1" applyFont="1" applyFill="1" applyBorder="1" applyAlignment="1">
      <alignment vertical="top"/>
    </xf>
    <xf numFmtId="164" fontId="5" fillId="13" borderId="39" xfId="0" applyNumberFormat="1" applyFont="1" applyFill="1" applyBorder="1" applyAlignment="1">
      <alignment horizontal="right" vertical="top"/>
    </xf>
    <xf numFmtId="0" fontId="3" fillId="0" borderId="96" xfId="0" applyFont="1" applyFill="1" applyBorder="1" applyAlignment="1">
      <alignment horizontal="center" vertical="top"/>
    </xf>
    <xf numFmtId="164" fontId="19" fillId="0" borderId="34" xfId="0" applyNumberFormat="1" applyFont="1" applyBorder="1" applyAlignment="1">
      <alignment horizontal="right" vertical="top"/>
    </xf>
    <xf numFmtId="164" fontId="19" fillId="0" borderId="33" xfId="0" applyNumberFormat="1" applyFont="1" applyBorder="1" applyAlignment="1">
      <alignment horizontal="right" vertical="top"/>
    </xf>
    <xf numFmtId="164" fontId="19" fillId="10" borderId="34" xfId="0" applyNumberFormat="1" applyFont="1" applyFill="1" applyBorder="1" applyAlignment="1">
      <alignment horizontal="right" vertical="top"/>
    </xf>
    <xf numFmtId="164" fontId="19" fillId="0" borderId="84" xfId="0" applyNumberFormat="1" applyFont="1" applyFill="1" applyBorder="1" applyAlignment="1">
      <alignment horizontal="right" vertical="top"/>
    </xf>
    <xf numFmtId="164" fontId="3" fillId="0" borderId="86" xfId="0" applyNumberFormat="1" applyFont="1" applyBorder="1" applyAlignment="1">
      <alignment horizontal="right" vertical="top"/>
    </xf>
    <xf numFmtId="164" fontId="19" fillId="0" borderId="85" xfId="0" applyNumberFormat="1" applyFont="1" applyBorder="1" applyAlignment="1">
      <alignment horizontal="right" vertical="top"/>
    </xf>
    <xf numFmtId="164" fontId="19" fillId="0" borderId="93" xfId="0" applyNumberFormat="1" applyFont="1" applyBorder="1" applyAlignment="1">
      <alignment horizontal="right" vertical="top"/>
    </xf>
    <xf numFmtId="164" fontId="19" fillId="10" borderId="85" xfId="0" applyNumberFormat="1" applyFont="1" applyFill="1" applyBorder="1" applyAlignment="1">
      <alignment horizontal="right" vertical="top"/>
    </xf>
    <xf numFmtId="3" fontId="3" fillId="0" borderId="85" xfId="0" applyNumberFormat="1" applyFont="1" applyFill="1" applyBorder="1" applyAlignment="1">
      <alignment horizontal="center" vertical="top"/>
    </xf>
    <xf numFmtId="3" fontId="3" fillId="0" borderId="93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164" fontId="19" fillId="0" borderId="45" xfId="0" applyNumberFormat="1" applyFont="1" applyFill="1" applyBorder="1" applyAlignment="1">
      <alignment horizontal="right" vertical="top"/>
    </xf>
    <xf numFmtId="164" fontId="19" fillId="0" borderId="1" xfId="0" applyNumberFormat="1" applyFont="1" applyBorder="1" applyAlignment="1">
      <alignment horizontal="right" vertical="top"/>
    </xf>
    <xf numFmtId="0" fontId="3" fillId="0" borderId="83" xfId="0" applyFont="1" applyFill="1" applyBorder="1" applyAlignment="1">
      <alignment horizontal="center" vertical="top"/>
    </xf>
    <xf numFmtId="49" fontId="3" fillId="0" borderId="77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0" fontId="3" fillId="0" borderId="97" xfId="0" applyFont="1" applyFill="1" applyBorder="1" applyAlignment="1">
      <alignment vertical="top" wrapText="1"/>
    </xf>
    <xf numFmtId="3" fontId="3" fillId="0" borderId="98" xfId="0" applyNumberFormat="1" applyFont="1" applyFill="1" applyBorder="1" applyAlignment="1">
      <alignment horizontal="center" vertical="top"/>
    </xf>
    <xf numFmtId="3" fontId="3" fillId="0" borderId="99" xfId="0" applyNumberFormat="1" applyFont="1" applyFill="1" applyBorder="1" applyAlignment="1">
      <alignment horizontal="center" vertical="top"/>
    </xf>
    <xf numFmtId="0" fontId="3" fillId="0" borderId="87" xfId="0" applyFont="1" applyFill="1" applyBorder="1" applyAlignment="1">
      <alignment horizontal="center" vertical="top"/>
    </xf>
    <xf numFmtId="164" fontId="3" fillId="0" borderId="91" xfId="0" applyNumberFormat="1" applyFont="1" applyFill="1" applyBorder="1" applyAlignment="1">
      <alignment horizontal="right" vertical="top"/>
    </xf>
    <xf numFmtId="164" fontId="3" fillId="0" borderId="89" xfId="0" applyNumberFormat="1" applyFont="1" applyFill="1" applyBorder="1" applyAlignment="1">
      <alignment horizontal="right" vertical="top"/>
    </xf>
    <xf numFmtId="164" fontId="3" fillId="2" borderId="91" xfId="0" applyNumberFormat="1" applyFont="1" applyFill="1" applyBorder="1" applyAlignment="1">
      <alignment horizontal="right" vertical="top"/>
    </xf>
    <xf numFmtId="164" fontId="3" fillId="2" borderId="89" xfId="0" applyNumberFormat="1" applyFont="1" applyFill="1" applyBorder="1" applyAlignment="1">
      <alignment horizontal="right" vertical="top"/>
    </xf>
    <xf numFmtId="164" fontId="3" fillId="10" borderId="91" xfId="0" applyNumberFormat="1" applyFont="1" applyFill="1" applyBorder="1" applyAlignment="1">
      <alignment horizontal="right" vertical="top"/>
    </xf>
    <xf numFmtId="0" fontId="3" fillId="0" borderId="91" xfId="0" applyFont="1" applyFill="1" applyBorder="1" applyAlignment="1">
      <alignment horizontal="left" vertical="top" wrapText="1"/>
    </xf>
    <xf numFmtId="3" fontId="3" fillId="0" borderId="89" xfId="0" applyNumberFormat="1" applyFont="1" applyFill="1" applyBorder="1" applyAlignment="1">
      <alignment horizontal="center" vertical="top"/>
    </xf>
    <xf numFmtId="3" fontId="3" fillId="0" borderId="81" xfId="0" applyNumberFormat="1" applyFont="1" applyFill="1" applyBorder="1" applyAlignment="1">
      <alignment horizontal="center" vertical="top"/>
    </xf>
    <xf numFmtId="164" fontId="19" fillId="0" borderId="89" xfId="0" applyNumberFormat="1" applyFont="1" applyBorder="1" applyAlignment="1">
      <alignment horizontal="right" vertical="top"/>
    </xf>
    <xf numFmtId="164" fontId="19" fillId="0" borderId="81" xfId="0" applyNumberFormat="1" applyFont="1" applyBorder="1" applyAlignment="1">
      <alignment horizontal="right" vertical="top"/>
    </xf>
    <xf numFmtId="164" fontId="19" fillId="10" borderId="89" xfId="0" applyNumberFormat="1" applyFont="1" applyFill="1" applyBorder="1" applyAlignment="1">
      <alignment horizontal="right" vertical="top"/>
    </xf>
    <xf numFmtId="164" fontId="3" fillId="2" borderId="90" xfId="0" applyNumberFormat="1" applyFont="1" applyFill="1" applyBorder="1" applyAlignment="1">
      <alignment horizontal="right" vertical="top"/>
    </xf>
    <xf numFmtId="164" fontId="3" fillId="2" borderId="81" xfId="0" applyNumberFormat="1" applyFont="1" applyFill="1" applyBorder="1" applyAlignment="1">
      <alignment horizontal="right" vertical="top"/>
    </xf>
    <xf numFmtId="0" fontId="3" fillId="13" borderId="10" xfId="0" applyFont="1" applyFill="1" applyBorder="1" applyAlignment="1">
      <alignment vertical="top" wrapText="1"/>
    </xf>
    <xf numFmtId="3" fontId="3" fillId="13" borderId="17" xfId="0" applyNumberFormat="1" applyFont="1" applyFill="1" applyBorder="1" applyAlignment="1">
      <alignment horizontal="center" vertical="top"/>
    </xf>
    <xf numFmtId="3" fontId="3" fillId="13" borderId="19" xfId="0" applyNumberFormat="1" applyFont="1" applyFill="1" applyBorder="1" applyAlignment="1">
      <alignment horizontal="center" vertical="top"/>
    </xf>
    <xf numFmtId="164" fontId="19" fillId="10" borderId="51" xfId="0" applyNumberFormat="1" applyFont="1" applyFill="1" applyBorder="1" applyAlignment="1">
      <alignment horizontal="right" vertical="top"/>
    </xf>
    <xf numFmtId="164" fontId="19" fillId="10" borderId="101" xfId="0" applyNumberFormat="1" applyFont="1" applyFill="1" applyBorder="1" applyAlignment="1">
      <alignment horizontal="right" vertical="top"/>
    </xf>
    <xf numFmtId="164" fontId="19" fillId="10" borderId="88" xfId="0" applyNumberFormat="1" applyFont="1" applyFill="1" applyBorder="1" applyAlignment="1">
      <alignment horizontal="right" vertical="top"/>
    </xf>
    <xf numFmtId="164" fontId="19" fillId="8" borderId="10" xfId="0" applyNumberFormat="1" applyFont="1" applyFill="1" applyBorder="1" applyAlignment="1">
      <alignment horizontal="right" vertical="top"/>
    </xf>
    <xf numFmtId="164" fontId="19" fillId="10" borderId="58" xfId="0" applyNumberFormat="1" applyFont="1" applyFill="1" applyBorder="1" applyAlignment="1">
      <alignment horizontal="right" vertical="top"/>
    </xf>
    <xf numFmtId="164" fontId="19" fillId="10" borderId="39" xfId="0" applyNumberFormat="1" applyFont="1" applyFill="1" applyBorder="1" applyAlignment="1">
      <alignment horizontal="right" vertical="top"/>
    </xf>
    <xf numFmtId="164" fontId="19" fillId="8" borderId="15" xfId="0" applyNumberFormat="1" applyFont="1" applyFill="1" applyBorder="1" applyAlignment="1">
      <alignment horizontal="right" vertical="top"/>
    </xf>
    <xf numFmtId="165" fontId="21" fillId="8" borderId="19" xfId="0" applyNumberFormat="1" applyFont="1" applyFill="1" applyBorder="1" applyAlignment="1">
      <alignment vertical="top" wrapText="1"/>
    </xf>
    <xf numFmtId="0" fontId="7" fillId="12" borderId="35" xfId="0" applyFont="1" applyFill="1" applyBorder="1" applyAlignment="1">
      <alignment vertical="top" wrapText="1"/>
    </xf>
    <xf numFmtId="0" fontId="7" fillId="12" borderId="68" xfId="0" applyNumberFormat="1" applyFont="1" applyFill="1" applyBorder="1" applyAlignment="1">
      <alignment horizontal="center" vertical="top" wrapText="1"/>
    </xf>
    <xf numFmtId="0" fontId="17" fillId="12" borderId="68" xfId="0" applyNumberFormat="1" applyFont="1" applyFill="1" applyBorder="1" applyAlignment="1">
      <alignment horizontal="center" vertical="top"/>
    </xf>
    <xf numFmtId="0" fontId="17" fillId="12" borderId="69" xfId="0" applyNumberFormat="1" applyFont="1" applyFill="1" applyBorder="1" applyAlignment="1">
      <alignment horizontal="center" vertical="top"/>
    </xf>
    <xf numFmtId="164" fontId="3" fillId="8" borderId="43" xfId="0" applyNumberFormat="1" applyFont="1" applyFill="1" applyBorder="1" applyAlignment="1">
      <alignment horizontal="right" vertical="top"/>
    </xf>
    <xf numFmtId="3" fontId="3" fillId="0" borderId="26" xfId="0" applyNumberFormat="1" applyFont="1" applyFill="1" applyBorder="1" applyAlignment="1">
      <alignment horizontal="center" vertical="top" wrapText="1"/>
    </xf>
    <xf numFmtId="3" fontId="3" fillId="0" borderId="27" xfId="0" applyNumberFormat="1" applyFont="1" applyFill="1" applyBorder="1" applyAlignment="1">
      <alignment horizontal="center" vertical="top" wrapText="1"/>
    </xf>
    <xf numFmtId="0" fontId="3" fillId="0" borderId="84" xfId="0" applyFont="1" applyBorder="1" applyAlignment="1">
      <alignment horizontal="left" vertical="top" wrapText="1"/>
    </xf>
    <xf numFmtId="3" fontId="9" fillId="0" borderId="85" xfId="0" applyNumberFormat="1" applyFont="1" applyBorder="1" applyAlignment="1">
      <alignment horizontal="center" vertical="top"/>
    </xf>
    <xf numFmtId="3" fontId="3" fillId="0" borderId="85" xfId="0" applyNumberFormat="1" applyFont="1" applyFill="1" applyBorder="1" applyAlignment="1">
      <alignment vertical="top" wrapText="1"/>
    </xf>
    <xf numFmtId="3" fontId="3" fillId="0" borderId="93" xfId="0" applyNumberFormat="1" applyFont="1" applyFill="1" applyBorder="1" applyAlignment="1">
      <alignment vertical="top" wrapText="1"/>
    </xf>
    <xf numFmtId="0" fontId="3" fillId="8" borderId="84" xfId="0" applyFont="1" applyFill="1" applyBorder="1" applyAlignment="1">
      <alignment horizontal="left" vertical="top" wrapText="1"/>
    </xf>
    <xf numFmtId="3" fontId="9" fillId="8" borderId="85" xfId="0" applyNumberFormat="1" applyFont="1" applyFill="1" applyBorder="1" applyAlignment="1">
      <alignment horizontal="center" vertical="top"/>
    </xf>
    <xf numFmtId="0" fontId="3" fillId="0" borderId="34" xfId="0" applyFont="1" applyBorder="1" applyAlignment="1">
      <alignment vertical="top"/>
    </xf>
    <xf numFmtId="0" fontId="3" fillId="0" borderId="33" xfId="0" applyFont="1" applyBorder="1" applyAlignment="1">
      <alignment vertical="top"/>
    </xf>
    <xf numFmtId="3" fontId="3" fillId="0" borderId="19" xfId="0" applyNumberFormat="1" applyFont="1" applyFill="1" applyBorder="1" applyAlignment="1">
      <alignment horizontal="right" vertical="top" wrapText="1"/>
    </xf>
    <xf numFmtId="0" fontId="3" fillId="0" borderId="16" xfId="1" applyFont="1" applyFill="1" applyBorder="1" applyAlignment="1">
      <alignment vertical="top" wrapText="1"/>
    </xf>
    <xf numFmtId="3" fontId="3" fillId="0" borderId="18" xfId="0" applyNumberFormat="1" applyFont="1" applyFill="1" applyBorder="1" applyAlignment="1">
      <alignment horizontal="right" vertical="top" wrapText="1"/>
    </xf>
    <xf numFmtId="49" fontId="5" fillId="8" borderId="27" xfId="0" applyNumberFormat="1" applyFont="1" applyFill="1" applyBorder="1" applyAlignment="1">
      <alignment horizontal="center" vertical="top"/>
    </xf>
    <xf numFmtId="0" fontId="3" fillId="8" borderId="40" xfId="0" applyFont="1" applyFill="1" applyBorder="1" applyAlignment="1">
      <alignment horizontal="center" vertical="center" textRotation="90" wrapText="1"/>
    </xf>
    <xf numFmtId="49" fontId="3" fillId="8" borderId="17" xfId="0" applyNumberFormat="1" applyFont="1" applyFill="1" applyBorder="1" applyAlignment="1">
      <alignment horizontal="center" vertical="top" wrapText="1"/>
    </xf>
    <xf numFmtId="0" fontId="3" fillId="8" borderId="19" xfId="0" applyFont="1" applyFill="1" applyBorder="1" applyAlignment="1">
      <alignment horizontal="left" vertical="top" wrapText="1"/>
    </xf>
    <xf numFmtId="165" fontId="3" fillId="0" borderId="21" xfId="0" applyNumberFormat="1" applyFont="1" applyFill="1" applyBorder="1" applyAlignment="1">
      <alignment horizontal="right" vertical="top" wrapText="1"/>
    </xf>
    <xf numFmtId="165" fontId="3" fillId="0" borderId="1" xfId="0" applyNumberFormat="1" applyFont="1" applyFill="1" applyBorder="1" applyAlignment="1">
      <alignment horizontal="right" vertical="top" wrapText="1"/>
    </xf>
    <xf numFmtId="165" fontId="3" fillId="0" borderId="17" xfId="0" applyNumberFormat="1" applyFont="1" applyFill="1" applyBorder="1" applyAlignment="1">
      <alignment horizontal="right" vertical="top" wrapText="1"/>
    </xf>
    <xf numFmtId="165" fontId="3" fillId="0" borderId="19" xfId="0" applyNumberFormat="1" applyFont="1" applyFill="1" applyBorder="1" applyAlignment="1">
      <alignment horizontal="right" vertical="top" wrapText="1"/>
    </xf>
    <xf numFmtId="49" fontId="3" fillId="0" borderId="0" xfId="0" applyNumberFormat="1" applyFont="1" applyBorder="1" applyAlignment="1">
      <alignment horizontal="center" vertical="center" wrapText="1"/>
    </xf>
    <xf numFmtId="165" fontId="19" fillId="0" borderId="19" xfId="0" applyNumberFormat="1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horizontal="left" vertical="top" wrapText="1"/>
    </xf>
    <xf numFmtId="165" fontId="19" fillId="0" borderId="50" xfId="0" applyNumberFormat="1" applyFont="1" applyFill="1" applyBorder="1" applyAlignment="1">
      <alignment horizontal="center" vertical="top" wrapText="1"/>
    </xf>
    <xf numFmtId="3" fontId="3" fillId="0" borderId="37" xfId="0" applyNumberFormat="1" applyFont="1" applyFill="1" applyBorder="1" applyAlignment="1">
      <alignment horizontal="center" vertical="top" wrapText="1"/>
    </xf>
    <xf numFmtId="3" fontId="3" fillId="0" borderId="37" xfId="1" applyNumberFormat="1" applyFont="1" applyFill="1" applyBorder="1" applyAlignment="1">
      <alignment horizontal="right" vertical="top"/>
    </xf>
    <xf numFmtId="165" fontId="19" fillId="0" borderId="48" xfId="0" applyNumberFormat="1" applyFont="1" applyFill="1" applyBorder="1" applyAlignment="1">
      <alignment horizontal="center" vertical="top" wrapText="1"/>
    </xf>
    <xf numFmtId="3" fontId="3" fillId="0" borderId="37" xfId="0" applyNumberFormat="1" applyFont="1" applyFill="1" applyBorder="1" applyAlignment="1">
      <alignment horizontal="right" vertical="top" wrapText="1"/>
    </xf>
    <xf numFmtId="164" fontId="3" fillId="0" borderId="40" xfId="0" applyNumberFormat="1" applyFont="1" applyFill="1" applyBorder="1" applyAlignment="1">
      <alignment horizontal="right" vertical="top" wrapText="1"/>
    </xf>
    <xf numFmtId="164" fontId="3" fillId="0" borderId="100" xfId="0" applyNumberFormat="1" applyFont="1" applyFill="1" applyBorder="1" applyAlignment="1">
      <alignment horizontal="right" vertical="top" wrapText="1"/>
    </xf>
    <xf numFmtId="164" fontId="3" fillId="0" borderId="95" xfId="0" applyNumberFormat="1" applyFont="1" applyFill="1" applyBorder="1" applyAlignment="1">
      <alignment horizontal="right" vertical="top"/>
    </xf>
    <xf numFmtId="164" fontId="5" fillId="8" borderId="76" xfId="0" applyNumberFormat="1" applyFont="1" applyFill="1" applyBorder="1" applyAlignment="1">
      <alignment horizontal="right" vertical="top"/>
    </xf>
    <xf numFmtId="164" fontId="3" fillId="10" borderId="81" xfId="0" applyNumberFormat="1" applyFont="1" applyFill="1" applyBorder="1" applyAlignment="1">
      <alignment horizontal="right" vertical="top"/>
    </xf>
    <xf numFmtId="49" fontId="5" fillId="13" borderId="50" xfId="0" applyNumberFormat="1" applyFont="1" applyFill="1" applyBorder="1" applyAlignment="1">
      <alignment horizontal="center" vertical="top"/>
    </xf>
    <xf numFmtId="165" fontId="3" fillId="0" borderId="0" xfId="0" applyNumberFormat="1" applyFont="1" applyBorder="1" applyAlignment="1">
      <alignment vertical="top"/>
    </xf>
    <xf numFmtId="165" fontId="3" fillId="0" borderId="18" xfId="0" applyNumberFormat="1" applyFont="1" applyFill="1" applyBorder="1" applyAlignment="1">
      <alignment horizontal="center" vertical="top" wrapText="1"/>
    </xf>
    <xf numFmtId="164" fontId="3" fillId="8" borderId="105" xfId="0" applyNumberFormat="1" applyFont="1" applyFill="1" applyBorder="1" applyAlignment="1">
      <alignment horizontal="right" vertical="top"/>
    </xf>
    <xf numFmtId="164" fontId="3" fillId="8" borderId="109" xfId="0" applyNumberFormat="1" applyFont="1" applyFill="1" applyBorder="1" applyAlignment="1">
      <alignment horizontal="right" vertical="top"/>
    </xf>
    <xf numFmtId="164" fontId="3" fillId="8" borderId="110" xfId="0" applyNumberFormat="1" applyFont="1" applyFill="1" applyBorder="1" applyAlignment="1">
      <alignment horizontal="right" vertical="top"/>
    </xf>
    <xf numFmtId="3" fontId="3" fillId="0" borderId="86" xfId="0" applyNumberFormat="1" applyFont="1" applyFill="1" applyBorder="1" applyAlignment="1">
      <alignment horizontal="center" vertical="top" wrapText="1"/>
    </xf>
    <xf numFmtId="164" fontId="3" fillId="0" borderId="83" xfId="0" applyNumberFormat="1" applyFont="1" applyFill="1" applyBorder="1" applyAlignment="1">
      <alignment horizontal="right" vertical="top" wrapText="1"/>
    </xf>
    <xf numFmtId="164" fontId="3" fillId="0" borderId="92" xfId="0" applyNumberFormat="1" applyFont="1" applyFill="1" applyBorder="1" applyAlignment="1">
      <alignment horizontal="right" vertical="top" wrapText="1"/>
    </xf>
    <xf numFmtId="165" fontId="3" fillId="0" borderId="85" xfId="0" applyNumberFormat="1" applyFont="1" applyFill="1" applyBorder="1" applyAlignment="1">
      <alignment horizontal="center" vertical="top" wrapText="1"/>
    </xf>
    <xf numFmtId="165" fontId="3" fillId="0" borderId="93" xfId="0" applyNumberFormat="1" applyFont="1" applyFill="1" applyBorder="1" applyAlignment="1">
      <alignment horizontal="center" vertical="top" wrapText="1"/>
    </xf>
    <xf numFmtId="0" fontId="3" fillId="0" borderId="111" xfId="0" applyFont="1" applyFill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57" xfId="0" applyFont="1" applyFill="1" applyBorder="1" applyAlignment="1">
      <alignment horizontal="center" vertical="top" textRotation="90" wrapText="1"/>
    </xf>
    <xf numFmtId="0" fontId="3" fillId="0" borderId="70" xfId="0" applyFont="1" applyFill="1" applyBorder="1" applyAlignment="1">
      <alignment horizontal="center" vertical="top" textRotation="90" wrapText="1"/>
    </xf>
    <xf numFmtId="164" fontId="2" fillId="0" borderId="89" xfId="0" applyNumberFormat="1" applyFont="1" applyFill="1" applyBorder="1" applyAlignment="1">
      <alignment horizontal="center" vertical="center" wrapText="1"/>
    </xf>
    <xf numFmtId="164" fontId="2" fillId="0" borderId="81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top"/>
    </xf>
    <xf numFmtId="164" fontId="3" fillId="0" borderId="98" xfId="0" applyNumberFormat="1" applyFont="1" applyFill="1" applyBorder="1" applyAlignment="1">
      <alignment horizontal="right" vertical="top"/>
    </xf>
    <xf numFmtId="164" fontId="3" fillId="0" borderId="104" xfId="0" applyNumberFormat="1" applyFont="1" applyFill="1" applyBorder="1" applyAlignment="1">
      <alignment horizontal="right" vertical="top"/>
    </xf>
    <xf numFmtId="0" fontId="3" fillId="0" borderId="2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164" fontId="3" fillId="8" borderId="8" xfId="0" applyNumberFormat="1" applyFont="1" applyFill="1" applyBorder="1" applyAlignment="1">
      <alignment horizontal="right" vertical="top"/>
    </xf>
    <xf numFmtId="164" fontId="3" fillId="8" borderId="28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center" vertical="top"/>
    </xf>
    <xf numFmtId="0" fontId="3" fillId="0" borderId="18" xfId="0" applyFont="1" applyFill="1" applyBorder="1" applyAlignment="1">
      <alignment vertical="top" wrapText="1"/>
    </xf>
    <xf numFmtId="3" fontId="3" fillId="0" borderId="2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0" fontId="3" fillId="8" borderId="10" xfId="0" applyFont="1" applyFill="1" applyBorder="1" applyAlignment="1">
      <alignment vertical="top" wrapText="1"/>
    </xf>
    <xf numFmtId="164" fontId="3" fillId="8" borderId="44" xfId="0" applyNumberFormat="1" applyFont="1" applyFill="1" applyBorder="1" applyAlignment="1">
      <alignment horizontal="right" vertical="top"/>
    </xf>
    <xf numFmtId="164" fontId="3" fillId="8" borderId="52" xfId="0" applyNumberFormat="1" applyFont="1" applyFill="1" applyBorder="1" applyAlignment="1">
      <alignment horizontal="right" vertical="top"/>
    </xf>
    <xf numFmtId="164" fontId="5" fillId="10" borderId="35" xfId="0" applyNumberFormat="1" applyFont="1" applyFill="1" applyBorder="1" applyAlignment="1">
      <alignment horizontal="right" vertical="top"/>
    </xf>
    <xf numFmtId="164" fontId="3" fillId="8" borderId="106" xfId="0" applyNumberFormat="1" applyFont="1" applyFill="1" applyBorder="1" applyAlignment="1">
      <alignment horizontal="right" vertical="top"/>
    </xf>
    <xf numFmtId="164" fontId="3" fillId="8" borderId="108" xfId="0" applyNumberFormat="1" applyFont="1" applyFill="1" applyBorder="1" applyAlignment="1">
      <alignment horizontal="right" vertical="top"/>
    </xf>
    <xf numFmtId="0" fontId="3" fillId="8" borderId="93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center" textRotation="90" shrinkToFit="1"/>
    </xf>
    <xf numFmtId="0" fontId="3" fillId="0" borderId="4" xfId="0" applyFont="1" applyBorder="1" applyAlignment="1">
      <alignment horizontal="center" vertical="center" textRotation="90" shrinkToFit="1"/>
    </xf>
    <xf numFmtId="3" fontId="3" fillId="0" borderId="2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164" fontId="5" fillId="10" borderId="11" xfId="0" applyNumberFormat="1" applyFont="1" applyFill="1" applyBorder="1" applyAlignment="1">
      <alignment horizontal="right" vertical="top"/>
    </xf>
    <xf numFmtId="164" fontId="3" fillId="0" borderId="43" xfId="0" applyNumberFormat="1" applyFont="1" applyFill="1" applyBorder="1" applyAlignment="1">
      <alignment horizontal="right" vertical="top"/>
    </xf>
    <xf numFmtId="164" fontId="3" fillId="0" borderId="49" xfId="0" applyNumberFormat="1" applyFont="1" applyFill="1" applyBorder="1" applyAlignment="1">
      <alignment horizontal="right" vertical="top"/>
    </xf>
    <xf numFmtId="164" fontId="19" fillId="2" borderId="2" xfId="0" applyNumberFormat="1" applyFont="1" applyFill="1" applyBorder="1" applyAlignment="1">
      <alignment horizontal="right" vertical="top"/>
    </xf>
    <xf numFmtId="164" fontId="5" fillId="2" borderId="23" xfId="0" applyNumberFormat="1" applyFont="1" applyFill="1" applyBorder="1" applyAlignment="1">
      <alignment horizontal="right" vertical="top"/>
    </xf>
    <xf numFmtId="3" fontId="3" fillId="8" borderId="2" xfId="0" applyNumberFormat="1" applyFont="1" applyFill="1" applyBorder="1" applyAlignment="1">
      <alignment vertical="top" wrapText="1"/>
    </xf>
    <xf numFmtId="3" fontId="3" fillId="8" borderId="18" xfId="0" applyNumberFormat="1" applyFont="1" applyFill="1" applyBorder="1" applyAlignment="1">
      <alignment vertical="top" wrapText="1"/>
    </xf>
    <xf numFmtId="0" fontId="3" fillId="8" borderId="10" xfId="0" applyFont="1" applyFill="1" applyBorder="1" applyAlignment="1">
      <alignment horizontal="left" vertical="top" wrapText="1"/>
    </xf>
    <xf numFmtId="164" fontId="3" fillId="10" borderId="58" xfId="0" applyNumberFormat="1" applyFont="1" applyFill="1" applyBorder="1" applyAlignment="1">
      <alignment vertical="top"/>
    </xf>
    <xf numFmtId="164" fontId="3" fillId="10" borderId="38" xfId="0" applyNumberFormat="1" applyFont="1" applyFill="1" applyBorder="1" applyAlignment="1">
      <alignment vertical="top"/>
    </xf>
    <xf numFmtId="3" fontId="3" fillId="0" borderId="108" xfId="0" applyNumberFormat="1" applyFont="1" applyFill="1" applyBorder="1" applyAlignment="1">
      <alignment horizontal="center" vertical="top" wrapText="1"/>
    </xf>
    <xf numFmtId="3" fontId="3" fillId="0" borderId="82" xfId="0" applyNumberFormat="1" applyFont="1" applyFill="1" applyBorder="1" applyAlignment="1">
      <alignment horizontal="center" vertical="top" wrapText="1"/>
    </xf>
    <xf numFmtId="49" fontId="5" fillId="0" borderId="47" xfId="0" applyNumberFormat="1" applyFont="1" applyFill="1" applyBorder="1" applyAlignment="1">
      <alignment horizontal="center" vertical="top"/>
    </xf>
    <xf numFmtId="0" fontId="3" fillId="0" borderId="76" xfId="0" applyFont="1" applyBorder="1" applyAlignment="1">
      <alignment vertical="top"/>
    </xf>
    <xf numFmtId="0" fontId="3" fillId="0" borderId="44" xfId="0" applyFont="1" applyBorder="1" applyAlignment="1">
      <alignment vertical="top"/>
    </xf>
    <xf numFmtId="0" fontId="3" fillId="10" borderId="2" xfId="0" applyFont="1" applyFill="1" applyBorder="1" applyAlignment="1">
      <alignment vertical="top"/>
    </xf>
    <xf numFmtId="0" fontId="3" fillId="0" borderId="23" xfId="0" applyFont="1" applyBorder="1" applyAlignment="1">
      <alignment vertical="top"/>
    </xf>
    <xf numFmtId="0" fontId="3" fillId="10" borderId="18" xfId="0" applyFont="1" applyFill="1" applyBorder="1" applyAlignment="1">
      <alignment vertical="top"/>
    </xf>
    <xf numFmtId="0" fontId="3" fillId="10" borderId="38" xfId="0" applyFont="1" applyFill="1" applyBorder="1" applyAlignment="1">
      <alignment vertical="top"/>
    </xf>
    <xf numFmtId="164" fontId="3" fillId="10" borderId="35" xfId="0" applyNumberFormat="1" applyFont="1" applyFill="1" applyBorder="1" applyAlignment="1">
      <alignment vertical="top"/>
    </xf>
    <xf numFmtId="164" fontId="3" fillId="10" borderId="36" xfId="0" applyNumberFormat="1" applyFont="1" applyFill="1" applyBorder="1" applyAlignment="1">
      <alignment vertical="top"/>
    </xf>
    <xf numFmtId="164" fontId="3" fillId="10" borderId="66" xfId="0" applyNumberFormat="1" applyFont="1" applyFill="1" applyBorder="1" applyAlignment="1">
      <alignment vertical="top"/>
    </xf>
    <xf numFmtId="164" fontId="3" fillId="10" borderId="60" xfId="0" applyNumberFormat="1" applyFont="1" applyFill="1" applyBorder="1" applyAlignment="1">
      <alignment vertical="top"/>
    </xf>
    <xf numFmtId="164" fontId="3" fillId="10" borderId="3" xfId="0" applyNumberFormat="1" applyFont="1" applyFill="1" applyBorder="1" applyAlignment="1">
      <alignment vertical="top"/>
    </xf>
    <xf numFmtId="164" fontId="3" fillId="10" borderId="4" xfId="0" applyNumberFormat="1" applyFont="1" applyFill="1" applyBorder="1" applyAlignment="1">
      <alignment vertical="top"/>
    </xf>
    <xf numFmtId="164" fontId="3" fillId="10" borderId="74" xfId="0" applyNumberFormat="1" applyFont="1" applyFill="1" applyBorder="1" applyAlignment="1">
      <alignment vertical="top"/>
    </xf>
    <xf numFmtId="164" fontId="3" fillId="10" borderId="59" xfId="0" applyNumberFormat="1" applyFont="1" applyFill="1" applyBorder="1" applyAlignment="1">
      <alignment vertical="top"/>
    </xf>
    <xf numFmtId="49" fontId="5" fillId="0" borderId="36" xfId="0" applyNumberFormat="1" applyFont="1" applyBorder="1" applyAlignment="1">
      <alignment horizontal="center" vertical="top" wrapText="1"/>
    </xf>
    <xf numFmtId="49" fontId="3" fillId="0" borderId="28" xfId="0" applyNumberFormat="1" applyFont="1" applyBorder="1" applyAlignment="1">
      <alignment horizontal="center" vertical="top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0" fontId="5" fillId="2" borderId="53" xfId="0" applyFont="1" applyFill="1" applyBorder="1" applyAlignment="1">
      <alignment horizontal="center" vertical="top" wrapText="1"/>
    </xf>
    <xf numFmtId="0" fontId="5" fillId="2" borderId="36" xfId="0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5" fillId="3" borderId="28" xfId="0" applyNumberFormat="1" applyFont="1" applyFill="1" applyBorder="1" applyAlignment="1">
      <alignment horizontal="center" vertical="top" wrapText="1"/>
    </xf>
    <xf numFmtId="0" fontId="3" fillId="0" borderId="77" xfId="0" applyFont="1" applyFill="1" applyBorder="1" applyAlignment="1">
      <alignment horizontal="center" vertical="center" textRotation="90" wrapText="1"/>
    </xf>
    <xf numFmtId="49" fontId="3" fillId="0" borderId="47" xfId="0" applyNumberFormat="1" applyFont="1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0" fontId="3" fillId="0" borderId="77" xfId="0" applyFont="1" applyFill="1" applyBorder="1" applyAlignment="1">
      <alignment horizontal="center" vertical="top" textRotation="90" wrapText="1"/>
    </xf>
    <xf numFmtId="0" fontId="3" fillId="0" borderId="40" xfId="0" applyFont="1" applyFill="1" applyBorder="1" applyAlignment="1">
      <alignment horizontal="center" vertical="top" textRotation="90" wrapText="1"/>
    </xf>
    <xf numFmtId="165" fontId="9" fillId="0" borderId="28" xfId="0" applyNumberFormat="1" applyFont="1" applyFill="1" applyBorder="1" applyAlignment="1">
      <alignment horizontal="center" vertical="top"/>
    </xf>
    <xf numFmtId="165" fontId="9" fillId="0" borderId="17" xfId="0" applyNumberFormat="1" applyFont="1" applyFill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0" fontId="3" fillId="0" borderId="10" xfId="1" applyFont="1" applyFill="1" applyBorder="1" applyAlignment="1">
      <alignment vertical="top" wrapText="1"/>
    </xf>
    <xf numFmtId="49" fontId="3" fillId="0" borderId="32" xfId="0" applyNumberFormat="1" applyFont="1" applyBorder="1" applyAlignment="1">
      <alignment horizontal="center" vertical="top" wrapText="1"/>
    </xf>
    <xf numFmtId="49" fontId="5" fillId="0" borderId="33" xfId="0" applyNumberFormat="1" applyFont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0" borderId="28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49" fontId="3" fillId="0" borderId="28" xfId="0" applyNumberFormat="1" applyFont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0" fontId="3" fillId="2" borderId="33" xfId="0" applyFont="1" applyFill="1" applyBorder="1" applyAlignment="1">
      <alignment horizontal="left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left" vertical="top" wrapText="1"/>
    </xf>
    <xf numFmtId="165" fontId="3" fillId="0" borderId="17" xfId="0" applyNumberFormat="1" applyFont="1" applyFill="1" applyBorder="1" applyAlignment="1">
      <alignment horizontal="center" vertical="top" wrapText="1"/>
    </xf>
    <xf numFmtId="0" fontId="15" fillId="0" borderId="29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49" fontId="3" fillId="0" borderId="34" xfId="0" applyNumberFormat="1" applyFont="1" applyBorder="1" applyAlignment="1">
      <alignment horizontal="center" vertical="top"/>
    </xf>
    <xf numFmtId="0" fontId="3" fillId="0" borderId="45" xfId="0" applyFont="1" applyFill="1" applyBorder="1" applyAlignment="1">
      <alignment horizontal="center" vertical="center" textRotation="90" wrapText="1"/>
    </xf>
    <xf numFmtId="49" fontId="3" fillId="0" borderId="2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49" fontId="3" fillId="0" borderId="48" xfId="0" applyNumberFormat="1" applyFont="1" applyBorder="1" applyAlignment="1">
      <alignment horizontal="center" vertical="top" wrapText="1"/>
    </xf>
    <xf numFmtId="49" fontId="5" fillId="14" borderId="8" xfId="0" applyNumberFormat="1" applyFont="1" applyFill="1" applyBorder="1" applyAlignment="1">
      <alignment horizontal="center" vertical="top"/>
    </xf>
    <xf numFmtId="49" fontId="5" fillId="14" borderId="1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 wrapText="1"/>
    </xf>
    <xf numFmtId="49" fontId="3" fillId="0" borderId="6" xfId="0" applyNumberFormat="1" applyFont="1" applyBorder="1" applyAlignment="1">
      <alignment horizontal="center" vertical="center" wrapText="1"/>
    </xf>
    <xf numFmtId="49" fontId="5" fillId="14" borderId="10" xfId="0" applyNumberFormat="1" applyFont="1" applyFill="1" applyBorder="1" applyAlignment="1">
      <alignment horizontal="center" vertical="top"/>
    </xf>
    <xf numFmtId="164" fontId="3" fillId="0" borderId="17" xfId="0" applyNumberFormat="1" applyFont="1" applyBorder="1" applyAlignment="1">
      <alignment horizontal="right" vertical="top"/>
    </xf>
    <xf numFmtId="164" fontId="3" fillId="0" borderId="19" xfId="0" applyNumberFormat="1" applyFont="1" applyBorder="1" applyAlignment="1">
      <alignment horizontal="right" vertical="top"/>
    </xf>
    <xf numFmtId="164" fontId="3" fillId="8" borderId="17" xfId="0" applyNumberFormat="1" applyFont="1" applyFill="1" applyBorder="1" applyAlignment="1">
      <alignment horizontal="right" vertical="top"/>
    </xf>
    <xf numFmtId="164" fontId="3" fillId="8" borderId="19" xfId="0" applyNumberFormat="1" applyFont="1" applyFill="1" applyBorder="1" applyAlignment="1">
      <alignment horizontal="right" vertical="top"/>
    </xf>
    <xf numFmtId="164" fontId="3" fillId="10" borderId="17" xfId="0" applyNumberFormat="1" applyFont="1" applyFill="1" applyBorder="1" applyAlignment="1">
      <alignment horizontal="right" vertical="top"/>
    </xf>
    <xf numFmtId="49" fontId="5" fillId="14" borderId="10" xfId="0" applyNumberFormat="1" applyFont="1" applyFill="1" applyBorder="1" applyAlignment="1">
      <alignment horizontal="center" vertical="top" wrapText="1"/>
    </xf>
    <xf numFmtId="49" fontId="3" fillId="2" borderId="42" xfId="0" applyNumberFormat="1" applyFont="1" applyFill="1" applyBorder="1" applyAlignment="1">
      <alignment horizontal="center" vertical="top" wrapText="1"/>
    </xf>
    <xf numFmtId="49" fontId="5" fillId="13" borderId="17" xfId="0" applyNumberFormat="1" applyFont="1" applyFill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top" wrapText="1"/>
    </xf>
    <xf numFmtId="49" fontId="5" fillId="0" borderId="21" xfId="0" applyNumberFormat="1" applyFont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49" fontId="3" fillId="0" borderId="24" xfId="0" applyNumberFormat="1" applyFont="1" applyBorder="1" applyAlignment="1">
      <alignment horizontal="center" vertical="top" wrapText="1"/>
    </xf>
    <xf numFmtId="164" fontId="11" fillId="10" borderId="37" xfId="0" applyNumberFormat="1" applyFont="1" applyFill="1" applyBorder="1" applyAlignment="1">
      <alignment horizontal="center" vertical="top" wrapText="1"/>
    </xf>
    <xf numFmtId="164" fontId="5" fillId="5" borderId="69" xfId="0" applyNumberFormat="1" applyFont="1" applyFill="1" applyBorder="1" applyAlignment="1">
      <alignment horizontal="right" vertical="top"/>
    </xf>
    <xf numFmtId="164" fontId="3" fillId="8" borderId="23" xfId="0" applyNumberFormat="1" applyFont="1" applyFill="1" applyBorder="1" applyAlignment="1">
      <alignment horizontal="right" vertical="top"/>
    </xf>
    <xf numFmtId="164" fontId="3" fillId="8" borderId="6" xfId="0" applyNumberFormat="1" applyFont="1" applyFill="1" applyBorder="1" applyAlignment="1">
      <alignment horizontal="right" vertical="top"/>
    </xf>
    <xf numFmtId="164" fontId="3" fillId="2" borderId="70" xfId="0" applyNumberFormat="1" applyFont="1" applyFill="1" applyBorder="1" applyAlignment="1">
      <alignment horizontal="right" vertical="top"/>
    </xf>
    <xf numFmtId="164" fontId="5" fillId="10" borderId="49" xfId="0" applyNumberFormat="1" applyFont="1" applyFill="1" applyBorder="1" applyAlignment="1">
      <alignment horizontal="right" vertical="top"/>
    </xf>
    <xf numFmtId="164" fontId="5" fillId="2" borderId="24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 applyAlignment="1">
      <alignment horizontal="center" vertical="top"/>
    </xf>
    <xf numFmtId="4" fontId="3" fillId="2" borderId="18" xfId="0" applyNumberFormat="1" applyFont="1" applyFill="1" applyBorder="1" applyAlignment="1">
      <alignment horizontal="center" vertical="top"/>
    </xf>
    <xf numFmtId="3" fontId="3" fillId="8" borderId="85" xfId="0" applyNumberFormat="1" applyFont="1" applyFill="1" applyBorder="1" applyAlignment="1">
      <alignment horizontal="center" vertical="top" wrapText="1"/>
    </xf>
    <xf numFmtId="49" fontId="3" fillId="0" borderId="85" xfId="0" applyNumberFormat="1" applyFont="1" applyFill="1" applyBorder="1" applyAlignment="1">
      <alignment horizontal="center" vertical="top" wrapText="1"/>
    </xf>
    <xf numFmtId="49" fontId="3" fillId="0" borderId="93" xfId="0" applyNumberFormat="1" applyFont="1" applyFill="1" applyBorder="1" applyAlignment="1">
      <alignment horizontal="center" vertical="top" wrapText="1"/>
    </xf>
    <xf numFmtId="0" fontId="3" fillId="8" borderId="106" xfId="0" applyFont="1" applyFill="1" applyBorder="1" applyAlignment="1">
      <alignment horizontal="left" vertical="top" wrapText="1"/>
    </xf>
    <xf numFmtId="3" fontId="9" fillId="0" borderId="112" xfId="0" applyNumberFormat="1" applyFont="1" applyBorder="1" applyAlignment="1">
      <alignment horizontal="center" vertical="top" wrapText="1"/>
    </xf>
    <xf numFmtId="3" fontId="3" fillId="0" borderId="108" xfId="0" applyNumberFormat="1" applyFont="1" applyFill="1" applyBorder="1" applyAlignment="1">
      <alignment vertical="top" wrapText="1"/>
    </xf>
    <xf numFmtId="3" fontId="3" fillId="0" borderId="82" xfId="0" applyNumberFormat="1" applyFont="1" applyFill="1" applyBorder="1" applyAlignment="1">
      <alignment vertical="top" wrapText="1"/>
    </xf>
    <xf numFmtId="0" fontId="3" fillId="0" borderId="91" xfId="0" applyFont="1" applyBorder="1" applyAlignment="1">
      <alignment vertical="top"/>
    </xf>
    <xf numFmtId="0" fontId="3" fillId="0" borderId="89" xfId="0" applyFont="1" applyBorder="1" applyAlignment="1">
      <alignment vertical="top"/>
    </xf>
    <xf numFmtId="0" fontId="3" fillId="0" borderId="81" xfId="0" applyFont="1" applyBorder="1" applyAlignment="1">
      <alignment vertical="top"/>
    </xf>
    <xf numFmtId="49" fontId="5" fillId="0" borderId="29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0" fontId="3" fillId="0" borderId="10" xfId="1" applyFont="1" applyFill="1" applyBorder="1" applyAlignment="1">
      <alignment vertical="top" wrapText="1"/>
    </xf>
    <xf numFmtId="49" fontId="5" fillId="0" borderId="33" xfId="0" applyNumberFormat="1" applyFont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4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49" fontId="5" fillId="14" borderId="8" xfId="0" applyNumberFormat="1" applyFont="1" applyFill="1" applyBorder="1" applyAlignment="1">
      <alignment horizontal="center" vertical="top"/>
    </xf>
    <xf numFmtId="49" fontId="5" fillId="14" borderId="10" xfId="0" applyNumberFormat="1" applyFont="1" applyFill="1" applyBorder="1" applyAlignment="1">
      <alignment horizontal="center" vertical="top"/>
    </xf>
    <xf numFmtId="49" fontId="5" fillId="14" borderId="11" xfId="0" applyNumberFormat="1" applyFont="1" applyFill="1" applyBorder="1" applyAlignment="1">
      <alignment horizontal="center" vertical="top"/>
    </xf>
    <xf numFmtId="49" fontId="5" fillId="14" borderId="10" xfId="0" applyNumberFormat="1" applyFont="1" applyFill="1" applyBorder="1" applyAlignment="1">
      <alignment horizontal="center" vertical="top" wrapText="1"/>
    </xf>
    <xf numFmtId="49" fontId="5" fillId="8" borderId="17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49" fontId="5" fillId="14" borderId="10" xfId="0" applyNumberFormat="1" applyFont="1" applyFill="1" applyBorder="1" applyAlignment="1">
      <alignment horizontal="center" vertical="top" wrapText="1"/>
    </xf>
    <xf numFmtId="49" fontId="5" fillId="8" borderId="62" xfId="0" applyNumberFormat="1" applyFont="1" applyFill="1" applyBorder="1" applyAlignment="1">
      <alignment horizontal="center" vertical="top"/>
    </xf>
    <xf numFmtId="0" fontId="5" fillId="10" borderId="4" xfId="0" applyFont="1" applyFill="1" applyBorder="1" applyAlignment="1">
      <alignment horizontal="center" vertical="top"/>
    </xf>
    <xf numFmtId="49" fontId="5" fillId="0" borderId="32" xfId="0" applyNumberFormat="1" applyFont="1" applyFill="1" applyBorder="1" applyAlignment="1">
      <alignment horizontal="center" vertical="top"/>
    </xf>
    <xf numFmtId="0" fontId="0" fillId="0" borderId="50" xfId="0" applyBorder="1" applyAlignment="1">
      <alignment horizontal="center" vertical="top"/>
    </xf>
    <xf numFmtId="164" fontId="3" fillId="2" borderId="23" xfId="0" applyNumberFormat="1" applyFont="1" applyFill="1" applyBorder="1" applyAlignment="1">
      <alignment horizontal="right" vertical="top"/>
    </xf>
    <xf numFmtId="165" fontId="3" fillId="0" borderId="24" xfId="0" applyNumberFormat="1" applyFont="1" applyFill="1" applyBorder="1" applyAlignment="1">
      <alignment horizontal="right" vertical="top" wrapText="1"/>
    </xf>
    <xf numFmtId="49" fontId="5" fillId="0" borderId="49" xfId="0" applyNumberFormat="1" applyFont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center" vertical="top"/>
    </xf>
    <xf numFmtId="0" fontId="3" fillId="2" borderId="23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164" fontId="3" fillId="8" borderId="24" xfId="0" applyNumberFormat="1" applyFont="1" applyFill="1" applyBorder="1" applyAlignment="1">
      <alignment horizontal="right" vertical="top" wrapText="1"/>
    </xf>
    <xf numFmtId="49" fontId="3" fillId="0" borderId="24" xfId="0" applyNumberFormat="1" applyFont="1" applyFill="1" applyBorder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8" fillId="0" borderId="41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49" fontId="5" fillId="14" borderId="1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49" fontId="3" fillId="0" borderId="34" xfId="0" applyNumberFormat="1" applyFont="1" applyBorder="1" applyAlignment="1">
      <alignment horizontal="center" vertical="top"/>
    </xf>
    <xf numFmtId="49" fontId="5" fillId="14" borderId="10" xfId="0" applyNumberFormat="1" applyFont="1" applyFill="1" applyBorder="1" applyAlignment="1">
      <alignment horizontal="center" vertical="top"/>
    </xf>
    <xf numFmtId="164" fontId="3" fillId="10" borderId="17" xfId="0" applyNumberFormat="1" applyFont="1" applyFill="1" applyBorder="1" applyAlignment="1">
      <alignment horizontal="right" vertical="top"/>
    </xf>
    <xf numFmtId="49" fontId="5" fillId="13" borderId="17" xfId="0" applyNumberFormat="1" applyFont="1" applyFill="1" applyBorder="1" applyAlignment="1">
      <alignment horizontal="center" vertical="top"/>
    </xf>
    <xf numFmtId="49" fontId="5" fillId="0" borderId="39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center" vertical="center" textRotation="90" wrapText="1"/>
    </xf>
    <xf numFmtId="0" fontId="3" fillId="8" borderId="31" xfId="0" applyFont="1" applyFill="1" applyBorder="1" applyAlignment="1">
      <alignment vertical="top" wrapText="1"/>
    </xf>
    <xf numFmtId="3" fontId="9" fillId="8" borderId="34" xfId="0" applyNumberFormat="1" applyFont="1" applyFill="1" applyBorder="1" applyAlignment="1">
      <alignment horizontal="center" vertical="top" wrapText="1"/>
    </xf>
    <xf numFmtId="3" fontId="3" fillId="8" borderId="34" xfId="0" applyNumberFormat="1" applyFont="1" applyFill="1" applyBorder="1" applyAlignment="1">
      <alignment vertical="top" wrapText="1"/>
    </xf>
    <xf numFmtId="3" fontId="3" fillId="8" borderId="33" xfId="0" applyNumberFormat="1" applyFont="1" applyFill="1" applyBorder="1" applyAlignment="1">
      <alignment vertical="top" wrapText="1"/>
    </xf>
    <xf numFmtId="164" fontId="3" fillId="2" borderId="37" xfId="0" applyNumberFormat="1" applyFont="1" applyFill="1" applyBorder="1" applyAlignment="1">
      <alignment horizontal="right" vertical="top"/>
    </xf>
    <xf numFmtId="49" fontId="5" fillId="0" borderId="19" xfId="0" applyNumberFormat="1" applyFont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5" fillId="0" borderId="33" xfId="0" applyNumberFormat="1" applyFont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 textRotation="90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49" fontId="3" fillId="0" borderId="34" xfId="0" applyNumberFormat="1" applyFont="1" applyBorder="1" applyAlignment="1">
      <alignment horizontal="center" vertical="top"/>
    </xf>
    <xf numFmtId="0" fontId="3" fillId="0" borderId="45" xfId="0" applyFont="1" applyFill="1" applyBorder="1" applyAlignment="1">
      <alignment horizontal="center" vertical="center" textRotation="90" wrapText="1"/>
    </xf>
    <xf numFmtId="49" fontId="3" fillId="0" borderId="2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49" fontId="3" fillId="0" borderId="9" xfId="0" applyNumberFormat="1" applyFont="1" applyFill="1" applyBorder="1" applyAlignment="1">
      <alignment horizontal="center" vertical="top" wrapText="1"/>
    </xf>
    <xf numFmtId="49" fontId="5" fillId="14" borderId="10" xfId="0" applyNumberFormat="1" applyFont="1" applyFill="1" applyBorder="1" applyAlignment="1">
      <alignment horizontal="center" vertical="top"/>
    </xf>
    <xf numFmtId="164" fontId="3" fillId="0" borderId="9" xfId="0" applyNumberFormat="1" applyFont="1" applyFill="1" applyBorder="1" applyAlignment="1">
      <alignment horizontal="right" vertical="top" wrapText="1"/>
    </xf>
    <xf numFmtId="0" fontId="3" fillId="8" borderId="93" xfId="0" applyFont="1" applyFill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right" vertical="top"/>
    </xf>
    <xf numFmtId="164" fontId="3" fillId="0" borderId="17" xfId="0" applyNumberFormat="1" applyFont="1" applyBorder="1" applyAlignment="1">
      <alignment horizontal="right" vertical="top"/>
    </xf>
    <xf numFmtId="164" fontId="3" fillId="10" borderId="10" xfId="0" applyNumberFormat="1" applyFont="1" applyFill="1" applyBorder="1" applyAlignment="1">
      <alignment horizontal="right" vertical="top"/>
    </xf>
    <xf numFmtId="164" fontId="3" fillId="10" borderId="17" xfId="0" applyNumberFormat="1" applyFont="1" applyFill="1" applyBorder="1" applyAlignment="1">
      <alignment horizontal="right" vertical="top"/>
    </xf>
    <xf numFmtId="164" fontId="3" fillId="10" borderId="19" xfId="0" applyNumberFormat="1" applyFont="1" applyFill="1" applyBorder="1" applyAlignment="1">
      <alignment horizontal="right" vertical="top"/>
    </xf>
    <xf numFmtId="49" fontId="5" fillId="13" borderId="17" xfId="0" applyNumberFormat="1" applyFont="1" applyFill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0" fontId="3" fillId="8" borderId="33" xfId="0" applyFont="1" applyFill="1" applyBorder="1" applyAlignment="1">
      <alignment horizontal="left" vertical="top" wrapText="1"/>
    </xf>
    <xf numFmtId="49" fontId="3" fillId="0" borderId="39" xfId="0" applyNumberFormat="1" applyFont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0" fontId="3" fillId="0" borderId="40" xfId="0" applyFont="1" applyFill="1" applyBorder="1" applyAlignment="1">
      <alignment horizontal="center" vertical="center" textRotation="90" wrapText="1"/>
    </xf>
    <xf numFmtId="49" fontId="5" fillId="3" borderId="50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45" xfId="0" applyFont="1" applyFill="1" applyBorder="1" applyAlignment="1">
      <alignment horizontal="center" vertical="center" textRotation="90" wrapText="1"/>
    </xf>
    <xf numFmtId="49" fontId="5" fillId="0" borderId="1" xfId="0" applyNumberFormat="1" applyFont="1" applyBorder="1" applyAlignment="1">
      <alignment horizontal="center" vertical="top"/>
    </xf>
    <xf numFmtId="49" fontId="5" fillId="14" borderId="10" xfId="0" applyNumberFormat="1" applyFont="1" applyFill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3" fontId="3" fillId="8" borderId="34" xfId="0" applyNumberFormat="1" applyFont="1" applyFill="1" applyBorder="1" applyAlignment="1">
      <alignment horizontal="center" vertical="top" wrapText="1"/>
    </xf>
    <xf numFmtId="3" fontId="3" fillId="8" borderId="33" xfId="0" applyNumberFormat="1" applyFont="1" applyFill="1" applyBorder="1" applyAlignment="1">
      <alignment horizontal="center" vertical="top" wrapText="1"/>
    </xf>
    <xf numFmtId="3" fontId="19" fillId="0" borderId="50" xfId="0" applyNumberFormat="1" applyFont="1" applyFill="1" applyBorder="1" applyAlignment="1">
      <alignment horizontal="center" vertical="top" wrapText="1"/>
    </xf>
    <xf numFmtId="3" fontId="19" fillId="0" borderId="19" xfId="0" applyNumberFormat="1" applyFont="1" applyFill="1" applyBorder="1" applyAlignment="1">
      <alignment horizontal="center" vertical="top" wrapText="1"/>
    </xf>
    <xf numFmtId="165" fontId="19" fillId="0" borderId="86" xfId="0" applyNumberFormat="1" applyFont="1" applyFill="1" applyBorder="1" applyAlignment="1">
      <alignment horizontal="center" vertical="top" wrapText="1"/>
    </xf>
    <xf numFmtId="165" fontId="19" fillId="0" borderId="93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3" fontId="3" fillId="8" borderId="21" xfId="0" applyNumberFormat="1" applyFont="1" applyFill="1" applyBorder="1" applyAlignment="1">
      <alignment horizontal="center" vertical="top" wrapText="1"/>
    </xf>
    <xf numFmtId="164" fontId="3" fillId="2" borderId="87" xfId="0" applyNumberFormat="1" applyFont="1" applyFill="1" applyBorder="1" applyAlignment="1">
      <alignment horizontal="right" vertical="top" wrapText="1"/>
    </xf>
    <xf numFmtId="0" fontId="5" fillId="10" borderId="19" xfId="0" applyFont="1" applyFill="1" applyBorder="1" applyAlignment="1">
      <alignment horizontal="center" vertical="top"/>
    </xf>
    <xf numFmtId="0" fontId="3" fillId="8" borderId="6" xfId="0" applyFont="1" applyFill="1" applyBorder="1" applyAlignment="1">
      <alignment horizontal="center" vertical="top"/>
    </xf>
    <xf numFmtId="3" fontId="3" fillId="0" borderId="48" xfId="0" applyNumberFormat="1" applyFont="1" applyFill="1" applyBorder="1" applyAlignment="1">
      <alignment horizontal="right" vertical="top" wrapText="1"/>
    </xf>
    <xf numFmtId="3" fontId="3" fillId="0" borderId="1" xfId="0" applyNumberFormat="1" applyFont="1" applyFill="1" applyBorder="1" applyAlignment="1">
      <alignment horizontal="right" vertical="top" wrapText="1"/>
    </xf>
    <xf numFmtId="3" fontId="3" fillId="8" borderId="17" xfId="0" applyNumberFormat="1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left" vertical="top" wrapText="1"/>
    </xf>
    <xf numFmtId="0" fontId="3" fillId="0" borderId="101" xfId="0" applyFont="1" applyFill="1" applyBorder="1" applyAlignment="1">
      <alignment horizontal="left" vertical="top" wrapText="1"/>
    </xf>
    <xf numFmtId="0" fontId="3" fillId="0" borderId="101" xfId="0" applyFont="1" applyFill="1" applyBorder="1" applyAlignment="1">
      <alignment vertical="top" wrapText="1"/>
    </xf>
    <xf numFmtId="0" fontId="3" fillId="2" borderId="48" xfId="0" applyFont="1" applyFill="1" applyBorder="1" applyAlignment="1">
      <alignment vertical="top" wrapText="1"/>
    </xf>
    <xf numFmtId="0" fontId="3" fillId="0" borderId="37" xfId="0" applyFont="1" applyFill="1" applyBorder="1" applyAlignment="1">
      <alignment vertical="top" wrapText="1"/>
    </xf>
    <xf numFmtId="0" fontId="3" fillId="0" borderId="70" xfId="0" applyFont="1" applyFill="1" applyBorder="1" applyAlignment="1">
      <alignment horizontal="center" vertical="top"/>
    </xf>
    <xf numFmtId="0" fontId="3" fillId="0" borderId="51" xfId="0" applyFont="1" applyFill="1" applyBorder="1" applyAlignment="1">
      <alignment horizontal="left" vertical="top" wrapText="1"/>
    </xf>
    <xf numFmtId="0" fontId="3" fillId="0" borderId="103" xfId="0" applyFont="1" applyFill="1" applyBorder="1" applyAlignment="1">
      <alignment vertical="top" wrapText="1"/>
    </xf>
    <xf numFmtId="0" fontId="3" fillId="0" borderId="88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vertical="top" wrapText="1"/>
    </xf>
    <xf numFmtId="0" fontId="3" fillId="0" borderId="51" xfId="0" applyFont="1" applyFill="1" applyBorder="1" applyAlignment="1">
      <alignment vertical="top" wrapText="1"/>
    </xf>
    <xf numFmtId="0" fontId="3" fillId="0" borderId="77" xfId="0" applyFont="1" applyFill="1" applyBorder="1" applyAlignment="1">
      <alignment horizontal="center" vertical="top"/>
    </xf>
    <xf numFmtId="0" fontId="5" fillId="10" borderId="35" xfId="0" applyFont="1" applyFill="1" applyBorder="1" applyAlignment="1">
      <alignment horizontal="center" vertical="top"/>
    </xf>
    <xf numFmtId="0" fontId="3" fillId="0" borderId="72" xfId="0" applyFont="1" applyFill="1" applyBorder="1" applyAlignment="1">
      <alignment horizontal="left" vertical="top" wrapText="1"/>
    </xf>
    <xf numFmtId="164" fontId="3" fillId="8" borderId="10" xfId="0" applyNumberFormat="1" applyFont="1" applyFill="1" applyBorder="1" applyAlignment="1">
      <alignment horizontal="right" vertical="top"/>
    </xf>
    <xf numFmtId="0" fontId="3" fillId="8" borderId="52" xfId="0" applyFont="1" applyFill="1" applyBorder="1" applyAlignment="1">
      <alignment horizontal="left" vertical="top" wrapText="1"/>
    </xf>
    <xf numFmtId="0" fontId="19" fillId="0" borderId="84" xfId="0" applyFont="1" applyFill="1" applyBorder="1" applyAlignment="1">
      <alignment horizontal="left" vertical="top" wrapText="1"/>
    </xf>
    <xf numFmtId="3" fontId="19" fillId="0" borderId="86" xfId="0" applyNumberFormat="1" applyFont="1" applyFill="1" applyBorder="1" applyAlignment="1">
      <alignment horizontal="center" vertical="top" wrapText="1"/>
    </xf>
    <xf numFmtId="0" fontId="3" fillId="0" borderId="86" xfId="0" applyFont="1" applyBorder="1" applyAlignment="1">
      <alignment horizontal="center" vertical="top"/>
    </xf>
    <xf numFmtId="3" fontId="19" fillId="0" borderId="93" xfId="0" applyNumberFormat="1" applyFont="1" applyFill="1" applyBorder="1" applyAlignment="1">
      <alignment horizontal="center" vertical="top" wrapText="1"/>
    </xf>
    <xf numFmtId="164" fontId="38" fillId="0" borderId="12" xfId="0" applyNumberFormat="1" applyFont="1" applyBorder="1" applyAlignment="1">
      <alignment horizontal="right" vertical="top"/>
    </xf>
    <xf numFmtId="49" fontId="5" fillId="0" borderId="19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left" vertical="top" wrapText="1"/>
    </xf>
    <xf numFmtId="49" fontId="3" fillId="0" borderId="17" xfId="0" applyNumberFormat="1" applyFont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 textRotation="90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165" fontId="3" fillId="0" borderId="17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49" fontId="5" fillId="14" borderId="10" xfId="0" applyNumberFormat="1" applyFont="1" applyFill="1" applyBorder="1" applyAlignment="1">
      <alignment horizontal="center" vertical="top"/>
    </xf>
    <xf numFmtId="164" fontId="3" fillId="8" borderId="10" xfId="0" applyNumberFormat="1" applyFont="1" applyFill="1" applyBorder="1" applyAlignment="1">
      <alignment horizontal="right" vertical="top"/>
    </xf>
    <xf numFmtId="164" fontId="3" fillId="8" borderId="17" xfId="0" applyNumberFormat="1" applyFont="1" applyFill="1" applyBorder="1" applyAlignment="1">
      <alignment horizontal="right" vertical="top"/>
    </xf>
    <xf numFmtId="0" fontId="3" fillId="8" borderId="19" xfId="0" applyFont="1" applyFill="1" applyBorder="1" applyAlignment="1">
      <alignment horizontal="left" vertical="top" wrapText="1"/>
    </xf>
    <xf numFmtId="164" fontId="3" fillId="0" borderId="40" xfId="0" applyNumberFormat="1" applyFont="1" applyFill="1" applyBorder="1" applyAlignment="1">
      <alignment horizontal="right" vertical="top"/>
    </xf>
    <xf numFmtId="164" fontId="3" fillId="0" borderId="10" xfId="0" applyNumberFormat="1" applyFont="1" applyFill="1" applyBorder="1" applyAlignment="1">
      <alignment horizontal="right" vertical="top"/>
    </xf>
    <xf numFmtId="164" fontId="3" fillId="0" borderId="0" xfId="0" applyNumberFormat="1" applyFont="1" applyFill="1" applyBorder="1" applyAlignment="1">
      <alignment horizontal="right" vertical="top"/>
    </xf>
    <xf numFmtId="164" fontId="3" fillId="0" borderId="19" xfId="0" applyNumberFormat="1" applyFont="1" applyFill="1" applyBorder="1" applyAlignment="1">
      <alignment horizontal="right" vertical="top"/>
    </xf>
    <xf numFmtId="164" fontId="3" fillId="0" borderId="84" xfId="0" applyNumberFormat="1" applyFont="1" applyFill="1" applyBorder="1" applyAlignment="1">
      <alignment horizontal="right" vertical="top"/>
    </xf>
    <xf numFmtId="164" fontId="3" fillId="0" borderId="101" xfId="0" applyNumberFormat="1" applyFont="1" applyFill="1" applyBorder="1" applyAlignment="1">
      <alignment horizontal="right" vertical="top"/>
    </xf>
    <xf numFmtId="164" fontId="5" fillId="0" borderId="101" xfId="0" applyNumberFormat="1" applyFont="1" applyFill="1" applyBorder="1" applyAlignment="1">
      <alignment horizontal="right" vertical="top"/>
    </xf>
    <xf numFmtId="164" fontId="3" fillId="0" borderId="94" xfId="0" applyNumberFormat="1" applyFont="1" applyFill="1" applyBorder="1" applyAlignment="1">
      <alignment horizontal="right" vertical="top"/>
    </xf>
    <xf numFmtId="164" fontId="5" fillId="0" borderId="92" xfId="0" applyNumberFormat="1" applyFont="1" applyFill="1" applyBorder="1" applyAlignment="1">
      <alignment horizontal="right" vertical="top"/>
    </xf>
    <xf numFmtId="164" fontId="5" fillId="0" borderId="95" xfId="0" applyNumberFormat="1" applyFont="1" applyFill="1" applyBorder="1" applyAlignment="1">
      <alignment horizontal="right" vertical="top"/>
    </xf>
    <xf numFmtId="164" fontId="5" fillId="0" borderId="83" xfId="0" applyNumberFormat="1" applyFont="1" applyFill="1" applyBorder="1" applyAlignment="1">
      <alignment horizontal="right" vertical="top"/>
    </xf>
    <xf numFmtId="164" fontId="3" fillId="0" borderId="93" xfId="0" applyNumberFormat="1" applyFont="1" applyFill="1" applyBorder="1" applyAlignment="1">
      <alignment horizontal="right" vertical="top"/>
    </xf>
    <xf numFmtId="164" fontId="3" fillId="0" borderId="86" xfId="0" applyNumberFormat="1" applyFont="1" applyFill="1" applyBorder="1" applyAlignment="1">
      <alignment horizontal="right" vertical="top"/>
    </xf>
    <xf numFmtId="164" fontId="3" fillId="0" borderId="20" xfId="0" applyNumberFormat="1" applyFont="1" applyFill="1" applyBorder="1" applyAlignment="1">
      <alignment horizontal="right" vertical="top"/>
    </xf>
    <xf numFmtId="164" fontId="3" fillId="0" borderId="32" xfId="0" applyNumberFormat="1" applyFont="1" applyFill="1" applyBorder="1" applyAlignment="1">
      <alignment horizontal="right" vertical="top"/>
    </xf>
    <xf numFmtId="164" fontId="3" fillId="0" borderId="81" xfId="0" applyNumberFormat="1" applyFont="1" applyFill="1" applyBorder="1" applyAlignment="1">
      <alignment horizontal="right" vertical="top"/>
    </xf>
    <xf numFmtId="164" fontId="5" fillId="0" borderId="51" xfId="0" applyNumberFormat="1" applyFont="1" applyFill="1" applyBorder="1" applyAlignment="1">
      <alignment horizontal="right" vertical="top"/>
    </xf>
    <xf numFmtId="164" fontId="3" fillId="0" borderId="45" xfId="0" applyNumberFormat="1" applyFont="1" applyFill="1" applyBorder="1" applyAlignment="1">
      <alignment horizontal="right" vertical="top"/>
    </xf>
    <xf numFmtId="164" fontId="3" fillId="0" borderId="51" xfId="0" applyNumberFormat="1" applyFont="1" applyFill="1" applyBorder="1" applyAlignment="1">
      <alignment horizontal="right" vertical="top"/>
    </xf>
    <xf numFmtId="164" fontId="5" fillId="0" borderId="52" xfId="0" applyNumberFormat="1" applyFont="1" applyFill="1" applyBorder="1" applyAlignment="1">
      <alignment horizontal="right" vertical="top"/>
    </xf>
    <xf numFmtId="164" fontId="3" fillId="0" borderId="57" xfId="0" applyNumberFormat="1" applyFont="1" applyFill="1" applyBorder="1" applyAlignment="1">
      <alignment horizontal="right" vertical="top"/>
    </xf>
    <xf numFmtId="49" fontId="5" fillId="0" borderId="19" xfId="0" applyNumberFormat="1" applyFont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49" fontId="5" fillId="0" borderId="34" xfId="0" applyNumberFormat="1" applyFont="1" applyBorder="1" applyAlignment="1">
      <alignment horizontal="center" vertical="top"/>
    </xf>
    <xf numFmtId="49" fontId="5" fillId="13" borderId="17" xfId="0" applyNumberFormat="1" applyFont="1" applyFill="1" applyBorder="1" applyAlignment="1">
      <alignment horizontal="center" vertical="top"/>
    </xf>
    <xf numFmtId="49" fontId="5" fillId="14" borderId="10" xfId="0" applyNumberFormat="1" applyFont="1" applyFill="1" applyBorder="1" applyAlignment="1">
      <alignment horizontal="center" vertical="top"/>
    </xf>
    <xf numFmtId="0" fontId="3" fillId="0" borderId="19" xfId="0" applyFont="1" applyFill="1" applyBorder="1" applyAlignment="1">
      <alignment horizontal="left" vertical="top" wrapText="1"/>
    </xf>
    <xf numFmtId="3" fontId="9" fillId="0" borderId="85" xfId="0" applyNumberFormat="1" applyFont="1" applyFill="1" applyBorder="1" applyAlignment="1">
      <alignment horizontal="center" vertical="top" wrapText="1"/>
    </xf>
    <xf numFmtId="3" fontId="9" fillId="8" borderId="37" xfId="0" applyNumberFormat="1" applyFont="1" applyFill="1" applyBorder="1" applyAlignment="1">
      <alignment horizontal="center" vertical="top" wrapText="1"/>
    </xf>
    <xf numFmtId="0" fontId="3" fillId="2" borderId="113" xfId="0" applyFont="1" applyFill="1" applyBorder="1" applyAlignment="1">
      <alignment horizontal="center" vertical="top"/>
    </xf>
    <xf numFmtId="164" fontId="19" fillId="8" borderId="101" xfId="0" applyNumberFormat="1" applyFont="1" applyFill="1" applyBorder="1" applyAlignment="1">
      <alignment horizontal="right" vertical="top"/>
    </xf>
    <xf numFmtId="164" fontId="19" fillId="8" borderId="94" xfId="0" applyNumberFormat="1" applyFont="1" applyFill="1" applyBorder="1" applyAlignment="1">
      <alignment horizontal="right" vertical="top"/>
    </xf>
    <xf numFmtId="164" fontId="3" fillId="8" borderId="95" xfId="0" applyNumberFormat="1" applyFont="1" applyFill="1" applyBorder="1" applyAlignment="1">
      <alignment horizontal="right" vertical="top"/>
    </xf>
    <xf numFmtId="164" fontId="3" fillId="8" borderId="83" xfId="0" applyNumberFormat="1" applyFont="1" applyFill="1" applyBorder="1" applyAlignment="1">
      <alignment horizontal="right" vertical="top"/>
    </xf>
    <xf numFmtId="0" fontId="19" fillId="8" borderId="84" xfId="0" applyFont="1" applyFill="1" applyBorder="1" applyAlignment="1">
      <alignment horizontal="left" vertical="top" wrapText="1"/>
    </xf>
    <xf numFmtId="165" fontId="19" fillId="8" borderId="86" xfId="0" applyNumberFormat="1" applyFont="1" applyFill="1" applyBorder="1" applyAlignment="1">
      <alignment horizontal="center" vertical="top" wrapText="1"/>
    </xf>
    <xf numFmtId="0" fontId="19" fillId="8" borderId="19" xfId="0" applyFont="1" applyFill="1" applyBorder="1" applyAlignment="1">
      <alignment horizontal="left" vertical="top" wrapText="1"/>
    </xf>
    <xf numFmtId="0" fontId="19" fillId="8" borderId="27" xfId="0" applyFont="1" applyFill="1" applyBorder="1" applyAlignment="1">
      <alignment horizontal="left" vertical="top" wrapText="1"/>
    </xf>
    <xf numFmtId="49" fontId="5" fillId="0" borderId="35" xfId="0" applyNumberFormat="1" applyFont="1" applyBorder="1" applyAlignment="1">
      <alignment horizontal="center" vertical="top"/>
    </xf>
    <xf numFmtId="0" fontId="3" fillId="0" borderId="82" xfId="0" applyFont="1" applyBorder="1" applyAlignment="1">
      <alignment vertical="top" wrapText="1"/>
    </xf>
    <xf numFmtId="0" fontId="2" fillId="0" borderId="105" xfId="0" applyFont="1" applyBorder="1" applyAlignment="1">
      <alignment vertical="center" textRotation="90" wrapText="1"/>
    </xf>
    <xf numFmtId="3" fontId="3" fillId="0" borderId="34" xfId="0" applyNumberFormat="1" applyFont="1" applyFill="1" applyBorder="1" applyAlignment="1">
      <alignment vertical="top"/>
    </xf>
    <xf numFmtId="3" fontId="3" fillId="0" borderId="33" xfId="0" applyNumberFormat="1" applyFont="1" applyFill="1" applyBorder="1" applyAlignment="1">
      <alignment vertical="top"/>
    </xf>
    <xf numFmtId="0" fontId="3" fillId="8" borderId="44" xfId="0" applyFont="1" applyFill="1" applyBorder="1" applyAlignment="1">
      <alignment horizontal="center" vertical="center"/>
    </xf>
    <xf numFmtId="164" fontId="3" fillId="8" borderId="16" xfId="0" applyNumberFormat="1" applyFont="1" applyFill="1" applyBorder="1" applyAlignment="1">
      <alignment horizontal="right" vertical="center"/>
    </xf>
    <xf numFmtId="164" fontId="3" fillId="8" borderId="2" xfId="0" applyNumberFormat="1" applyFont="1" applyFill="1" applyBorder="1" applyAlignment="1">
      <alignment horizontal="right" vertical="center"/>
    </xf>
    <xf numFmtId="164" fontId="3" fillId="8" borderId="38" xfId="0" applyNumberFormat="1" applyFont="1" applyFill="1" applyBorder="1" applyAlignment="1">
      <alignment horizontal="right" vertical="center"/>
    </xf>
    <xf numFmtId="164" fontId="3" fillId="8" borderId="43" xfId="0" applyNumberFormat="1" applyFont="1" applyFill="1" applyBorder="1" applyAlignment="1">
      <alignment horizontal="right" vertical="center"/>
    </xf>
    <xf numFmtId="164" fontId="3" fillId="2" borderId="44" xfId="0" applyNumberFormat="1" applyFont="1" applyFill="1" applyBorder="1" applyAlignment="1">
      <alignment horizontal="right" vertical="center"/>
    </xf>
    <xf numFmtId="164" fontId="3" fillId="10" borderId="38" xfId="0" applyNumberFormat="1" applyFont="1" applyFill="1" applyBorder="1" applyAlignment="1">
      <alignment horizontal="right" vertical="center"/>
    </xf>
    <xf numFmtId="164" fontId="3" fillId="10" borderId="43" xfId="0" applyNumberFormat="1" applyFont="1" applyFill="1" applyBorder="1" applyAlignment="1">
      <alignment horizontal="right" vertical="center"/>
    </xf>
    <xf numFmtId="164" fontId="3" fillId="2" borderId="23" xfId="0" applyNumberFormat="1" applyFont="1" applyFill="1" applyBorder="1" applyAlignment="1">
      <alignment horizontal="right" vertical="center"/>
    </xf>
    <xf numFmtId="164" fontId="3" fillId="2" borderId="38" xfId="0" applyNumberFormat="1" applyFont="1" applyFill="1" applyBorder="1" applyAlignment="1">
      <alignment horizontal="right" vertical="center"/>
    </xf>
    <xf numFmtId="0" fontId="3" fillId="8" borderId="16" xfId="0" applyFont="1" applyFill="1" applyBorder="1" applyAlignment="1">
      <alignment vertical="top" wrapText="1"/>
    </xf>
    <xf numFmtId="0" fontId="3" fillId="0" borderId="18" xfId="0" applyFont="1" applyFill="1" applyBorder="1" applyAlignment="1">
      <alignment horizontal="left" vertical="top" wrapText="1"/>
    </xf>
    <xf numFmtId="164" fontId="38" fillId="0" borderId="58" xfId="0" applyNumberFormat="1" applyFont="1" applyBorder="1" applyAlignment="1">
      <alignment horizontal="right" vertical="top"/>
    </xf>
    <xf numFmtId="164" fontId="38" fillId="0" borderId="13" xfId="0" applyNumberFormat="1" applyFont="1" applyBorder="1" applyAlignment="1">
      <alignment horizontal="right" vertical="top"/>
    </xf>
    <xf numFmtId="164" fontId="23" fillId="0" borderId="78" xfId="0" applyNumberFormat="1" applyFont="1" applyBorder="1" applyAlignment="1">
      <alignment horizontal="right" vertical="top"/>
    </xf>
    <xf numFmtId="0" fontId="3" fillId="8" borderId="32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vertical="top" wrapText="1"/>
    </xf>
    <xf numFmtId="0" fontId="3" fillId="8" borderId="19" xfId="0" applyFont="1" applyFill="1" applyBorder="1" applyAlignment="1">
      <alignment horizontal="left" vertical="top" wrapText="1"/>
    </xf>
    <xf numFmtId="0" fontId="3" fillId="8" borderId="18" xfId="0" applyFont="1" applyFill="1" applyBorder="1" applyAlignment="1">
      <alignment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0" fontId="3" fillId="0" borderId="31" xfId="0" applyFont="1" applyBorder="1" applyAlignment="1">
      <alignment vertical="top" wrapText="1"/>
    </xf>
    <xf numFmtId="49" fontId="5" fillId="14" borderId="10" xfId="0" applyNumberFormat="1" applyFont="1" applyFill="1" applyBorder="1" applyAlignment="1">
      <alignment horizontal="center" vertical="top"/>
    </xf>
    <xf numFmtId="49" fontId="5" fillId="13" borderId="17" xfId="0" applyNumberFormat="1" applyFont="1" applyFill="1" applyBorder="1" applyAlignment="1">
      <alignment horizontal="center" vertical="top"/>
    </xf>
    <xf numFmtId="49" fontId="5" fillId="14" borderId="11" xfId="0" applyNumberFormat="1" applyFont="1" applyFill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0" fontId="3" fillId="0" borderId="51" xfId="0" applyFont="1" applyFill="1" applyBorder="1" applyAlignment="1">
      <alignment horizontal="left" vertical="top" wrapText="1"/>
    </xf>
    <xf numFmtId="0" fontId="3" fillId="0" borderId="39" xfId="0" applyFont="1" applyFill="1" applyBorder="1" applyAlignment="1">
      <alignment horizontal="left" vertical="top" wrapText="1"/>
    </xf>
    <xf numFmtId="49" fontId="5" fillId="8" borderId="50" xfId="0" applyNumberFormat="1" applyFont="1" applyFill="1" applyBorder="1" applyAlignment="1">
      <alignment horizontal="center" vertical="top"/>
    </xf>
    <xf numFmtId="164" fontId="5" fillId="13" borderId="35" xfId="0" applyNumberFormat="1" applyFont="1" applyFill="1" applyBorder="1" applyAlignment="1">
      <alignment horizontal="right" vertical="top"/>
    </xf>
    <xf numFmtId="164" fontId="19" fillId="10" borderId="38" xfId="0" applyNumberFormat="1" applyFont="1" applyFill="1" applyBorder="1" applyAlignment="1">
      <alignment horizontal="right" vertical="top"/>
    </xf>
    <xf numFmtId="164" fontId="19" fillId="10" borderId="49" xfId="0" applyNumberFormat="1" applyFont="1" applyFill="1" applyBorder="1" applyAlignment="1">
      <alignment horizontal="right" vertical="top"/>
    </xf>
    <xf numFmtId="164" fontId="19" fillId="10" borderId="43" xfId="0" applyNumberFormat="1" applyFont="1" applyFill="1" applyBorder="1" applyAlignment="1">
      <alignment horizontal="right" vertical="top"/>
    </xf>
    <xf numFmtId="164" fontId="3" fillId="10" borderId="75" xfId="0" applyNumberFormat="1" applyFont="1" applyFill="1" applyBorder="1" applyAlignment="1">
      <alignment horizontal="right" vertical="top"/>
    </xf>
    <xf numFmtId="164" fontId="38" fillId="0" borderId="70" xfId="0" applyNumberFormat="1" applyFont="1" applyBorder="1" applyAlignment="1">
      <alignment horizontal="right" vertical="top"/>
    </xf>
    <xf numFmtId="164" fontId="38" fillId="0" borderId="34" xfId="0" applyNumberFormat="1" applyFont="1" applyBorder="1" applyAlignment="1">
      <alignment horizontal="right" vertical="top"/>
    </xf>
    <xf numFmtId="164" fontId="38" fillId="0" borderId="20" xfId="0" applyNumberFormat="1" applyFont="1" applyBorder="1" applyAlignment="1">
      <alignment horizontal="right" vertical="top"/>
    </xf>
    <xf numFmtId="164" fontId="19" fillId="0" borderId="2" xfId="0" applyNumberFormat="1" applyFont="1" applyFill="1" applyBorder="1" applyAlignment="1">
      <alignment horizontal="right" vertical="top"/>
    </xf>
    <xf numFmtId="164" fontId="5" fillId="2" borderId="2" xfId="0" applyNumberFormat="1" applyFont="1" applyFill="1" applyBorder="1" applyAlignment="1">
      <alignment horizontal="right" vertical="top"/>
    </xf>
    <xf numFmtId="164" fontId="5" fillId="8" borderId="2" xfId="0" applyNumberFormat="1" applyFont="1" applyFill="1" applyBorder="1" applyAlignment="1">
      <alignment horizontal="right" vertical="top"/>
    </xf>
    <xf numFmtId="164" fontId="19" fillId="0" borderId="18" xfId="0" applyNumberFormat="1" applyFont="1" applyBorder="1" applyAlignment="1">
      <alignment horizontal="right" vertical="top"/>
    </xf>
    <xf numFmtId="164" fontId="19" fillId="8" borderId="18" xfId="0" applyNumberFormat="1" applyFont="1" applyFill="1" applyBorder="1" applyAlignment="1">
      <alignment horizontal="right" vertical="top"/>
    </xf>
    <xf numFmtId="164" fontId="19" fillId="0" borderId="18" xfId="0" applyNumberFormat="1" applyFont="1" applyFill="1" applyBorder="1" applyAlignment="1">
      <alignment horizontal="right" vertical="top"/>
    </xf>
    <xf numFmtId="164" fontId="19" fillId="2" borderId="18" xfId="0" applyNumberFormat="1" applyFont="1" applyFill="1" applyBorder="1" applyAlignment="1">
      <alignment horizontal="right" vertical="top"/>
    </xf>
    <xf numFmtId="164" fontId="5" fillId="2" borderId="18" xfId="0" applyNumberFormat="1" applyFont="1" applyFill="1" applyBorder="1" applyAlignment="1">
      <alignment horizontal="right" vertical="top"/>
    </xf>
    <xf numFmtId="164" fontId="5" fillId="8" borderId="18" xfId="0" applyNumberFormat="1" applyFont="1" applyFill="1" applyBorder="1" applyAlignment="1">
      <alignment horizontal="right" vertical="top"/>
    </xf>
    <xf numFmtId="164" fontId="5" fillId="13" borderId="3" xfId="0" applyNumberFormat="1" applyFont="1" applyFill="1" applyBorder="1" applyAlignment="1">
      <alignment horizontal="right" vertical="top"/>
    </xf>
    <xf numFmtId="164" fontId="5" fillId="13" borderId="4" xfId="0" applyNumberFormat="1" applyFont="1" applyFill="1" applyBorder="1" applyAlignment="1">
      <alignment horizontal="right" vertical="top"/>
    </xf>
    <xf numFmtId="164" fontId="3" fillId="0" borderId="38" xfId="0" applyNumberFormat="1" applyFont="1" applyBorder="1" applyAlignment="1">
      <alignment horizontal="right" vertical="top"/>
    </xf>
    <xf numFmtId="164" fontId="19" fillId="8" borderId="38" xfId="0" applyNumberFormat="1" applyFont="1" applyFill="1" applyBorder="1" applyAlignment="1">
      <alignment horizontal="right" vertical="top"/>
    </xf>
    <xf numFmtId="164" fontId="19" fillId="0" borderId="38" xfId="0" applyNumberFormat="1" applyFont="1" applyBorder="1" applyAlignment="1">
      <alignment horizontal="right" vertical="top"/>
    </xf>
    <xf numFmtId="164" fontId="19" fillId="2" borderId="38" xfId="0" applyNumberFormat="1" applyFont="1" applyFill="1" applyBorder="1" applyAlignment="1">
      <alignment horizontal="right" vertical="top"/>
    </xf>
    <xf numFmtId="164" fontId="3" fillId="2" borderId="38" xfId="0" applyNumberFormat="1" applyFont="1" applyFill="1" applyBorder="1" applyAlignment="1">
      <alignment horizontal="right" vertical="top"/>
    </xf>
    <xf numFmtId="164" fontId="5" fillId="13" borderId="59" xfId="0" applyNumberFormat="1" applyFont="1" applyFill="1" applyBorder="1" applyAlignment="1">
      <alignment horizontal="right" vertical="top"/>
    </xf>
    <xf numFmtId="164" fontId="3" fillId="10" borderId="62" xfId="0" applyNumberFormat="1" applyFont="1" applyFill="1" applyBorder="1" applyAlignment="1">
      <alignment horizontal="right" vertical="top"/>
    </xf>
    <xf numFmtId="164" fontId="3" fillId="8" borderId="23" xfId="0" applyNumberFormat="1" applyFont="1" applyFill="1" applyBorder="1" applyAlignment="1">
      <alignment horizontal="right" vertical="top" wrapText="1"/>
    </xf>
    <xf numFmtId="0" fontId="3" fillId="2" borderId="38" xfId="0" applyFont="1" applyFill="1" applyBorder="1" applyAlignment="1">
      <alignment horizontal="left" vertical="top" wrapText="1"/>
    </xf>
    <xf numFmtId="0" fontId="3" fillId="8" borderId="101" xfId="0" applyFont="1" applyFill="1" applyBorder="1" applyAlignment="1">
      <alignment horizontal="left" vertical="top" wrapText="1"/>
    </xf>
    <xf numFmtId="0" fontId="3" fillId="0" borderId="20" xfId="0" applyFont="1" applyBorder="1" applyAlignment="1">
      <alignment vertical="top"/>
    </xf>
    <xf numFmtId="0" fontId="3" fillId="0" borderId="88" xfId="0" applyFont="1" applyBorder="1" applyAlignment="1">
      <alignment vertical="top"/>
    </xf>
    <xf numFmtId="0" fontId="3" fillId="8" borderId="115" xfId="0" applyFont="1" applyFill="1" applyBorder="1" applyAlignment="1">
      <alignment horizontal="left" vertical="top" wrapText="1"/>
    </xf>
    <xf numFmtId="0" fontId="3" fillId="0" borderId="101" xfId="0" applyFont="1" applyBorder="1" applyAlignment="1">
      <alignment horizontal="left" vertical="top" wrapText="1"/>
    </xf>
    <xf numFmtId="0" fontId="3" fillId="8" borderId="43" xfId="0" applyFont="1" applyFill="1" applyBorder="1" applyAlignment="1">
      <alignment horizontal="left" vertical="top" wrapText="1"/>
    </xf>
    <xf numFmtId="0" fontId="0" fillId="13" borderId="30" xfId="0" applyFill="1" applyBorder="1" applyAlignment="1">
      <alignment vertical="top" wrapText="1"/>
    </xf>
    <xf numFmtId="164" fontId="38" fillId="0" borderId="31" xfId="0" applyNumberFormat="1" applyFont="1" applyBorder="1" applyAlignment="1">
      <alignment horizontal="right" vertical="top"/>
    </xf>
    <xf numFmtId="164" fontId="5" fillId="13" borderId="61" xfId="0" applyNumberFormat="1" applyFont="1" applyFill="1" applyBorder="1" applyAlignment="1">
      <alignment horizontal="right" vertical="top"/>
    </xf>
    <xf numFmtId="0" fontId="3" fillId="0" borderId="9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3" fillId="2" borderId="87" xfId="0" applyFont="1" applyFill="1" applyBorder="1" applyAlignment="1">
      <alignment horizontal="center" vertical="top"/>
    </xf>
    <xf numFmtId="49" fontId="5" fillId="13" borderId="34" xfId="0" applyNumberFormat="1" applyFont="1" applyFill="1" applyBorder="1" applyAlignment="1">
      <alignment horizontal="center" vertical="top"/>
    </xf>
    <xf numFmtId="49" fontId="5" fillId="14" borderId="17" xfId="0" applyNumberFormat="1" applyFont="1" applyFill="1" applyBorder="1" applyAlignment="1">
      <alignment horizontal="center" vertical="top"/>
    </xf>
    <xf numFmtId="49" fontId="5" fillId="14" borderId="34" xfId="0" applyNumberFormat="1" applyFont="1" applyFill="1" applyBorder="1" applyAlignment="1">
      <alignment horizontal="center" vertical="top"/>
    </xf>
    <xf numFmtId="49" fontId="3" fillId="0" borderId="49" xfId="0" applyNumberFormat="1" applyFont="1" applyFill="1" applyBorder="1" applyAlignment="1">
      <alignment horizontal="center" vertical="top" wrapText="1"/>
    </xf>
    <xf numFmtId="3" fontId="3" fillId="0" borderId="18" xfId="0" applyNumberFormat="1" applyFont="1" applyFill="1" applyBorder="1" applyAlignment="1">
      <alignment vertical="top" wrapText="1"/>
    </xf>
    <xf numFmtId="164" fontId="5" fillId="2" borderId="6" xfId="0" applyNumberFormat="1" applyFont="1" applyFill="1" applyBorder="1" applyAlignment="1">
      <alignment horizontal="right" vertical="top"/>
    </xf>
    <xf numFmtId="3" fontId="3" fillId="8" borderId="2" xfId="0" applyNumberFormat="1" applyFont="1" applyFill="1" applyBorder="1" applyAlignment="1">
      <alignment horizontal="center" vertical="top" wrapText="1"/>
    </xf>
    <xf numFmtId="0" fontId="3" fillId="0" borderId="70" xfId="0" applyFont="1" applyFill="1" applyBorder="1" applyAlignment="1">
      <alignment horizontal="center" vertical="center" textRotation="90" wrapText="1"/>
    </xf>
    <xf numFmtId="49" fontId="3" fillId="0" borderId="17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0" fontId="3" fillId="8" borderId="27" xfId="0" applyFont="1" applyFill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/>
    </xf>
    <xf numFmtId="49" fontId="5" fillId="0" borderId="33" xfId="0" applyNumberFormat="1" applyFont="1" applyBorder="1" applyAlignment="1">
      <alignment horizontal="center" vertical="top"/>
    </xf>
    <xf numFmtId="49" fontId="3" fillId="0" borderId="21" xfId="0" applyNumberFormat="1" applyFont="1" applyBorder="1" applyAlignment="1">
      <alignment horizontal="center" vertical="top"/>
    </xf>
    <xf numFmtId="3" fontId="3" fillId="0" borderId="34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/>
    </xf>
    <xf numFmtId="49" fontId="5" fillId="0" borderId="2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0" fontId="3" fillId="0" borderId="77" xfId="0" applyFont="1" applyFill="1" applyBorder="1" applyAlignment="1">
      <alignment horizontal="center" vertical="top" textRotation="90" wrapText="1"/>
    </xf>
    <xf numFmtId="0" fontId="3" fillId="0" borderId="40" xfId="0" applyFont="1" applyFill="1" applyBorder="1" applyAlignment="1">
      <alignment horizontal="center" vertical="top" textRotation="90" wrapText="1"/>
    </xf>
    <xf numFmtId="0" fontId="3" fillId="0" borderId="35" xfId="0" applyFont="1" applyFill="1" applyBorder="1" applyAlignment="1">
      <alignment horizontal="center" vertical="top" textRotation="90" wrapText="1"/>
    </xf>
    <xf numFmtId="49" fontId="5" fillId="0" borderId="19" xfId="0" applyNumberFormat="1" applyFont="1" applyBorder="1" applyAlignment="1">
      <alignment horizontal="center" vertical="top" wrapText="1"/>
    </xf>
    <xf numFmtId="49" fontId="5" fillId="0" borderId="34" xfId="0" applyNumberFormat="1" applyFont="1" applyBorder="1" applyAlignment="1">
      <alignment horizontal="center" vertical="top"/>
    </xf>
    <xf numFmtId="49" fontId="3" fillId="0" borderId="34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/>
    </xf>
    <xf numFmtId="49" fontId="5" fillId="14" borderId="17" xfId="0" applyNumberFormat="1" applyFont="1" applyFill="1" applyBorder="1" applyAlignment="1">
      <alignment horizontal="center" vertical="top"/>
    </xf>
    <xf numFmtId="49" fontId="5" fillId="13" borderId="17" xfId="0" applyNumberFormat="1" applyFont="1" applyFill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0" fontId="19" fillId="8" borderId="29" xfId="0" applyFont="1" applyFill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top"/>
    </xf>
    <xf numFmtId="0" fontId="0" fillId="0" borderId="35" xfId="0" applyBorder="1" applyAlignment="1">
      <alignment horizontal="center"/>
    </xf>
    <xf numFmtId="164" fontId="3" fillId="0" borderId="51" xfId="0" applyNumberFormat="1" applyFont="1" applyBorder="1" applyAlignment="1">
      <alignment horizontal="right" vertical="top"/>
    </xf>
    <xf numFmtId="164" fontId="3" fillId="2" borderId="51" xfId="0" applyNumberFormat="1" applyFont="1" applyFill="1" applyBorder="1" applyAlignment="1">
      <alignment horizontal="right" vertical="top"/>
    </xf>
    <xf numFmtId="164" fontId="3" fillId="0" borderId="101" xfId="0" applyNumberFormat="1" applyFont="1" applyBorder="1" applyAlignment="1">
      <alignment horizontal="right" vertical="top"/>
    </xf>
    <xf numFmtId="0" fontId="3" fillId="8" borderId="31" xfId="0" applyFont="1" applyFill="1" applyBorder="1" applyAlignment="1">
      <alignment horizontal="left" vertical="top" wrapText="1"/>
    </xf>
    <xf numFmtId="0" fontId="3" fillId="2" borderId="42" xfId="0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49" fontId="3" fillId="0" borderId="44" xfId="0" applyNumberFormat="1" applyFont="1" applyBorder="1" applyAlignment="1">
      <alignment horizontal="center" vertical="center" wrapText="1"/>
    </xf>
    <xf numFmtId="164" fontId="5" fillId="13" borderId="26" xfId="0" applyNumberFormat="1" applyFont="1" applyFill="1" applyBorder="1" applyAlignment="1">
      <alignment horizontal="right" vertical="top"/>
    </xf>
    <xf numFmtId="0" fontId="3" fillId="0" borderId="24" xfId="0" applyFont="1" applyBorder="1" applyAlignment="1">
      <alignment horizontal="center" vertical="top"/>
    </xf>
    <xf numFmtId="164" fontId="5" fillId="8" borderId="21" xfId="0" applyNumberFormat="1" applyFont="1" applyFill="1" applyBorder="1" applyAlignment="1">
      <alignment horizontal="right" vertical="top"/>
    </xf>
    <xf numFmtId="164" fontId="19" fillId="2" borderId="51" xfId="0" applyNumberFormat="1" applyFont="1" applyFill="1" applyBorder="1" applyAlignment="1">
      <alignment horizontal="right" vertical="top"/>
    </xf>
    <xf numFmtId="164" fontId="19" fillId="2" borderId="21" xfId="0" applyNumberFormat="1" applyFont="1" applyFill="1" applyBorder="1" applyAlignment="1">
      <alignment horizontal="right" vertical="top"/>
    </xf>
    <xf numFmtId="164" fontId="19" fillId="2" borderId="1" xfId="0" applyNumberFormat="1" applyFont="1" applyFill="1" applyBorder="1" applyAlignment="1">
      <alignment horizontal="right" vertical="top"/>
    </xf>
    <xf numFmtId="0" fontId="3" fillId="8" borderId="37" xfId="0" applyFont="1" applyFill="1" applyBorder="1" applyAlignment="1">
      <alignment horizontal="left" vertical="top" wrapText="1"/>
    </xf>
    <xf numFmtId="0" fontId="3" fillId="0" borderId="114" xfId="0" applyFont="1" applyBorder="1" applyAlignment="1">
      <alignment vertical="top" wrapText="1"/>
    </xf>
    <xf numFmtId="0" fontId="3" fillId="0" borderId="104" xfId="0" applyFont="1" applyBorder="1" applyAlignment="1">
      <alignment vertical="top"/>
    </xf>
    <xf numFmtId="0" fontId="3" fillId="0" borderId="98" xfId="0" applyFont="1" applyBorder="1" applyAlignment="1">
      <alignment vertical="top"/>
    </xf>
    <xf numFmtId="3" fontId="3" fillId="0" borderId="99" xfId="0" applyNumberFormat="1" applyFont="1" applyFill="1" applyBorder="1" applyAlignment="1">
      <alignment vertical="top" wrapText="1"/>
    </xf>
    <xf numFmtId="3" fontId="3" fillId="0" borderId="2" xfId="1" applyNumberFormat="1" applyFont="1" applyFill="1" applyBorder="1" applyAlignment="1">
      <alignment horizontal="center" vertical="center"/>
    </xf>
    <xf numFmtId="164" fontId="19" fillId="8" borderId="51" xfId="0" applyNumberFormat="1" applyFont="1" applyFill="1" applyBorder="1" applyAlignment="1">
      <alignment horizontal="right" vertical="top"/>
    </xf>
    <xf numFmtId="164" fontId="19" fillId="8" borderId="21" xfId="0" applyNumberFormat="1" applyFont="1" applyFill="1" applyBorder="1" applyAlignment="1">
      <alignment horizontal="right" vertical="top"/>
    </xf>
    <xf numFmtId="164" fontId="19" fillId="8" borderId="1" xfId="0" applyNumberFormat="1" applyFont="1" applyFill="1" applyBorder="1" applyAlignment="1">
      <alignment horizontal="right" vertical="top"/>
    </xf>
    <xf numFmtId="164" fontId="3" fillId="2" borderId="6" xfId="0" applyNumberFormat="1" applyFont="1" applyFill="1" applyBorder="1" applyAlignment="1">
      <alignment horizontal="right" vertical="top" wrapText="1"/>
    </xf>
    <xf numFmtId="164" fontId="19" fillId="0" borderId="20" xfId="0" applyNumberFormat="1" applyFont="1" applyBorder="1" applyAlignment="1">
      <alignment horizontal="right" vertical="top"/>
    </xf>
    <xf numFmtId="164" fontId="19" fillId="0" borderId="34" xfId="0" applyNumberFormat="1" applyFont="1" applyFill="1" applyBorder="1" applyAlignment="1">
      <alignment horizontal="right" vertical="top"/>
    </xf>
    <xf numFmtId="164" fontId="19" fillId="0" borderId="33" xfId="0" applyNumberFormat="1" applyFont="1" applyFill="1" applyBorder="1" applyAlignment="1">
      <alignment horizontal="right" vertical="top"/>
    </xf>
    <xf numFmtId="164" fontId="5" fillId="8" borderId="20" xfId="0" applyNumberFormat="1" applyFont="1" applyFill="1" applyBorder="1" applyAlignment="1">
      <alignment horizontal="right" vertical="top"/>
    </xf>
    <xf numFmtId="164" fontId="5" fillId="8" borderId="34" xfId="0" applyNumberFormat="1" applyFont="1" applyFill="1" applyBorder="1" applyAlignment="1">
      <alignment horizontal="right" vertical="top"/>
    </xf>
    <xf numFmtId="164" fontId="5" fillId="8" borderId="33" xfId="0" applyNumberFormat="1" applyFont="1" applyFill="1" applyBorder="1" applyAlignment="1">
      <alignment horizontal="right" vertical="top"/>
    </xf>
    <xf numFmtId="164" fontId="19" fillId="2" borderId="20" xfId="0" applyNumberFormat="1" applyFont="1" applyFill="1" applyBorder="1" applyAlignment="1">
      <alignment horizontal="right" vertical="top"/>
    </xf>
    <xf numFmtId="164" fontId="19" fillId="2" borderId="34" xfId="0" applyNumberFormat="1" applyFont="1" applyFill="1" applyBorder="1" applyAlignment="1">
      <alignment horizontal="right" vertical="top"/>
    </xf>
    <xf numFmtId="164" fontId="19" fillId="2" borderId="33" xfId="0" applyNumberFormat="1" applyFont="1" applyFill="1" applyBorder="1" applyAlignment="1">
      <alignment horizontal="right" vertical="top"/>
    </xf>
    <xf numFmtId="164" fontId="19" fillId="0" borderId="101" xfId="0" applyNumberFormat="1" applyFont="1" applyBorder="1" applyAlignment="1">
      <alignment horizontal="right" vertical="top"/>
    </xf>
    <xf numFmtId="164" fontId="19" fillId="0" borderId="93" xfId="0" applyNumberFormat="1" applyFont="1" applyFill="1" applyBorder="1" applyAlignment="1">
      <alignment horizontal="right" vertical="top"/>
    </xf>
    <xf numFmtId="164" fontId="5" fillId="8" borderId="84" xfId="0" applyNumberFormat="1" applyFont="1" applyFill="1" applyBorder="1" applyAlignment="1">
      <alignment horizontal="right" vertical="top"/>
    </xf>
    <xf numFmtId="164" fontId="5" fillId="8" borderId="85" xfId="0" applyNumberFormat="1" applyFont="1" applyFill="1" applyBorder="1" applyAlignment="1">
      <alignment horizontal="right" vertical="top"/>
    </xf>
    <xf numFmtId="164" fontId="5" fillId="8" borderId="93" xfId="0" applyNumberFormat="1" applyFont="1" applyFill="1" applyBorder="1" applyAlignment="1">
      <alignment horizontal="right" vertical="top"/>
    </xf>
    <xf numFmtId="164" fontId="19" fillId="2" borderId="101" xfId="0" applyNumberFormat="1" applyFont="1" applyFill="1" applyBorder="1" applyAlignment="1">
      <alignment horizontal="right" vertical="top"/>
    </xf>
    <xf numFmtId="164" fontId="19" fillId="2" borderId="93" xfId="0" applyNumberFormat="1" applyFont="1" applyFill="1" applyBorder="1" applyAlignment="1">
      <alignment horizontal="right" vertical="top"/>
    </xf>
    <xf numFmtId="164" fontId="5" fillId="10" borderId="85" xfId="0" applyNumberFormat="1" applyFont="1" applyFill="1" applyBorder="1" applyAlignment="1">
      <alignment horizontal="right" vertical="top"/>
    </xf>
    <xf numFmtId="164" fontId="5" fillId="10" borderId="86" xfId="0" applyNumberFormat="1" applyFont="1" applyFill="1" applyBorder="1" applyAlignment="1">
      <alignment horizontal="right" vertical="top"/>
    </xf>
    <xf numFmtId="164" fontId="3" fillId="2" borderId="83" xfId="0" applyNumberFormat="1" applyFont="1" applyFill="1" applyBorder="1" applyAlignment="1">
      <alignment horizontal="right" vertical="top"/>
    </xf>
    <xf numFmtId="164" fontId="5" fillId="2" borderId="83" xfId="0" applyNumberFormat="1" applyFont="1" applyFill="1" applyBorder="1" applyAlignment="1">
      <alignment horizontal="right" vertical="top"/>
    </xf>
    <xf numFmtId="164" fontId="19" fillId="10" borderId="94" xfId="0" applyNumberFormat="1" applyFont="1" applyFill="1" applyBorder="1" applyAlignment="1">
      <alignment horizontal="right" vertical="top"/>
    </xf>
    <xf numFmtId="164" fontId="5" fillId="10" borderId="94" xfId="0" applyNumberFormat="1" applyFont="1" applyFill="1" applyBorder="1" applyAlignment="1">
      <alignment horizontal="right" vertical="top"/>
    </xf>
    <xf numFmtId="0" fontId="0" fillId="0" borderId="27" xfId="0" applyBorder="1" applyAlignment="1">
      <alignment horizontal="center"/>
    </xf>
    <xf numFmtId="0" fontId="0" fillId="8" borderId="11" xfId="0" applyFill="1" applyBorder="1" applyAlignment="1">
      <alignment vertical="top" wrapText="1"/>
    </xf>
    <xf numFmtId="0" fontId="3" fillId="8" borderId="105" xfId="0" applyFont="1" applyFill="1" applyBorder="1" applyAlignment="1">
      <alignment horizontal="left" vertical="top" wrapText="1"/>
    </xf>
    <xf numFmtId="3" fontId="3" fillId="0" borderId="109" xfId="0" applyNumberFormat="1" applyFont="1" applyFill="1" applyBorder="1" applyAlignment="1">
      <alignment horizontal="center" vertical="top" wrapText="1"/>
    </xf>
    <xf numFmtId="3" fontId="3" fillId="8" borderId="110" xfId="0" applyNumberFormat="1" applyFont="1" applyFill="1" applyBorder="1" applyAlignment="1">
      <alignment horizontal="center" vertical="top" wrapText="1"/>
    </xf>
    <xf numFmtId="164" fontId="19" fillId="0" borderId="94" xfId="0" applyNumberFormat="1" applyFont="1" applyBorder="1" applyAlignment="1">
      <alignment horizontal="right" vertical="top"/>
    </xf>
    <xf numFmtId="164" fontId="19" fillId="0" borderId="83" xfId="0" applyNumberFormat="1" applyFont="1" applyBorder="1" applyAlignment="1">
      <alignment horizontal="right" vertical="top"/>
    </xf>
    <xf numFmtId="0" fontId="3" fillId="8" borderId="39" xfId="1" applyFont="1" applyFill="1" applyBorder="1" applyAlignment="1">
      <alignment vertical="top" wrapText="1"/>
    </xf>
    <xf numFmtId="3" fontId="3" fillId="8" borderId="50" xfId="1" applyNumberFormat="1" applyFont="1" applyFill="1" applyBorder="1" applyAlignment="1">
      <alignment horizontal="center" vertical="top"/>
    </xf>
    <xf numFmtId="3" fontId="3" fillId="8" borderId="19" xfId="0" applyNumberFormat="1" applyFont="1" applyFill="1" applyBorder="1" applyAlignment="1">
      <alignment vertical="top" wrapText="1"/>
    </xf>
    <xf numFmtId="0" fontId="3" fillId="8" borderId="16" xfId="1" applyFont="1" applyFill="1" applyBorder="1" applyAlignment="1">
      <alignment vertical="top" wrapText="1"/>
    </xf>
    <xf numFmtId="0" fontId="3" fillId="8" borderId="44" xfId="0" applyFont="1" applyFill="1" applyBorder="1" applyAlignment="1">
      <alignment horizontal="left" vertical="top" wrapText="1"/>
    </xf>
    <xf numFmtId="0" fontId="3" fillId="8" borderId="91" xfId="0" applyFont="1" applyFill="1" applyBorder="1" applyAlignment="1">
      <alignment horizontal="left" vertical="top" wrapText="1"/>
    </xf>
    <xf numFmtId="3" fontId="3" fillId="8" borderId="89" xfId="0" applyNumberFormat="1" applyFont="1" applyFill="1" applyBorder="1" applyAlignment="1">
      <alignment horizontal="center" vertical="top" wrapText="1"/>
    </xf>
    <xf numFmtId="3" fontId="3" fillId="8" borderId="81" xfId="0" applyNumberFormat="1" applyFont="1" applyFill="1" applyBorder="1" applyAlignment="1">
      <alignment horizontal="center" vertical="top" wrapText="1"/>
    </xf>
    <xf numFmtId="164" fontId="5" fillId="8" borderId="101" xfId="0" applyNumberFormat="1" applyFont="1" applyFill="1" applyBorder="1" applyAlignment="1">
      <alignment horizontal="right" vertical="top"/>
    </xf>
    <xf numFmtId="164" fontId="3" fillId="8" borderId="94" xfId="0" applyNumberFormat="1" applyFont="1" applyFill="1" applyBorder="1" applyAlignment="1">
      <alignment horizontal="right" vertical="top"/>
    </xf>
    <xf numFmtId="164" fontId="5" fillId="8" borderId="92" xfId="0" applyNumberFormat="1" applyFont="1" applyFill="1" applyBorder="1" applyAlignment="1">
      <alignment horizontal="right" vertical="top"/>
    </xf>
    <xf numFmtId="164" fontId="5" fillId="8" borderId="83" xfId="0" applyNumberFormat="1" applyFont="1" applyFill="1" applyBorder="1" applyAlignment="1">
      <alignment horizontal="right" vertical="top"/>
    </xf>
    <xf numFmtId="3" fontId="3" fillId="8" borderId="86" xfId="0" applyNumberFormat="1" applyFont="1" applyFill="1" applyBorder="1" applyAlignment="1">
      <alignment horizontal="center" vertical="top" wrapText="1"/>
    </xf>
    <xf numFmtId="0" fontId="3" fillId="8" borderId="24" xfId="0" applyFont="1" applyFill="1" applyBorder="1" applyAlignment="1">
      <alignment horizontal="center" vertical="top"/>
    </xf>
    <xf numFmtId="0" fontId="19" fillId="0" borderId="105" xfId="0" applyFont="1" applyFill="1" applyBorder="1" applyAlignment="1">
      <alignment horizontal="left" vertical="top" wrapText="1"/>
    </xf>
    <xf numFmtId="0" fontId="3" fillId="0" borderId="113" xfId="0" applyFont="1" applyFill="1" applyBorder="1" applyAlignment="1">
      <alignment horizontal="center" vertical="top" wrapText="1"/>
    </xf>
    <xf numFmtId="3" fontId="19" fillId="8" borderId="86" xfId="0" applyNumberFormat="1" applyFont="1" applyFill="1" applyBorder="1" applyAlignment="1">
      <alignment horizontal="center" vertical="top" wrapText="1"/>
    </xf>
    <xf numFmtId="0" fontId="3" fillId="8" borderId="86" xfId="0" applyFont="1" applyFill="1" applyBorder="1" applyAlignment="1">
      <alignment horizontal="center" vertical="top"/>
    </xf>
    <xf numFmtId="3" fontId="19" fillId="8" borderId="93" xfId="0" applyNumberFormat="1" applyFont="1" applyFill="1" applyBorder="1" applyAlignment="1">
      <alignment horizontal="center" vertical="top" wrapText="1"/>
    </xf>
    <xf numFmtId="3" fontId="19" fillId="8" borderId="50" xfId="0" applyNumberFormat="1" applyFont="1" applyFill="1" applyBorder="1" applyAlignment="1">
      <alignment horizontal="center" vertical="top" wrapText="1"/>
    </xf>
    <xf numFmtId="0" fontId="3" fillId="8" borderId="50" xfId="0" applyFont="1" applyFill="1" applyBorder="1" applyAlignment="1">
      <alignment horizontal="center" vertical="top"/>
    </xf>
    <xf numFmtId="3" fontId="19" fillId="8" borderId="19" xfId="0" applyNumberFormat="1" applyFont="1" applyFill="1" applyBorder="1" applyAlignment="1">
      <alignment horizontal="center" vertical="top" wrapText="1"/>
    </xf>
    <xf numFmtId="164" fontId="3" fillId="8" borderId="55" xfId="0" applyNumberFormat="1" applyFont="1" applyFill="1" applyBorder="1" applyAlignment="1">
      <alignment horizontal="right" vertical="top" wrapText="1"/>
    </xf>
    <xf numFmtId="3" fontId="3" fillId="8" borderId="17" xfId="0" applyNumberFormat="1" applyFont="1" applyFill="1" applyBorder="1" applyAlignment="1">
      <alignment horizontal="right" vertical="top" wrapText="1"/>
    </xf>
    <xf numFmtId="0" fontId="3" fillId="0" borderId="105" xfId="0" applyFont="1" applyFill="1" applyBorder="1" applyAlignment="1">
      <alignment vertical="top" wrapText="1"/>
    </xf>
    <xf numFmtId="3" fontId="3" fillId="0" borderId="110" xfId="0" applyNumberFormat="1" applyFont="1" applyFill="1" applyBorder="1" applyAlignment="1">
      <alignment horizontal="center" vertical="top" wrapText="1"/>
    </xf>
    <xf numFmtId="49" fontId="5" fillId="0" borderId="110" xfId="0" applyNumberFormat="1" applyFont="1" applyBorder="1" applyAlignment="1">
      <alignment horizontal="center" vertical="top"/>
    </xf>
    <xf numFmtId="164" fontId="3" fillId="2" borderId="91" xfId="0" applyNumberFormat="1" applyFont="1" applyFill="1" applyBorder="1" applyAlignment="1">
      <alignment horizontal="left" vertical="top" wrapText="1"/>
    </xf>
    <xf numFmtId="0" fontId="3" fillId="0" borderId="89" xfId="0" applyNumberFormat="1" applyFont="1" applyFill="1" applyBorder="1" applyAlignment="1">
      <alignment horizontal="center" vertical="top"/>
    </xf>
    <xf numFmtId="0" fontId="3" fillId="0" borderId="118" xfId="0" applyNumberFormat="1" applyFont="1" applyFill="1" applyBorder="1" applyAlignment="1">
      <alignment horizontal="center" vertical="top"/>
    </xf>
    <xf numFmtId="0" fontId="3" fillId="0" borderId="81" xfId="0" applyNumberFormat="1" applyFont="1" applyBorder="1" applyAlignment="1">
      <alignment horizontal="center" vertical="top"/>
    </xf>
    <xf numFmtId="0" fontId="3" fillId="0" borderId="97" xfId="1" applyFont="1" applyFill="1" applyBorder="1" applyAlignment="1">
      <alignment vertical="top" wrapText="1"/>
    </xf>
    <xf numFmtId="3" fontId="3" fillId="0" borderId="98" xfId="0" applyNumberFormat="1" applyFont="1" applyFill="1" applyBorder="1" applyAlignment="1">
      <alignment horizontal="center" vertical="top" wrapText="1"/>
    </xf>
    <xf numFmtId="3" fontId="3" fillId="0" borderId="99" xfId="0" applyNumberFormat="1" applyFont="1" applyFill="1" applyBorder="1" applyAlignment="1">
      <alignment horizontal="center" vertical="top" wrapText="1"/>
    </xf>
    <xf numFmtId="49" fontId="3" fillId="0" borderId="113" xfId="0" applyNumberFormat="1" applyFont="1" applyFill="1" applyBorder="1" applyAlignment="1">
      <alignment horizontal="center" vertical="top"/>
    </xf>
    <xf numFmtId="164" fontId="3" fillId="0" borderId="106" xfId="0" applyNumberFormat="1" applyFont="1" applyFill="1" applyBorder="1" applyAlignment="1">
      <alignment vertical="top"/>
    </xf>
    <xf numFmtId="164" fontId="3" fillId="0" borderId="108" xfId="0" applyNumberFormat="1" applyFont="1" applyFill="1" applyBorder="1" applyAlignment="1">
      <alignment vertical="top"/>
    </xf>
    <xf numFmtId="164" fontId="3" fillId="0" borderId="112" xfId="0" applyNumberFormat="1" applyFont="1" applyFill="1" applyBorder="1" applyAlignment="1">
      <alignment vertical="top"/>
    </xf>
    <xf numFmtId="164" fontId="3" fillId="8" borderId="106" xfId="0" applyNumberFormat="1" applyFont="1" applyFill="1" applyBorder="1" applyAlignment="1">
      <alignment vertical="top"/>
    </xf>
    <xf numFmtId="164" fontId="3" fillId="8" borderId="108" xfId="0" applyNumberFormat="1" applyFont="1" applyFill="1" applyBorder="1" applyAlignment="1">
      <alignment vertical="top"/>
    </xf>
    <xf numFmtId="164" fontId="5" fillId="0" borderId="108" xfId="0" applyNumberFormat="1" applyFont="1" applyFill="1" applyBorder="1" applyAlignment="1">
      <alignment vertical="top"/>
    </xf>
    <xf numFmtId="164" fontId="3" fillId="0" borderId="82" xfId="0" applyNumberFormat="1" applyFont="1" applyFill="1" applyBorder="1" applyAlignment="1">
      <alignment vertical="top"/>
    </xf>
    <xf numFmtId="164" fontId="3" fillId="10" borderId="115" xfId="0" applyNumberFormat="1" applyFont="1" applyFill="1" applyBorder="1" applyAlignment="1">
      <alignment vertical="top"/>
    </xf>
    <xf numFmtId="164" fontId="3" fillId="10" borderId="108" xfId="0" applyNumberFormat="1" applyFont="1" applyFill="1" applyBorder="1" applyAlignment="1">
      <alignment vertical="top"/>
    </xf>
    <xf numFmtId="164" fontId="3" fillId="10" borderId="82" xfId="0" applyNumberFormat="1" applyFont="1" applyFill="1" applyBorder="1" applyAlignment="1">
      <alignment vertical="top"/>
    </xf>
    <xf numFmtId="164" fontId="3" fillId="0" borderId="113" xfId="0" applyNumberFormat="1" applyFont="1" applyFill="1" applyBorder="1" applyAlignment="1">
      <alignment vertical="top"/>
    </xf>
    <xf numFmtId="0" fontId="3" fillId="0" borderId="108" xfId="0" applyNumberFormat="1" applyFont="1" applyBorder="1" applyAlignment="1">
      <alignment horizontal="center" vertical="top"/>
    </xf>
    <xf numFmtId="49" fontId="3" fillId="0" borderId="87" xfId="0" applyNumberFormat="1" applyFont="1" applyFill="1" applyBorder="1" applyAlignment="1">
      <alignment horizontal="center" vertical="top"/>
    </xf>
    <xf numFmtId="164" fontId="3" fillId="0" borderId="91" xfId="0" applyNumberFormat="1" applyFont="1" applyFill="1" applyBorder="1" applyAlignment="1">
      <alignment vertical="top"/>
    </xf>
    <xf numFmtId="164" fontId="3" fillId="0" borderId="89" xfId="0" applyNumberFormat="1" applyFont="1" applyFill="1" applyBorder="1" applyAlignment="1">
      <alignment vertical="top"/>
    </xf>
    <xf numFmtId="164" fontId="3" fillId="0" borderId="90" xfId="0" applyNumberFormat="1" applyFont="1" applyFill="1" applyBorder="1" applyAlignment="1">
      <alignment vertical="top"/>
    </xf>
    <xf numFmtId="164" fontId="3" fillId="8" borderId="91" xfId="0" applyNumberFormat="1" applyFont="1" applyFill="1" applyBorder="1" applyAlignment="1">
      <alignment vertical="top"/>
    </xf>
    <xf numFmtId="164" fontId="3" fillId="8" borderId="89" xfId="0" applyNumberFormat="1" applyFont="1" applyFill="1" applyBorder="1" applyAlignment="1">
      <alignment vertical="top"/>
    </xf>
    <xf numFmtId="164" fontId="5" fillId="0" borderId="89" xfId="0" applyNumberFormat="1" applyFont="1" applyFill="1" applyBorder="1" applyAlignment="1">
      <alignment vertical="top"/>
    </xf>
    <xf numFmtId="164" fontId="3" fillId="0" borderId="81" xfId="0" applyNumberFormat="1" applyFont="1" applyFill="1" applyBorder="1" applyAlignment="1">
      <alignment vertical="top"/>
    </xf>
    <xf numFmtId="164" fontId="3" fillId="10" borderId="88" xfId="0" applyNumberFormat="1" applyFont="1" applyFill="1" applyBorder="1" applyAlignment="1">
      <alignment vertical="top"/>
    </xf>
    <xf numFmtId="164" fontId="3" fillId="10" borderId="89" xfId="0" applyNumberFormat="1" applyFont="1" applyFill="1" applyBorder="1" applyAlignment="1">
      <alignment vertical="top"/>
    </xf>
    <xf numFmtId="164" fontId="3" fillId="10" borderId="81" xfId="0" applyNumberFormat="1" applyFont="1" applyFill="1" applyBorder="1" applyAlignment="1">
      <alignment vertical="top"/>
    </xf>
    <xf numFmtId="164" fontId="3" fillId="0" borderId="87" xfId="0" applyNumberFormat="1" applyFont="1" applyFill="1" applyBorder="1" applyAlignment="1">
      <alignment vertical="top"/>
    </xf>
    <xf numFmtId="0" fontId="3" fillId="0" borderId="100" xfId="0" applyFont="1" applyBorder="1" applyAlignment="1">
      <alignment vertical="top" wrapText="1"/>
    </xf>
    <xf numFmtId="3" fontId="3" fillId="0" borderId="89" xfId="0" applyNumberFormat="1" applyFont="1" applyFill="1" applyBorder="1" applyAlignment="1">
      <alignment horizontal="center" vertical="top" wrapText="1"/>
    </xf>
    <xf numFmtId="0" fontId="3" fillId="0" borderId="89" xfId="0" applyNumberFormat="1" applyFont="1" applyBorder="1" applyAlignment="1">
      <alignment horizontal="center" vertical="top"/>
    </xf>
    <xf numFmtId="0" fontId="3" fillId="0" borderId="57" xfId="0" applyFont="1" applyBorder="1" applyAlignment="1">
      <alignment vertical="top" wrapText="1"/>
    </xf>
    <xf numFmtId="0" fontId="3" fillId="0" borderId="21" xfId="0" applyNumberFormat="1" applyFont="1" applyBorder="1" applyAlignment="1">
      <alignment horizontal="center" vertical="top"/>
    </xf>
    <xf numFmtId="0" fontId="3" fillId="0" borderId="110" xfId="0" applyNumberFormat="1" applyFont="1" applyBorder="1" applyAlignment="1">
      <alignment horizontal="center" vertical="top"/>
    </xf>
    <xf numFmtId="0" fontId="3" fillId="0" borderId="82" xfId="0" applyNumberFormat="1" applyFont="1" applyBorder="1" applyAlignment="1">
      <alignment horizontal="center" vertical="top"/>
    </xf>
    <xf numFmtId="0" fontId="3" fillId="0" borderId="107" xfId="0" applyFont="1" applyBorder="1" applyAlignment="1">
      <alignment vertical="top" wrapText="1"/>
    </xf>
    <xf numFmtId="0" fontId="5" fillId="0" borderId="16" xfId="0" applyFont="1" applyFill="1" applyBorder="1" applyAlignment="1">
      <alignment horizontal="center" vertical="top" wrapText="1"/>
    </xf>
    <xf numFmtId="3" fontId="5" fillId="0" borderId="29" xfId="0" applyNumberFormat="1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textRotation="90" wrapText="1"/>
    </xf>
    <xf numFmtId="49" fontId="3" fillId="0" borderId="17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164" fontId="3" fillId="0" borderId="9" xfId="0" applyNumberFormat="1" applyFont="1" applyFill="1" applyBorder="1" applyAlignment="1">
      <alignment horizontal="right" vertical="top" wrapText="1"/>
    </xf>
    <xf numFmtId="49" fontId="5" fillId="13" borderId="17" xfId="0" applyNumberFormat="1" applyFont="1" applyFill="1" applyBorder="1" applyAlignment="1">
      <alignment horizontal="center" vertical="top"/>
    </xf>
    <xf numFmtId="49" fontId="5" fillId="14" borderId="10" xfId="0" applyNumberFormat="1" applyFont="1" applyFill="1" applyBorder="1" applyAlignment="1">
      <alignment horizontal="center" vertical="top"/>
    </xf>
    <xf numFmtId="0" fontId="3" fillId="8" borderId="45" xfId="0" applyFont="1" applyFill="1" applyBorder="1" applyAlignment="1">
      <alignment vertical="top" wrapText="1"/>
    </xf>
    <xf numFmtId="49" fontId="3" fillId="8" borderId="21" xfId="0" applyNumberFormat="1" applyFont="1" applyFill="1" applyBorder="1" applyAlignment="1">
      <alignment horizontal="center" vertical="top" wrapText="1"/>
    </xf>
    <xf numFmtId="49" fontId="3" fillId="8" borderId="1" xfId="0" applyNumberFormat="1" applyFont="1" applyFill="1" applyBorder="1" applyAlignment="1">
      <alignment horizontal="center" vertical="top" wrapText="1"/>
    </xf>
    <xf numFmtId="49" fontId="9" fillId="8" borderId="85" xfId="0" applyNumberFormat="1" applyFont="1" applyFill="1" applyBorder="1" applyAlignment="1">
      <alignment horizontal="center" vertical="top" wrapText="1"/>
    </xf>
    <xf numFmtId="49" fontId="3" fillId="8" borderId="85" xfId="0" applyNumberFormat="1" applyFont="1" applyFill="1" applyBorder="1" applyAlignment="1">
      <alignment horizontal="center" vertical="top" wrapText="1"/>
    </xf>
    <xf numFmtId="49" fontId="3" fillId="8" borderId="93" xfId="0" applyNumberFormat="1" applyFont="1" applyFill="1" applyBorder="1" applyAlignment="1">
      <alignment horizontal="center" vertical="top" wrapText="1"/>
    </xf>
    <xf numFmtId="49" fontId="3" fillId="8" borderId="37" xfId="1" applyNumberFormat="1" applyFont="1" applyFill="1" applyBorder="1" applyAlignment="1">
      <alignment horizontal="center" vertical="center"/>
    </xf>
    <xf numFmtId="49" fontId="3" fillId="8" borderId="2" xfId="0" applyNumberFormat="1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top" wrapText="1"/>
    </xf>
    <xf numFmtId="49" fontId="9" fillId="8" borderId="93" xfId="0" applyNumberFormat="1" applyFont="1" applyFill="1" applyBorder="1" applyAlignment="1">
      <alignment horizontal="center" vertical="top" wrapText="1"/>
    </xf>
    <xf numFmtId="3" fontId="3" fillId="2" borderId="26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17" xfId="1" applyNumberFormat="1" applyFont="1" applyFill="1" applyBorder="1" applyAlignment="1">
      <alignment horizontal="center" vertical="top"/>
    </xf>
    <xf numFmtId="4" fontId="3" fillId="2" borderId="17" xfId="0" applyNumberFormat="1" applyFont="1" applyFill="1" applyBorder="1" applyAlignment="1">
      <alignment horizontal="center" vertical="top"/>
    </xf>
    <xf numFmtId="4" fontId="3" fillId="2" borderId="19" xfId="0" applyNumberFormat="1" applyFont="1" applyFill="1" applyBorder="1" applyAlignment="1">
      <alignment horizontal="center" vertical="top"/>
    </xf>
    <xf numFmtId="0" fontId="3" fillId="0" borderId="70" xfId="0" applyFont="1" applyFill="1" applyBorder="1" applyAlignment="1">
      <alignment horizontal="center" vertical="center" textRotation="90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0" fontId="5" fillId="0" borderId="50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49" fontId="5" fillId="0" borderId="33" xfId="0" applyNumberFormat="1" applyFont="1" applyBorder="1" applyAlignment="1">
      <alignment horizontal="center" vertical="top"/>
    </xf>
    <xf numFmtId="49" fontId="5" fillId="14" borderId="10" xfId="0" applyNumberFormat="1" applyFont="1" applyFill="1" applyBorder="1" applyAlignment="1">
      <alignment horizontal="center" vertical="top"/>
    </xf>
    <xf numFmtId="0" fontId="3" fillId="0" borderId="70" xfId="0" applyFont="1" applyBorder="1" applyAlignment="1">
      <alignment horizontal="center" vertical="top"/>
    </xf>
    <xf numFmtId="49" fontId="5" fillId="14" borderId="16" xfId="0" applyNumberFormat="1" applyFont="1" applyFill="1" applyBorder="1" applyAlignment="1">
      <alignment horizontal="center" vertical="top"/>
    </xf>
    <xf numFmtId="49" fontId="5" fillId="3" borderId="2" xfId="0" applyNumberFormat="1" applyFont="1" applyFill="1" applyBorder="1" applyAlignment="1">
      <alignment horizontal="center" vertical="top"/>
    </xf>
    <xf numFmtId="3" fontId="3" fillId="0" borderId="24" xfId="0" applyNumberFormat="1" applyFont="1" applyFill="1" applyBorder="1" applyAlignment="1">
      <alignment horizontal="right" vertical="top" wrapText="1"/>
    </xf>
    <xf numFmtId="3" fontId="3" fillId="0" borderId="9" xfId="0" applyNumberFormat="1" applyFont="1" applyFill="1" applyBorder="1" applyAlignment="1">
      <alignment horizontal="right" vertical="top" wrapText="1"/>
    </xf>
    <xf numFmtId="3" fontId="3" fillId="8" borderId="9" xfId="0" applyNumberFormat="1" applyFont="1" applyFill="1" applyBorder="1" applyAlignment="1">
      <alignment horizontal="right" vertical="top" wrapText="1"/>
    </xf>
    <xf numFmtId="3" fontId="3" fillId="0" borderId="9" xfId="0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 applyAlignment="1">
      <alignment horizontal="right" vertical="top" wrapText="1"/>
    </xf>
    <xf numFmtId="3" fontId="3" fillId="2" borderId="87" xfId="0" applyNumberFormat="1" applyFont="1" applyFill="1" applyBorder="1" applyAlignment="1">
      <alignment horizontal="right" vertical="top"/>
    </xf>
    <xf numFmtId="3" fontId="5" fillId="2" borderId="87" xfId="0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 applyAlignment="1">
      <alignment horizontal="right" vertical="top"/>
    </xf>
    <xf numFmtId="3" fontId="5" fillId="2" borderId="9" xfId="0" applyNumberFormat="1" applyFont="1" applyFill="1" applyBorder="1" applyAlignment="1">
      <alignment horizontal="right" vertical="top"/>
    </xf>
    <xf numFmtId="3" fontId="3" fillId="2" borderId="113" xfId="0" applyNumberFormat="1" applyFont="1" applyFill="1" applyBorder="1" applyAlignment="1">
      <alignment horizontal="right" vertical="top"/>
    </xf>
    <xf numFmtId="3" fontId="5" fillId="2" borderId="113" xfId="0" applyNumberFormat="1" applyFont="1" applyFill="1" applyBorder="1" applyAlignment="1">
      <alignment horizontal="right" vertical="top"/>
    </xf>
    <xf numFmtId="3" fontId="3" fillId="2" borderId="24" xfId="0" applyNumberFormat="1" applyFont="1" applyFill="1" applyBorder="1" applyAlignment="1">
      <alignment horizontal="right" vertical="top"/>
    </xf>
    <xf numFmtId="3" fontId="5" fillId="2" borderId="24" xfId="0" applyNumberFormat="1" applyFont="1" applyFill="1" applyBorder="1" applyAlignment="1">
      <alignment horizontal="right" vertical="top"/>
    </xf>
    <xf numFmtId="3" fontId="3" fillId="2" borderId="23" xfId="0" applyNumberFormat="1" applyFont="1" applyFill="1" applyBorder="1" applyAlignment="1">
      <alignment horizontal="right" vertical="top"/>
    </xf>
    <xf numFmtId="3" fontId="3" fillId="8" borderId="23" xfId="0" applyNumberFormat="1" applyFont="1" applyFill="1" applyBorder="1" applyAlignment="1">
      <alignment horizontal="right" vertical="top"/>
    </xf>
    <xf numFmtId="3" fontId="3" fillId="0" borderId="6" xfId="0" applyNumberFormat="1" applyFont="1" applyFill="1" applyBorder="1" applyAlignment="1">
      <alignment horizontal="right" vertical="top" wrapText="1"/>
    </xf>
    <xf numFmtId="3" fontId="3" fillId="0" borderId="96" xfId="0" applyNumberFormat="1" applyFont="1" applyFill="1" applyBorder="1" applyAlignment="1">
      <alignment horizontal="right" vertical="top" wrapText="1"/>
    </xf>
    <xf numFmtId="3" fontId="3" fillId="0" borderId="96" xfId="0" applyNumberFormat="1" applyFont="1" applyFill="1" applyBorder="1" applyAlignment="1">
      <alignment horizontal="right" vertical="top"/>
    </xf>
    <xf numFmtId="3" fontId="3" fillId="2" borderId="92" xfId="0" applyNumberFormat="1" applyFont="1" applyFill="1" applyBorder="1" applyAlignment="1">
      <alignment horizontal="right" vertical="top" wrapText="1"/>
    </xf>
    <xf numFmtId="3" fontId="3" fillId="0" borderId="24" xfId="0" applyNumberFormat="1" applyFont="1" applyFill="1" applyBorder="1" applyAlignment="1">
      <alignment horizontal="right" vertical="top"/>
    </xf>
    <xf numFmtId="3" fontId="3" fillId="0" borderId="53" xfId="0" applyNumberFormat="1" applyFont="1" applyFill="1" applyBorder="1" applyAlignment="1">
      <alignment horizontal="right" vertical="top" wrapText="1"/>
    </xf>
    <xf numFmtId="3" fontId="3" fillId="0" borderId="40" xfId="0" applyNumberFormat="1" applyFont="1" applyFill="1" applyBorder="1" applyAlignment="1">
      <alignment horizontal="right" vertical="top" wrapText="1"/>
    </xf>
    <xf numFmtId="3" fontId="3" fillId="0" borderId="40" xfId="0" applyNumberFormat="1" applyFont="1" applyFill="1" applyBorder="1" applyAlignment="1">
      <alignment horizontal="right" vertical="top"/>
    </xf>
    <xf numFmtId="3" fontId="3" fillId="0" borderId="83" xfId="0" applyNumberFormat="1" applyFont="1" applyFill="1" applyBorder="1" applyAlignment="1">
      <alignment horizontal="right" vertical="top"/>
    </xf>
    <xf numFmtId="3" fontId="3" fillId="0" borderId="95" xfId="0" applyNumberFormat="1" applyFont="1" applyFill="1" applyBorder="1" applyAlignment="1">
      <alignment horizontal="right" vertical="top"/>
    </xf>
    <xf numFmtId="3" fontId="3" fillId="0" borderId="111" xfId="0" applyNumberFormat="1" applyFont="1" applyFill="1" applyBorder="1" applyAlignment="1">
      <alignment horizontal="right" vertical="top"/>
    </xf>
    <xf numFmtId="3" fontId="3" fillId="0" borderId="117" xfId="0" applyNumberFormat="1" applyFont="1" applyFill="1" applyBorder="1" applyAlignment="1">
      <alignment horizontal="right" vertical="top"/>
    </xf>
    <xf numFmtId="3" fontId="3" fillId="0" borderId="113" xfId="0" applyNumberFormat="1" applyFont="1" applyFill="1" applyBorder="1" applyAlignment="1">
      <alignment horizontal="right" vertical="top"/>
    </xf>
    <xf numFmtId="3" fontId="3" fillId="0" borderId="107" xfId="0" applyNumberFormat="1" applyFont="1" applyFill="1" applyBorder="1" applyAlignment="1">
      <alignment horizontal="right" vertical="top"/>
    </xf>
    <xf numFmtId="3" fontId="5" fillId="0" borderId="95" xfId="0" applyNumberFormat="1" applyFont="1" applyFill="1" applyBorder="1" applyAlignment="1">
      <alignment horizontal="right" vertical="top"/>
    </xf>
    <xf numFmtId="3" fontId="5" fillId="0" borderId="96" xfId="0" applyNumberFormat="1" applyFont="1" applyFill="1" applyBorder="1" applyAlignment="1">
      <alignment horizontal="right" vertical="top"/>
    </xf>
    <xf numFmtId="3" fontId="3" fillId="2" borderId="0" xfId="0" applyNumberFormat="1" applyFont="1" applyFill="1" applyBorder="1" applyAlignment="1">
      <alignment horizontal="right" vertical="top" wrapText="1"/>
    </xf>
    <xf numFmtId="3" fontId="3" fillId="8" borderId="49" xfId="0" applyNumberFormat="1" applyFont="1" applyFill="1" applyBorder="1" applyAlignment="1">
      <alignment horizontal="right" vertical="top" wrapText="1"/>
    </xf>
    <xf numFmtId="3" fontId="3" fillId="8" borderId="24" xfId="0" applyNumberFormat="1" applyFont="1" applyFill="1" applyBorder="1" applyAlignment="1">
      <alignment horizontal="right" vertical="top" wrapText="1"/>
    </xf>
    <xf numFmtId="3" fontId="3" fillId="0" borderId="43" xfId="0" applyNumberFormat="1" applyFont="1" applyFill="1" applyBorder="1" applyAlignment="1">
      <alignment horizontal="right" vertical="top" wrapText="1"/>
    </xf>
    <xf numFmtId="3" fontId="3" fillId="0" borderId="23" xfId="0" applyNumberFormat="1" applyFont="1" applyFill="1" applyBorder="1" applyAlignment="1">
      <alignment horizontal="right" vertical="top" wrapText="1"/>
    </xf>
    <xf numFmtId="3" fontId="3" fillId="2" borderId="46" xfId="0" applyNumberFormat="1" applyFont="1" applyFill="1" applyBorder="1" applyAlignment="1">
      <alignment horizontal="right" vertical="top" wrapText="1"/>
    </xf>
    <xf numFmtId="3" fontId="3" fillId="2" borderId="54" xfId="0" applyNumberFormat="1" applyFont="1" applyFill="1" applyBorder="1" applyAlignment="1">
      <alignment horizontal="right" vertical="top" wrapText="1"/>
    </xf>
    <xf numFmtId="3" fontId="3" fillId="2" borderId="53" xfId="0" applyNumberFormat="1" applyFont="1" applyFill="1" applyBorder="1" applyAlignment="1">
      <alignment horizontal="right" vertical="top" wrapText="1"/>
    </xf>
    <xf numFmtId="3" fontId="5" fillId="10" borderId="61" xfId="0" applyNumberFormat="1" applyFont="1" applyFill="1" applyBorder="1" applyAlignment="1">
      <alignment horizontal="right" vertical="top"/>
    </xf>
    <xf numFmtId="3" fontId="5" fillId="10" borderId="59" xfId="0" applyNumberFormat="1" applyFont="1" applyFill="1" applyBorder="1" applyAlignment="1">
      <alignment horizontal="right" vertical="top"/>
    </xf>
    <xf numFmtId="3" fontId="3" fillId="2" borderId="41" xfId="0" applyNumberFormat="1" applyFont="1" applyFill="1" applyBorder="1" applyAlignment="1">
      <alignment horizontal="right" vertical="top" wrapText="1"/>
    </xf>
    <xf numFmtId="3" fontId="3" fillId="2" borderId="44" xfId="0" applyNumberFormat="1" applyFont="1" applyFill="1" applyBorder="1" applyAlignment="1">
      <alignment horizontal="right" vertical="top" wrapText="1"/>
    </xf>
    <xf numFmtId="3" fontId="5" fillId="10" borderId="67" xfId="0" applyNumberFormat="1" applyFont="1" applyFill="1" applyBorder="1" applyAlignment="1">
      <alignment horizontal="right" vertical="top"/>
    </xf>
    <xf numFmtId="3" fontId="3" fillId="2" borderId="23" xfId="0" applyNumberFormat="1" applyFont="1" applyFill="1" applyBorder="1" applyAlignment="1">
      <alignment horizontal="right" vertical="top" wrapText="1"/>
    </xf>
    <xf numFmtId="3" fontId="3" fillId="0" borderId="44" xfId="0" applyNumberFormat="1" applyFont="1" applyFill="1" applyBorder="1" applyAlignment="1">
      <alignment horizontal="right" vertical="top" wrapText="1"/>
    </xf>
    <xf numFmtId="3" fontId="5" fillId="8" borderId="9" xfId="0" applyNumberFormat="1" applyFont="1" applyFill="1" applyBorder="1" applyAlignment="1">
      <alignment horizontal="right" vertical="top"/>
    </xf>
    <xf numFmtId="3" fontId="5" fillId="8" borderId="0" xfId="0" applyNumberFormat="1" applyFont="1" applyFill="1" applyBorder="1" applyAlignment="1">
      <alignment horizontal="right" vertical="top"/>
    </xf>
    <xf numFmtId="3" fontId="5" fillId="3" borderId="25" xfId="0" applyNumberFormat="1" applyFont="1" applyFill="1" applyBorder="1" applyAlignment="1">
      <alignment horizontal="right" vertical="top"/>
    </xf>
    <xf numFmtId="0" fontId="5" fillId="10" borderId="61" xfId="0" applyFont="1" applyFill="1" applyBorder="1" applyAlignment="1">
      <alignment vertical="center"/>
    </xf>
    <xf numFmtId="3" fontId="3" fillId="0" borderId="46" xfId="0" applyNumberFormat="1" applyFont="1" applyFill="1" applyBorder="1" applyAlignment="1">
      <alignment horizontal="right" wrapText="1"/>
    </xf>
    <xf numFmtId="3" fontId="3" fillId="0" borderId="9" xfId="0" applyNumberFormat="1" applyFont="1" applyFill="1" applyBorder="1" applyAlignment="1">
      <alignment horizontal="right" wrapText="1"/>
    </xf>
    <xf numFmtId="3" fontId="3" fillId="2" borderId="9" xfId="0" applyNumberFormat="1" applyFont="1" applyFill="1" applyBorder="1" applyAlignment="1">
      <alignment horizontal="right" wrapText="1"/>
    </xf>
    <xf numFmtId="3" fontId="5" fillId="10" borderId="64" xfId="0" applyNumberFormat="1" applyFont="1" applyFill="1" applyBorder="1" applyAlignment="1">
      <alignment horizontal="right" vertical="top"/>
    </xf>
    <xf numFmtId="3" fontId="5" fillId="3" borderId="22" xfId="0" applyNumberFormat="1" applyFont="1" applyFill="1" applyBorder="1" applyAlignment="1">
      <alignment horizontal="right" vertical="top"/>
    </xf>
    <xf numFmtId="3" fontId="5" fillId="10" borderId="66" xfId="0" applyNumberFormat="1" applyFont="1" applyFill="1" applyBorder="1" applyAlignment="1">
      <alignment horizontal="right" vertical="top"/>
    </xf>
    <xf numFmtId="3" fontId="5" fillId="10" borderId="36" xfId="0" applyNumberFormat="1" applyFont="1" applyFill="1" applyBorder="1" applyAlignment="1">
      <alignment horizontal="right" vertical="top"/>
    </xf>
    <xf numFmtId="3" fontId="5" fillId="5" borderId="7" xfId="0" applyNumberFormat="1" applyFont="1" applyFill="1" applyBorder="1" applyAlignment="1">
      <alignment horizontal="right" vertical="top"/>
    </xf>
    <xf numFmtId="3" fontId="3" fillId="0" borderId="24" xfId="0" applyNumberFormat="1" applyFont="1" applyBorder="1" applyAlignment="1">
      <alignment horizontal="right" vertical="top"/>
    </xf>
    <xf numFmtId="3" fontId="5" fillId="5" borderId="24" xfId="0" applyNumberFormat="1" applyFont="1" applyFill="1" applyBorder="1" applyAlignment="1">
      <alignment horizontal="right" vertical="top"/>
    </xf>
    <xf numFmtId="3" fontId="5" fillId="6" borderId="66" xfId="0" applyNumberFormat="1" applyFont="1" applyFill="1" applyBorder="1" applyAlignment="1">
      <alignment horizontal="right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3" fillId="2" borderId="62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8" borderId="86" xfId="0" applyFont="1" applyFill="1" applyBorder="1" applyAlignment="1">
      <alignment horizontal="left" vertical="top" wrapText="1"/>
    </xf>
    <xf numFmtId="0" fontId="3" fillId="8" borderId="112" xfId="0" applyFont="1" applyFill="1" applyBorder="1" applyAlignment="1">
      <alignment vertical="top" wrapText="1"/>
    </xf>
    <xf numFmtId="0" fontId="3" fillId="8" borderId="86" xfId="0" applyFont="1" applyFill="1" applyBorder="1" applyAlignment="1">
      <alignment vertical="top" wrapText="1"/>
    </xf>
    <xf numFmtId="0" fontId="3" fillId="8" borderId="116" xfId="0" applyFont="1" applyFill="1" applyBorder="1" applyAlignment="1">
      <alignment vertical="top" wrapText="1"/>
    </xf>
    <xf numFmtId="0" fontId="3" fillId="0" borderId="84" xfId="0" applyFont="1" applyFill="1" applyBorder="1" applyAlignment="1">
      <alignment horizontal="center" vertical="center" textRotation="90" wrapText="1"/>
    </xf>
    <xf numFmtId="49" fontId="5" fillId="0" borderId="93" xfId="0" applyNumberFormat="1" applyFont="1" applyBorder="1" applyAlignment="1">
      <alignment horizontal="center" vertical="top"/>
    </xf>
    <xf numFmtId="0" fontId="3" fillId="0" borderId="105" xfId="0" applyFont="1" applyFill="1" applyBorder="1" applyAlignment="1">
      <alignment horizontal="center" vertical="center" textRotation="90" wrapText="1"/>
    </xf>
    <xf numFmtId="0" fontId="3" fillId="0" borderId="106" xfId="0" applyFont="1" applyFill="1" applyBorder="1" applyAlignment="1">
      <alignment horizontal="center" vertical="center" textRotation="90" wrapText="1"/>
    </xf>
    <xf numFmtId="49" fontId="5" fillId="0" borderId="82" xfId="0" applyNumberFormat="1" applyFont="1" applyBorder="1" applyAlignment="1">
      <alignment horizontal="center" vertical="top"/>
    </xf>
    <xf numFmtId="0" fontId="24" fillId="0" borderId="10" xfId="0" applyFont="1" applyFill="1" applyBorder="1" applyAlignment="1">
      <alignment horizontal="center" vertical="center" textRotation="90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0" borderId="33" xfId="0" applyNumberFormat="1" applyFont="1" applyBorder="1" applyAlignment="1">
      <alignment horizontal="center" vertical="top"/>
    </xf>
    <xf numFmtId="0" fontId="3" fillId="0" borderId="31" xfId="0" applyFont="1" applyFill="1" applyBorder="1" applyAlignment="1">
      <alignment horizontal="left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 wrapText="1"/>
    </xf>
    <xf numFmtId="0" fontId="3" fillId="0" borderId="10" xfId="1" applyFont="1" applyFill="1" applyBorder="1" applyAlignment="1">
      <alignment vertical="top" wrapText="1"/>
    </xf>
    <xf numFmtId="49" fontId="5" fillId="0" borderId="2" xfId="0" applyNumberFormat="1" applyFont="1" applyBorder="1" applyAlignment="1">
      <alignment horizontal="center" vertical="top"/>
    </xf>
    <xf numFmtId="0" fontId="7" fillId="0" borderId="77" xfId="0" applyFont="1" applyBorder="1" applyAlignment="1">
      <alignment horizontal="center" vertical="top" wrapText="1"/>
    </xf>
    <xf numFmtId="0" fontId="7" fillId="0" borderId="70" xfId="0" applyFont="1" applyBorder="1" applyAlignment="1">
      <alignment horizontal="center" vertical="top" wrapText="1"/>
    </xf>
    <xf numFmtId="49" fontId="3" fillId="0" borderId="40" xfId="0" applyNumberFormat="1" applyFont="1" applyFill="1" applyBorder="1" applyAlignment="1">
      <alignment horizontal="center" vertical="top" wrapText="1"/>
    </xf>
    <xf numFmtId="0" fontId="7" fillId="0" borderId="40" xfId="0" applyFont="1" applyBorder="1" applyAlignment="1">
      <alignment horizontal="center" vertical="top" wrapText="1"/>
    </xf>
    <xf numFmtId="0" fontId="7" fillId="0" borderId="49" xfId="0" applyFont="1" applyBorder="1" applyAlignment="1">
      <alignment horizontal="center" vertical="top" wrapText="1"/>
    </xf>
    <xf numFmtId="164" fontId="3" fillId="0" borderId="49" xfId="0" applyNumberFormat="1" applyFont="1" applyBorder="1" applyAlignment="1">
      <alignment horizontal="right" vertical="top"/>
    </xf>
    <xf numFmtId="164" fontId="3" fillId="10" borderId="49" xfId="0" applyNumberFormat="1" applyFont="1" applyFill="1" applyBorder="1" applyAlignment="1">
      <alignment horizontal="right" vertical="top"/>
    </xf>
    <xf numFmtId="164" fontId="3" fillId="0" borderId="78" xfId="0" applyNumberFormat="1" applyFont="1" applyFill="1" applyBorder="1" applyAlignment="1">
      <alignment vertical="top"/>
    </xf>
    <xf numFmtId="164" fontId="3" fillId="0" borderId="76" xfId="0" applyNumberFormat="1" applyFont="1" applyFill="1" applyBorder="1" applyAlignment="1">
      <alignment vertical="top"/>
    </xf>
    <xf numFmtId="164" fontId="3" fillId="0" borderId="100" xfId="0" applyNumberFormat="1" applyFont="1" applyFill="1" applyBorder="1" applyAlignment="1">
      <alignment vertical="top"/>
    </xf>
    <xf numFmtId="164" fontId="3" fillId="0" borderId="107" xfId="0" applyNumberFormat="1" applyFont="1" applyFill="1" applyBorder="1" applyAlignment="1">
      <alignment vertical="top"/>
    </xf>
    <xf numFmtId="164" fontId="3" fillId="2" borderId="100" xfId="0" applyNumberFormat="1" applyFont="1" applyFill="1" applyBorder="1" applyAlignment="1">
      <alignment horizontal="right" vertical="top" wrapText="1"/>
    </xf>
    <xf numFmtId="164" fontId="3" fillId="2" borderId="70" xfId="0" applyNumberFormat="1" applyFont="1" applyFill="1" applyBorder="1" applyAlignment="1">
      <alignment horizontal="right" vertical="top" wrapText="1"/>
    </xf>
    <xf numFmtId="164" fontId="3" fillId="0" borderId="70" xfId="0" applyNumberFormat="1" applyFont="1" applyFill="1" applyBorder="1" applyAlignment="1">
      <alignment horizontal="right" vertical="top"/>
    </xf>
    <xf numFmtId="0" fontId="2" fillId="0" borderId="10" xfId="0" applyFont="1" applyBorder="1" applyAlignment="1">
      <alignment textRotation="90"/>
    </xf>
    <xf numFmtId="49" fontId="3" fillId="0" borderId="9" xfId="0" applyNumberFormat="1" applyFont="1" applyFill="1" applyBorder="1" applyAlignment="1">
      <alignment horizontal="center" vertical="top"/>
    </xf>
    <xf numFmtId="0" fontId="3" fillId="8" borderId="18" xfId="0" applyFont="1" applyFill="1" applyBorder="1" applyAlignment="1">
      <alignment horizontal="left" vertical="top" wrapText="1"/>
    </xf>
    <xf numFmtId="49" fontId="3" fillId="0" borderId="37" xfId="0" applyNumberFormat="1" applyFont="1" applyFill="1" applyBorder="1" applyAlignment="1">
      <alignment horizontal="center" vertical="top" wrapText="1"/>
    </xf>
    <xf numFmtId="49" fontId="3" fillId="0" borderId="18" xfId="0" applyNumberFormat="1" applyFont="1" applyFill="1" applyBorder="1" applyAlignment="1">
      <alignment horizontal="center" vertical="top" wrapText="1"/>
    </xf>
    <xf numFmtId="0" fontId="3" fillId="0" borderId="16" xfId="0" applyFont="1" applyBorder="1" applyAlignment="1">
      <alignment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164" fontId="3" fillId="2" borderId="31" xfId="0" applyNumberFormat="1" applyFont="1" applyFill="1" applyBorder="1" applyAlignment="1">
      <alignment horizontal="left" vertical="top" wrapText="1"/>
    </xf>
    <xf numFmtId="0" fontId="3" fillId="0" borderId="34" xfId="0" applyNumberFormat="1" applyFont="1" applyFill="1" applyBorder="1" applyAlignment="1">
      <alignment horizontal="center" vertical="top"/>
    </xf>
    <xf numFmtId="0" fontId="3" fillId="0" borderId="49" xfId="0" applyNumberFormat="1" applyFont="1" applyFill="1" applyBorder="1" applyAlignment="1">
      <alignment horizontal="center" vertical="top"/>
    </xf>
    <xf numFmtId="0" fontId="3" fillId="0" borderId="99" xfId="0" applyFont="1" applyBorder="1" applyAlignment="1">
      <alignment vertical="top" wrapText="1"/>
    </xf>
    <xf numFmtId="0" fontId="2" fillId="0" borderId="97" xfId="0" applyFont="1" applyBorder="1" applyAlignment="1">
      <alignment textRotation="90"/>
    </xf>
    <xf numFmtId="0" fontId="0" fillId="0" borderId="32" xfId="0" applyBorder="1" applyAlignment="1">
      <alignment horizontal="center" vertical="top"/>
    </xf>
    <xf numFmtId="49" fontId="3" fillId="0" borderId="96" xfId="0" applyNumberFormat="1" applyFont="1" applyFill="1" applyBorder="1" applyAlignment="1">
      <alignment horizontal="center" vertical="top"/>
    </xf>
    <xf numFmtId="164" fontId="3" fillId="8" borderId="115" xfId="0" applyNumberFormat="1" applyFont="1" applyFill="1" applyBorder="1" applyAlignment="1">
      <alignment horizontal="right" vertical="top"/>
    </xf>
    <xf numFmtId="164" fontId="3" fillId="8" borderId="112" xfId="0" applyNumberFormat="1" applyFont="1" applyFill="1" applyBorder="1" applyAlignment="1">
      <alignment horizontal="right" vertical="top"/>
    </xf>
    <xf numFmtId="164" fontId="3" fillId="8" borderId="82" xfId="0" applyNumberFormat="1" applyFont="1" applyFill="1" applyBorder="1" applyAlignment="1">
      <alignment horizontal="right" vertical="top"/>
    </xf>
    <xf numFmtId="164" fontId="3" fillId="10" borderId="115" xfId="0" applyNumberFormat="1" applyFont="1" applyFill="1" applyBorder="1" applyAlignment="1">
      <alignment horizontal="right" vertical="top"/>
    </xf>
    <xf numFmtId="164" fontId="3" fillId="10" borderId="108" xfId="0" applyNumberFormat="1" applyFont="1" applyFill="1" applyBorder="1" applyAlignment="1">
      <alignment horizontal="right" vertical="top"/>
    </xf>
    <xf numFmtId="164" fontId="3" fillId="10" borderId="112" xfId="0" applyNumberFormat="1" applyFont="1" applyFill="1" applyBorder="1" applyAlignment="1">
      <alignment horizontal="right" vertical="top"/>
    </xf>
    <xf numFmtId="164" fontId="3" fillId="0" borderId="113" xfId="0" applyNumberFormat="1" applyFont="1" applyFill="1" applyBorder="1" applyAlignment="1">
      <alignment horizontal="right" vertical="top" wrapText="1"/>
    </xf>
    <xf numFmtId="164" fontId="3" fillId="0" borderId="119" xfId="0" applyNumberFormat="1" applyFont="1" applyFill="1" applyBorder="1" applyAlignment="1">
      <alignment horizontal="right" vertical="top" wrapText="1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49" fontId="3" fillId="2" borderId="28" xfId="0" applyNumberFormat="1" applyFont="1" applyFill="1" applyBorder="1" applyAlignment="1">
      <alignment horizontal="center" vertical="top" wrapText="1"/>
    </xf>
    <xf numFmtId="49" fontId="3" fillId="2" borderId="17" xfId="0" applyNumberFormat="1" applyFont="1" applyFill="1" applyBorder="1" applyAlignment="1">
      <alignment horizontal="center" vertical="top" wrapText="1"/>
    </xf>
    <xf numFmtId="49" fontId="3" fillId="2" borderId="26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3" fontId="3" fillId="10" borderId="70" xfId="0" applyNumberFormat="1" applyFont="1" applyFill="1" applyBorder="1" applyAlignment="1">
      <alignment horizontal="right" vertical="top"/>
    </xf>
    <xf numFmtId="3" fontId="3" fillId="10" borderId="40" xfId="0" applyNumberFormat="1" applyFont="1" applyFill="1" applyBorder="1" applyAlignment="1">
      <alignment horizontal="right" vertical="top"/>
    </xf>
    <xf numFmtId="3" fontId="3" fillId="10" borderId="40" xfId="0" applyNumberFormat="1" applyFont="1" applyFill="1" applyBorder="1" applyAlignment="1">
      <alignment horizontal="right" vertical="top" wrapText="1"/>
    </xf>
    <xf numFmtId="3" fontId="3" fillId="10" borderId="100" xfId="0" applyNumberFormat="1" applyFont="1" applyFill="1" applyBorder="1" applyAlignment="1">
      <alignment horizontal="right" vertical="top"/>
    </xf>
    <xf numFmtId="3" fontId="3" fillId="10" borderId="107" xfId="0" applyNumberFormat="1" applyFont="1" applyFill="1" applyBorder="1" applyAlignment="1">
      <alignment horizontal="right" vertical="top"/>
    </xf>
    <xf numFmtId="3" fontId="3" fillId="10" borderId="76" xfId="0" applyNumberFormat="1" applyFont="1" applyFill="1" applyBorder="1" applyAlignment="1">
      <alignment horizontal="right" vertical="top"/>
    </xf>
    <xf numFmtId="3" fontId="5" fillId="2" borderId="23" xfId="0" applyNumberFormat="1" applyFont="1" applyFill="1" applyBorder="1" applyAlignment="1">
      <alignment horizontal="right" vertical="top"/>
    </xf>
    <xf numFmtId="3" fontId="3" fillId="10" borderId="76" xfId="0" applyNumberFormat="1" applyFont="1" applyFill="1" applyBorder="1" applyAlignment="1">
      <alignment horizontal="right" vertical="top" wrapText="1"/>
    </xf>
    <xf numFmtId="3" fontId="3" fillId="10" borderId="57" xfId="0" applyNumberFormat="1" applyFont="1" applyFill="1" applyBorder="1" applyAlignment="1">
      <alignment horizontal="right" vertical="top"/>
    </xf>
    <xf numFmtId="3" fontId="3" fillId="10" borderId="83" xfId="0" applyNumberFormat="1" applyFont="1" applyFill="1" applyBorder="1" applyAlignment="1">
      <alignment horizontal="right" vertical="top"/>
    </xf>
    <xf numFmtId="3" fontId="3" fillId="0" borderId="83" xfId="0" applyNumberFormat="1" applyFont="1" applyFill="1" applyBorder="1" applyAlignment="1">
      <alignment horizontal="right" vertical="top" wrapText="1"/>
    </xf>
    <xf numFmtId="3" fontId="3" fillId="10" borderId="0" xfId="0" applyNumberFormat="1" applyFont="1" applyFill="1" applyBorder="1" applyAlignment="1">
      <alignment horizontal="right" vertical="top"/>
    </xf>
    <xf numFmtId="3" fontId="5" fillId="10" borderId="30" xfId="0" applyNumberFormat="1" applyFont="1" applyFill="1" applyBorder="1" applyAlignment="1">
      <alignment horizontal="right" vertical="top"/>
    </xf>
    <xf numFmtId="3" fontId="3" fillId="10" borderId="70" xfId="0" applyNumberFormat="1" applyFont="1" applyFill="1" applyBorder="1" applyAlignment="1">
      <alignment horizontal="right" vertical="top" wrapText="1"/>
    </xf>
    <xf numFmtId="3" fontId="3" fillId="10" borderId="95" xfId="0" applyNumberFormat="1" applyFont="1" applyFill="1" applyBorder="1" applyAlignment="1">
      <alignment horizontal="right" vertical="top" wrapText="1"/>
    </xf>
    <xf numFmtId="3" fontId="5" fillId="10" borderId="0" xfId="0" applyNumberFormat="1" applyFont="1" applyFill="1" applyBorder="1" applyAlignment="1">
      <alignment horizontal="right" vertical="top"/>
    </xf>
    <xf numFmtId="3" fontId="5" fillId="10" borderId="9" xfId="0" applyNumberFormat="1" applyFont="1" applyFill="1" applyBorder="1" applyAlignment="1">
      <alignment horizontal="right" vertical="top"/>
    </xf>
    <xf numFmtId="3" fontId="3" fillId="10" borderId="46" xfId="0" applyNumberFormat="1" applyFont="1" applyFill="1" applyBorder="1" applyAlignment="1">
      <alignment horizontal="right" vertical="top" wrapText="1"/>
    </xf>
    <xf numFmtId="3" fontId="3" fillId="8" borderId="46" xfId="0" applyNumberFormat="1" applyFont="1" applyFill="1" applyBorder="1" applyAlignment="1">
      <alignment horizontal="right" vertical="top" wrapText="1"/>
    </xf>
    <xf numFmtId="3" fontId="3" fillId="8" borderId="77" xfId="0" applyNumberFormat="1" applyFont="1" applyFill="1" applyBorder="1" applyAlignment="1">
      <alignment horizontal="right" vertical="top" wrapText="1"/>
    </xf>
    <xf numFmtId="3" fontId="3" fillId="10" borderId="6" xfId="0" applyNumberFormat="1" applyFont="1" applyFill="1" applyBorder="1" applyAlignment="1">
      <alignment horizontal="right" vertical="top" wrapText="1"/>
    </xf>
    <xf numFmtId="3" fontId="3" fillId="8" borderId="6" xfId="0" applyNumberFormat="1" applyFont="1" applyFill="1" applyBorder="1" applyAlignment="1">
      <alignment horizontal="right" vertical="top" wrapText="1"/>
    </xf>
    <xf numFmtId="3" fontId="3" fillId="8" borderId="57" xfId="0" applyNumberFormat="1" applyFont="1" applyFill="1" applyBorder="1" applyAlignment="1">
      <alignment horizontal="right" vertical="top" wrapText="1"/>
    </xf>
    <xf numFmtId="3" fontId="3" fillId="10" borderId="24" xfId="0" applyNumberFormat="1" applyFont="1" applyFill="1" applyBorder="1" applyAlignment="1">
      <alignment horizontal="right" vertical="top" wrapText="1"/>
    </xf>
    <xf numFmtId="3" fontId="3" fillId="10" borderId="24" xfId="0" applyNumberFormat="1" applyFont="1" applyFill="1" applyBorder="1" applyAlignment="1">
      <alignment horizontal="right" vertical="top"/>
    </xf>
    <xf numFmtId="3" fontId="3" fillId="10" borderId="9" xfId="0" applyNumberFormat="1" applyFont="1" applyFill="1" applyBorder="1" applyAlignment="1">
      <alignment horizontal="right" vertical="top" wrapText="1"/>
    </xf>
    <xf numFmtId="3" fontId="39" fillId="10" borderId="83" xfId="0" applyNumberFormat="1" applyFont="1" applyFill="1" applyBorder="1" applyAlignment="1">
      <alignment horizontal="right" vertical="top" wrapText="1"/>
    </xf>
    <xf numFmtId="3" fontId="39" fillId="10" borderId="111" xfId="0" applyNumberFormat="1" applyFont="1" applyFill="1" applyBorder="1" applyAlignment="1">
      <alignment horizontal="right" vertical="top" wrapText="1"/>
    </xf>
    <xf numFmtId="3" fontId="39" fillId="10" borderId="9" xfId="0" applyNumberFormat="1" applyFont="1" applyFill="1" applyBorder="1" applyAlignment="1">
      <alignment horizontal="right" vertical="top" wrapText="1"/>
    </xf>
    <xf numFmtId="3" fontId="39" fillId="10" borderId="113" xfId="0" applyNumberFormat="1" applyFont="1" applyFill="1" applyBorder="1" applyAlignment="1">
      <alignment horizontal="right" vertical="top" wrapText="1"/>
    </xf>
    <xf numFmtId="3" fontId="39" fillId="10" borderId="96" xfId="0" applyNumberFormat="1" applyFont="1" applyFill="1" applyBorder="1" applyAlignment="1">
      <alignment horizontal="right" vertical="top" wrapText="1"/>
    </xf>
    <xf numFmtId="3" fontId="5" fillId="10" borderId="35" xfId="0" applyNumberFormat="1" applyFont="1" applyFill="1" applyBorder="1" applyAlignment="1">
      <alignment horizontal="right" vertical="top"/>
    </xf>
    <xf numFmtId="3" fontId="3" fillId="10" borderId="41" xfId="0" applyNumberFormat="1" applyFont="1" applyFill="1" applyBorder="1" applyAlignment="1">
      <alignment horizontal="right" vertical="top" wrapText="1"/>
    </xf>
    <xf numFmtId="3" fontId="3" fillId="10" borderId="49" xfId="0" applyNumberFormat="1" applyFont="1" applyFill="1" applyBorder="1" applyAlignment="1">
      <alignment horizontal="right" vertical="top" wrapText="1"/>
    </xf>
    <xf numFmtId="3" fontId="3" fillId="10" borderId="78" xfId="0" applyNumberFormat="1" applyFont="1" applyFill="1" applyBorder="1" applyAlignment="1">
      <alignment horizontal="right" vertical="top" wrapText="1"/>
    </xf>
    <xf numFmtId="3" fontId="5" fillId="10" borderId="73" xfId="0" applyNumberFormat="1" applyFont="1" applyFill="1" applyBorder="1" applyAlignment="1">
      <alignment horizontal="right" vertical="top"/>
    </xf>
    <xf numFmtId="3" fontId="3" fillId="10" borderId="7" xfId="0" applyNumberFormat="1" applyFont="1" applyFill="1" applyBorder="1" applyAlignment="1">
      <alignment horizontal="right" vertical="top"/>
    </xf>
    <xf numFmtId="3" fontId="3" fillId="0" borderId="7" xfId="0" applyNumberFormat="1" applyFont="1" applyFill="1" applyBorder="1" applyAlignment="1">
      <alignment horizontal="right" vertical="top"/>
    </xf>
    <xf numFmtId="3" fontId="3" fillId="0" borderId="65" xfId="0" applyNumberFormat="1" applyFont="1" applyFill="1" applyBorder="1" applyAlignment="1">
      <alignment horizontal="right" vertical="top"/>
    </xf>
    <xf numFmtId="3" fontId="3" fillId="0" borderId="49" xfId="0" applyNumberFormat="1" applyFont="1" applyFill="1" applyBorder="1" applyAlignment="1">
      <alignment horizontal="right" vertical="top"/>
    </xf>
    <xf numFmtId="3" fontId="3" fillId="0" borderId="100" xfId="0" applyNumberFormat="1" applyFont="1" applyFill="1" applyBorder="1" applyAlignment="1">
      <alignment horizontal="right" vertical="top"/>
    </xf>
    <xf numFmtId="3" fontId="3" fillId="10" borderId="96" xfId="0" applyNumberFormat="1" applyFont="1" applyFill="1" applyBorder="1" applyAlignment="1">
      <alignment horizontal="right" vertical="top"/>
    </xf>
    <xf numFmtId="3" fontId="3" fillId="10" borderId="9" xfId="0" applyNumberFormat="1" applyFont="1" applyFill="1" applyBorder="1" applyAlignment="1">
      <alignment horizontal="right" vertical="top"/>
    </xf>
    <xf numFmtId="3" fontId="3" fillId="0" borderId="0" xfId="0" applyNumberFormat="1" applyFont="1" applyFill="1" applyBorder="1" applyAlignment="1">
      <alignment horizontal="right" vertical="top"/>
    </xf>
    <xf numFmtId="3" fontId="3" fillId="10" borderId="23" xfId="0" applyNumberFormat="1" applyFont="1" applyFill="1" applyBorder="1" applyAlignment="1">
      <alignment horizontal="right" vertical="top"/>
    </xf>
    <xf numFmtId="3" fontId="3" fillId="10" borderId="23" xfId="0" applyNumberFormat="1" applyFont="1" applyFill="1" applyBorder="1" applyAlignment="1">
      <alignment horizontal="right" vertical="top" wrapText="1"/>
    </xf>
    <xf numFmtId="3" fontId="3" fillId="10" borderId="7" xfId="0" applyNumberFormat="1" applyFont="1" applyFill="1" applyBorder="1" applyAlignment="1">
      <alignment horizontal="right" vertical="top" wrapText="1"/>
    </xf>
    <xf numFmtId="3" fontId="3" fillId="8" borderId="7" xfId="0" applyNumberFormat="1" applyFont="1" applyFill="1" applyBorder="1" applyAlignment="1">
      <alignment horizontal="right" vertical="top" wrapText="1"/>
    </xf>
    <xf numFmtId="0" fontId="3" fillId="0" borderId="34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89" xfId="0" applyFont="1" applyBorder="1" applyAlignment="1">
      <alignment horizontal="center" vertical="top"/>
    </xf>
    <xf numFmtId="0" fontId="3" fillId="0" borderId="81" xfId="0" applyFont="1" applyBorder="1" applyAlignment="1">
      <alignment horizontal="center" vertical="top"/>
    </xf>
    <xf numFmtId="49" fontId="3" fillId="8" borderId="18" xfId="0" applyNumberFormat="1" applyFont="1" applyFill="1" applyBorder="1" applyAlignment="1">
      <alignment horizontal="center" vertical="top" wrapText="1"/>
    </xf>
    <xf numFmtId="3" fontId="3" fillId="8" borderId="19" xfId="0" applyNumberFormat="1" applyFont="1" applyFill="1" applyBorder="1" applyAlignment="1">
      <alignment horizontal="center" vertical="top" wrapText="1"/>
    </xf>
    <xf numFmtId="3" fontId="3" fillId="8" borderId="18" xfId="0" applyNumberFormat="1" applyFont="1" applyFill="1" applyBorder="1" applyAlignment="1">
      <alignment horizontal="center" vertical="top" wrapText="1"/>
    </xf>
    <xf numFmtId="3" fontId="3" fillId="8" borderId="26" xfId="1" applyNumberFormat="1" applyFont="1" applyFill="1" applyBorder="1" applyAlignment="1">
      <alignment horizontal="center" vertical="top"/>
    </xf>
    <xf numFmtId="3" fontId="3" fillId="8" borderId="26" xfId="0" applyNumberFormat="1" applyFont="1" applyFill="1" applyBorder="1" applyAlignment="1">
      <alignment horizontal="center" vertical="top" wrapText="1"/>
    </xf>
    <xf numFmtId="3" fontId="3" fillId="8" borderId="27" xfId="0" applyNumberFormat="1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/>
    </xf>
    <xf numFmtId="0" fontId="3" fillId="0" borderId="62" xfId="0" applyFont="1" applyBorder="1" applyAlignment="1">
      <alignment horizontal="center" vertical="top"/>
    </xf>
    <xf numFmtId="3" fontId="3" fillId="10" borderId="46" xfId="0" applyNumberFormat="1" applyFont="1" applyFill="1" applyBorder="1" applyAlignment="1">
      <alignment horizontal="right"/>
    </xf>
    <xf numFmtId="3" fontId="3" fillId="10" borderId="9" xfId="0" applyNumberFormat="1" applyFont="1" applyFill="1" applyBorder="1" applyAlignment="1">
      <alignment horizontal="right"/>
    </xf>
    <xf numFmtId="3" fontId="5" fillId="12" borderId="68" xfId="0" applyNumberFormat="1" applyFont="1" applyFill="1" applyBorder="1" applyAlignment="1">
      <alignment horizontal="right" vertical="top"/>
    </xf>
    <xf numFmtId="3" fontId="5" fillId="12" borderId="25" xfId="0" applyNumberFormat="1" applyFont="1" applyFill="1" applyBorder="1" applyAlignment="1">
      <alignment horizontal="right" vertical="top"/>
    </xf>
    <xf numFmtId="3" fontId="5" fillId="10" borderId="67" xfId="0" applyNumberFormat="1" applyFont="1" applyFill="1" applyBorder="1" applyAlignment="1">
      <alignment horizontal="right" vertical="center"/>
    </xf>
    <xf numFmtId="3" fontId="5" fillId="10" borderId="61" xfId="0" applyNumberFormat="1" applyFont="1" applyFill="1" applyBorder="1" applyAlignment="1">
      <alignment horizontal="right" vertical="center"/>
    </xf>
    <xf numFmtId="3" fontId="5" fillId="10" borderId="64" xfId="0" applyNumberFormat="1" applyFont="1" applyFill="1" applyBorder="1" applyAlignment="1">
      <alignment horizontal="right" vertical="center"/>
    </xf>
    <xf numFmtId="3" fontId="5" fillId="3" borderId="68" xfId="0" applyNumberFormat="1" applyFont="1" applyFill="1" applyBorder="1" applyAlignment="1">
      <alignment horizontal="right" vertical="center"/>
    </xf>
    <xf numFmtId="3" fontId="5" fillId="3" borderId="25" xfId="0" applyNumberFormat="1" applyFont="1" applyFill="1" applyBorder="1" applyAlignment="1">
      <alignment horizontal="right" vertical="center"/>
    </xf>
    <xf numFmtId="165" fontId="3" fillId="0" borderId="28" xfId="0" applyNumberFormat="1" applyFont="1" applyFill="1" applyBorder="1" applyAlignment="1">
      <alignment horizontal="center" vertical="top"/>
    </xf>
    <xf numFmtId="165" fontId="3" fillId="0" borderId="29" xfId="0" applyNumberFormat="1" applyFont="1" applyFill="1" applyBorder="1" applyAlignment="1">
      <alignment horizontal="center" vertical="top"/>
    </xf>
    <xf numFmtId="165" fontId="3" fillId="0" borderId="17" xfId="0" applyNumberFormat="1" applyFont="1" applyFill="1" applyBorder="1" applyAlignment="1">
      <alignment horizontal="center" vertical="top" textRotation="90"/>
    </xf>
    <xf numFmtId="3" fontId="3" fillId="8" borderId="78" xfId="0" applyNumberFormat="1" applyFont="1" applyFill="1" applyBorder="1" applyAlignment="1">
      <alignment horizontal="right" vertical="top" wrapText="1"/>
    </xf>
    <xf numFmtId="3" fontId="5" fillId="3" borderId="68" xfId="0" applyNumberFormat="1" applyFont="1" applyFill="1" applyBorder="1" applyAlignment="1">
      <alignment horizontal="right" vertical="top"/>
    </xf>
    <xf numFmtId="3" fontId="5" fillId="14" borderId="25" xfId="0" applyNumberFormat="1" applyFont="1" applyFill="1" applyBorder="1" applyAlignment="1">
      <alignment horizontal="right" vertical="top"/>
    </xf>
    <xf numFmtId="3" fontId="5" fillId="5" borderId="25" xfId="0" applyNumberFormat="1" applyFont="1" applyFill="1" applyBorder="1" applyAlignment="1">
      <alignment horizontal="right" vertical="top"/>
    </xf>
    <xf numFmtId="3" fontId="3" fillId="8" borderId="0" xfId="0" applyNumberFormat="1" applyFont="1" applyFill="1" applyAlignment="1">
      <alignment vertical="top"/>
    </xf>
    <xf numFmtId="49" fontId="5" fillId="0" borderId="2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49" fontId="5" fillId="3" borderId="26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49" fontId="5" fillId="14" borderId="11" xfId="0" applyNumberFormat="1" applyFont="1" applyFill="1" applyBorder="1" applyAlignment="1">
      <alignment horizontal="center" vertical="top"/>
    </xf>
    <xf numFmtId="0" fontId="3" fillId="8" borderId="66" xfId="0" applyFont="1" applyFill="1" applyBorder="1" applyAlignment="1">
      <alignment horizontal="center" vertical="top"/>
    </xf>
    <xf numFmtId="3" fontId="3" fillId="10" borderId="66" xfId="0" applyNumberFormat="1" applyFont="1" applyFill="1" applyBorder="1" applyAlignment="1">
      <alignment horizontal="right" vertical="top"/>
    </xf>
    <xf numFmtId="3" fontId="5" fillId="8" borderId="66" xfId="0" applyNumberFormat="1" applyFont="1" applyFill="1" applyBorder="1" applyAlignment="1">
      <alignment horizontal="right" vertical="top"/>
    </xf>
    <xf numFmtId="3" fontId="5" fillId="8" borderId="35" xfId="0" applyNumberFormat="1" applyFont="1" applyFill="1" applyBorder="1" applyAlignment="1">
      <alignment horizontal="right" vertical="top"/>
    </xf>
    <xf numFmtId="3" fontId="3" fillId="8" borderId="28" xfId="0" applyNumberFormat="1" applyFont="1" applyFill="1" applyBorder="1" applyAlignment="1">
      <alignment horizontal="center" vertical="top" wrapText="1"/>
    </xf>
    <xf numFmtId="3" fontId="3" fillId="0" borderId="0" xfId="0" applyNumberFormat="1" applyFont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49" fontId="5" fillId="3" borderId="26" xfId="0" applyNumberFormat="1" applyFont="1" applyFill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0" xfId="1" applyFont="1" applyFill="1" applyBorder="1" applyAlignment="1">
      <alignment vertical="top" wrapText="1"/>
    </xf>
    <xf numFmtId="49" fontId="5" fillId="0" borderId="33" xfId="0" applyNumberFormat="1" applyFont="1" applyBorder="1" applyAlignment="1">
      <alignment horizontal="center" vertical="top"/>
    </xf>
    <xf numFmtId="0" fontId="3" fillId="2" borderId="1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165" fontId="3" fillId="0" borderId="17" xfId="0" applyNumberFormat="1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49" fontId="5" fillId="0" borderId="1" xfId="0" applyNumberFormat="1" applyFont="1" applyBorder="1" applyAlignment="1">
      <alignment horizontal="center" vertical="top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49" fontId="5" fillId="14" borderId="11" xfId="0" applyNumberFormat="1" applyFont="1" applyFill="1" applyBorder="1" applyAlignment="1">
      <alignment horizontal="center" vertical="top" wrapText="1"/>
    </xf>
    <xf numFmtId="49" fontId="5" fillId="0" borderId="62" xfId="0" applyNumberFormat="1" applyFont="1" applyFill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 wrapText="1"/>
    </xf>
    <xf numFmtId="49" fontId="5" fillId="0" borderId="99" xfId="0" applyNumberFormat="1" applyFont="1" applyBorder="1" applyAlignment="1">
      <alignment horizontal="center" vertical="top"/>
    </xf>
    <xf numFmtId="0" fontId="3" fillId="0" borderId="97" xfId="0" applyFont="1" applyFill="1" applyBorder="1" applyAlignment="1">
      <alignment horizontal="center" vertical="center" textRotation="90" wrapText="1"/>
    </xf>
    <xf numFmtId="0" fontId="3" fillId="8" borderId="33" xfId="0" applyFont="1" applyFill="1" applyBorder="1" applyAlignment="1">
      <alignment vertical="top" wrapText="1"/>
    </xf>
    <xf numFmtId="49" fontId="5" fillId="0" borderId="18" xfId="0" applyNumberFormat="1" applyFont="1" applyBorder="1" applyAlignment="1">
      <alignment horizontal="center" vertical="top"/>
    </xf>
    <xf numFmtId="0" fontId="3" fillId="2" borderId="112" xfId="0" applyFont="1" applyFill="1" applyBorder="1" applyAlignment="1">
      <alignment horizontal="left" vertical="top" wrapText="1"/>
    </xf>
    <xf numFmtId="4" fontId="3" fillId="2" borderId="21" xfId="0" applyNumberFormat="1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top"/>
    </xf>
    <xf numFmtId="0" fontId="3" fillId="0" borderId="105" xfId="0" applyFont="1" applyFill="1" applyBorder="1" applyAlignment="1">
      <alignment horizontal="left" vertical="top" wrapText="1"/>
    </xf>
    <xf numFmtId="0" fontId="3" fillId="0" borderId="106" xfId="0" applyFont="1" applyFill="1" applyBorder="1" applyAlignment="1">
      <alignment horizontal="left" vertical="top" wrapText="1"/>
    </xf>
    <xf numFmtId="3" fontId="3" fillId="0" borderId="55" xfId="0" applyNumberFormat="1" applyFont="1" applyFill="1" applyBorder="1" applyAlignment="1">
      <alignment horizontal="right" vertical="top" wrapText="1"/>
    </xf>
    <xf numFmtId="3" fontId="3" fillId="0" borderId="53" xfId="0" applyNumberFormat="1" applyFont="1" applyFill="1" applyBorder="1" applyAlignment="1">
      <alignment horizontal="right" vertical="top"/>
    </xf>
    <xf numFmtId="49" fontId="3" fillId="8" borderId="19" xfId="0" applyNumberFormat="1" applyFont="1" applyFill="1" applyBorder="1" applyAlignment="1">
      <alignment horizontal="center" vertical="top" wrapText="1"/>
    </xf>
    <xf numFmtId="0" fontId="3" fillId="8" borderId="84" xfId="0" applyFont="1" applyFill="1" applyBorder="1" applyAlignment="1">
      <alignment vertical="top" wrapText="1"/>
    </xf>
    <xf numFmtId="0" fontId="3" fillId="0" borderId="106" xfId="0" applyFont="1" applyFill="1" applyBorder="1" applyAlignment="1">
      <alignment vertical="top" wrapText="1"/>
    </xf>
    <xf numFmtId="165" fontId="3" fillId="0" borderId="108" xfId="0" applyNumberFormat="1" applyFont="1" applyFill="1" applyBorder="1" applyAlignment="1">
      <alignment horizontal="center" vertical="top" wrapText="1"/>
    </xf>
    <xf numFmtId="165" fontId="3" fillId="0" borderId="82" xfId="0" applyNumberFormat="1" applyFont="1" applyFill="1" applyBorder="1" applyAlignment="1">
      <alignment horizontal="center" vertical="top" wrapText="1"/>
    </xf>
    <xf numFmtId="3" fontId="3" fillId="8" borderId="71" xfId="0" applyNumberFormat="1" applyFont="1" applyFill="1" applyBorder="1" applyAlignment="1">
      <alignment horizontal="right" vertical="top" wrapText="1"/>
    </xf>
    <xf numFmtId="0" fontId="3" fillId="8" borderId="62" xfId="0" applyFont="1" applyFill="1" applyBorder="1" applyAlignment="1">
      <alignment horizontal="left" vertical="top" wrapText="1"/>
    </xf>
    <xf numFmtId="3" fontId="3" fillId="0" borderId="62" xfId="1" applyNumberFormat="1" applyFont="1" applyFill="1" applyBorder="1" applyAlignment="1">
      <alignment horizontal="center" vertical="top"/>
    </xf>
    <xf numFmtId="3" fontId="3" fillId="0" borderId="62" xfId="0" applyNumberFormat="1" applyFont="1" applyFill="1" applyBorder="1" applyAlignment="1">
      <alignment horizontal="center" vertical="top" wrapText="1"/>
    </xf>
    <xf numFmtId="3" fontId="3" fillId="10" borderId="113" xfId="0" applyNumberFormat="1" applyFont="1" applyFill="1" applyBorder="1" applyAlignment="1">
      <alignment horizontal="right" vertical="top" wrapText="1"/>
    </xf>
    <xf numFmtId="3" fontId="3" fillId="0" borderId="113" xfId="0" applyNumberFormat="1" applyFont="1" applyFill="1" applyBorder="1" applyAlignment="1">
      <alignment horizontal="right" vertical="top" wrapText="1"/>
    </xf>
    <xf numFmtId="0" fontId="19" fillId="8" borderId="50" xfId="0" applyFont="1" applyFill="1" applyBorder="1" applyAlignment="1">
      <alignment vertical="top" wrapText="1"/>
    </xf>
    <xf numFmtId="3" fontId="5" fillId="8" borderId="40" xfId="0" applyNumberFormat="1" applyFont="1" applyFill="1" applyBorder="1" applyAlignment="1">
      <alignment horizontal="right" vertical="top"/>
    </xf>
    <xf numFmtId="3" fontId="3" fillId="0" borderId="50" xfId="1" applyNumberFormat="1" applyFont="1" applyFill="1" applyBorder="1" applyAlignment="1">
      <alignment horizontal="center" vertical="top"/>
    </xf>
    <xf numFmtId="3" fontId="3" fillId="0" borderId="50" xfId="0" applyNumberFormat="1" applyFont="1" applyFill="1" applyBorder="1" applyAlignment="1">
      <alignment horizontal="center" vertical="top" wrapText="1"/>
    </xf>
    <xf numFmtId="3" fontId="3" fillId="10" borderId="111" xfId="0" applyNumberFormat="1" applyFont="1" applyFill="1" applyBorder="1" applyAlignment="1">
      <alignment horizontal="right" vertical="top" wrapText="1"/>
    </xf>
    <xf numFmtId="3" fontId="3" fillId="0" borderId="111" xfId="0" applyNumberFormat="1" applyFont="1" applyFill="1" applyBorder="1" applyAlignment="1">
      <alignment horizontal="right" vertical="top" wrapText="1"/>
    </xf>
    <xf numFmtId="3" fontId="3" fillId="8" borderId="93" xfId="0" applyNumberFormat="1" applyFont="1" applyFill="1" applyBorder="1" applyAlignment="1">
      <alignment horizontal="center" vertical="top" wrapText="1"/>
    </xf>
    <xf numFmtId="0" fontId="3" fillId="8" borderId="106" xfId="0" applyFont="1" applyFill="1" applyBorder="1" applyAlignment="1">
      <alignment vertical="top" wrapText="1"/>
    </xf>
    <xf numFmtId="3" fontId="3" fillId="8" borderId="108" xfId="0" applyNumberFormat="1" applyFont="1" applyFill="1" applyBorder="1" applyAlignment="1">
      <alignment horizontal="center" vertical="top" wrapText="1"/>
    </xf>
    <xf numFmtId="3" fontId="3" fillId="8" borderId="82" xfId="0" applyNumberFormat="1" applyFont="1" applyFill="1" applyBorder="1" applyAlignment="1">
      <alignment horizontal="center" vertical="top" wrapText="1"/>
    </xf>
    <xf numFmtId="0" fontId="3" fillId="8" borderId="104" xfId="0" applyFont="1" applyFill="1" applyBorder="1" applyAlignment="1">
      <alignment horizontal="left" vertical="top" wrapText="1"/>
    </xf>
    <xf numFmtId="3" fontId="3" fillId="10" borderId="96" xfId="0" applyNumberFormat="1" applyFont="1" applyFill="1" applyBorder="1" applyAlignment="1">
      <alignment horizontal="right" vertical="top" wrapText="1"/>
    </xf>
    <xf numFmtId="3" fontId="3" fillId="0" borderId="114" xfId="0" applyNumberFormat="1" applyFont="1" applyFill="1" applyBorder="1" applyAlignment="1">
      <alignment horizontal="right" vertical="top" wrapText="1"/>
    </xf>
    <xf numFmtId="0" fontId="3" fillId="0" borderId="97" xfId="0" applyFont="1" applyFill="1" applyBorder="1" applyAlignment="1">
      <alignment horizontal="left" vertical="top" wrapText="1"/>
    </xf>
    <xf numFmtId="3" fontId="3" fillId="0" borderId="104" xfId="0" applyNumberFormat="1" applyFont="1" applyFill="1" applyBorder="1" applyAlignment="1">
      <alignment horizontal="center" vertical="top" wrapText="1"/>
    </xf>
    <xf numFmtId="3" fontId="3" fillId="0" borderId="41" xfId="0" applyNumberFormat="1" applyFont="1" applyFill="1" applyBorder="1" applyAlignment="1">
      <alignment horizontal="right" vertical="top" wrapText="1"/>
    </xf>
    <xf numFmtId="3" fontId="3" fillId="0" borderId="46" xfId="0" applyNumberFormat="1" applyFont="1" applyFill="1" applyBorder="1" applyAlignment="1">
      <alignment horizontal="right" vertical="top" wrapText="1"/>
    </xf>
    <xf numFmtId="3" fontId="3" fillId="10" borderId="77" xfId="0" applyNumberFormat="1" applyFont="1" applyFill="1" applyBorder="1" applyAlignment="1">
      <alignment horizontal="right" vertical="top" wrapText="1"/>
    </xf>
    <xf numFmtId="3" fontId="3" fillId="2" borderId="46" xfId="0" applyNumberFormat="1" applyFont="1" applyFill="1" applyBorder="1" applyAlignment="1">
      <alignment horizontal="right" vertical="top"/>
    </xf>
    <xf numFmtId="3" fontId="3" fillId="2" borderId="83" xfId="0" applyNumberFormat="1" applyFont="1" applyFill="1" applyBorder="1" applyAlignment="1">
      <alignment horizontal="right" vertical="top"/>
    </xf>
    <xf numFmtId="0" fontId="3" fillId="2" borderId="10" xfId="0" applyFont="1" applyFill="1" applyBorder="1" applyAlignment="1">
      <alignment vertical="top" wrapText="1"/>
    </xf>
    <xf numFmtId="3" fontId="3" fillId="2" borderId="108" xfId="0" applyNumberFormat="1" applyFont="1" applyFill="1" applyBorder="1" applyAlignment="1">
      <alignment horizontal="center" vertical="top"/>
    </xf>
    <xf numFmtId="3" fontId="3" fillId="2" borderId="82" xfId="0" applyNumberFormat="1" applyFont="1" applyFill="1" applyBorder="1" applyAlignment="1">
      <alignment horizontal="center" vertical="top"/>
    </xf>
    <xf numFmtId="3" fontId="3" fillId="10" borderId="70" xfId="0" applyNumberFormat="1" applyFont="1" applyFill="1" applyBorder="1" applyAlignment="1">
      <alignment horizontal="right" vertical="center"/>
    </xf>
    <xf numFmtId="0" fontId="3" fillId="8" borderId="120" xfId="0" applyFont="1" applyFill="1" applyBorder="1" applyAlignment="1">
      <alignment horizontal="center" vertical="top"/>
    </xf>
    <xf numFmtId="3" fontId="3" fillId="10" borderId="121" xfId="0" applyNumberFormat="1" applyFont="1" applyFill="1" applyBorder="1" applyAlignment="1">
      <alignment horizontal="right" vertical="center"/>
    </xf>
    <xf numFmtId="3" fontId="3" fillId="2" borderId="120" xfId="0" applyNumberFormat="1" applyFont="1" applyFill="1" applyBorder="1" applyAlignment="1">
      <alignment horizontal="right" vertical="top" wrapText="1"/>
    </xf>
    <xf numFmtId="3" fontId="3" fillId="8" borderId="24" xfId="0" applyNumberFormat="1" applyFont="1" applyFill="1" applyBorder="1" applyAlignment="1">
      <alignment horizontal="right" vertical="top"/>
    </xf>
    <xf numFmtId="3" fontId="3" fillId="8" borderId="55" xfId="0" applyNumberFormat="1" applyFont="1" applyFill="1" applyBorder="1" applyAlignment="1">
      <alignment horizontal="right" vertical="top"/>
    </xf>
    <xf numFmtId="3" fontId="3" fillId="8" borderId="9" xfId="0" applyNumberFormat="1" applyFont="1" applyFill="1" applyBorder="1" applyAlignment="1">
      <alignment horizontal="right" vertical="top"/>
    </xf>
    <xf numFmtId="3" fontId="3" fillId="8" borderId="53" xfId="0" applyNumberFormat="1" applyFont="1" applyFill="1" applyBorder="1" applyAlignment="1">
      <alignment horizontal="right" vertical="top"/>
    </xf>
    <xf numFmtId="0" fontId="5" fillId="2" borderId="5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0" fontId="32" fillId="0" borderId="0" xfId="0" applyFont="1" applyAlignment="1">
      <alignment vertical="top"/>
    </xf>
    <xf numFmtId="0" fontId="33" fillId="0" borderId="0" xfId="0" applyFont="1" applyAlignment="1">
      <alignment vertical="top"/>
    </xf>
    <xf numFmtId="49" fontId="5" fillId="3" borderId="62" xfId="0" applyNumberFormat="1" applyFont="1" applyFill="1" applyBorder="1" applyAlignment="1">
      <alignment horizontal="right" vertical="top"/>
    </xf>
    <xf numFmtId="49" fontId="5" fillId="3" borderId="30" xfId="0" applyNumberFormat="1" applyFont="1" applyFill="1" applyBorder="1" applyAlignment="1">
      <alignment horizontal="right" vertical="top"/>
    </xf>
    <xf numFmtId="49" fontId="5" fillId="3" borderId="69" xfId="0" applyNumberFormat="1" applyFont="1" applyFill="1" applyBorder="1" applyAlignment="1">
      <alignment horizontal="right" vertical="top"/>
    </xf>
    <xf numFmtId="0" fontId="3" fillId="3" borderId="63" xfId="0" applyFont="1" applyFill="1" applyBorder="1" applyAlignment="1">
      <alignment horizontal="center" vertical="top" wrapText="1"/>
    </xf>
    <xf numFmtId="0" fontId="3" fillId="3" borderId="68" xfId="0" applyFont="1" applyFill="1" applyBorder="1" applyAlignment="1">
      <alignment horizontal="center" vertical="top" wrapText="1"/>
    </xf>
    <xf numFmtId="0" fontId="3" fillId="3" borderId="69" xfId="0" applyFont="1" applyFill="1" applyBorder="1" applyAlignment="1">
      <alignment horizontal="center" vertical="top" wrapText="1"/>
    </xf>
    <xf numFmtId="49" fontId="5" fillId="4" borderId="79" xfId="0" applyNumberFormat="1" applyFont="1" applyFill="1" applyBorder="1" applyAlignment="1">
      <alignment horizontal="right" vertical="top"/>
    </xf>
    <xf numFmtId="49" fontId="5" fillId="4" borderId="68" xfId="0" applyNumberFormat="1" applyFont="1" applyFill="1" applyBorder="1" applyAlignment="1">
      <alignment horizontal="right" vertical="top"/>
    </xf>
    <xf numFmtId="49" fontId="5" fillId="4" borderId="69" xfId="0" applyNumberFormat="1" applyFont="1" applyFill="1" applyBorder="1" applyAlignment="1">
      <alignment horizontal="right" vertical="top"/>
    </xf>
    <xf numFmtId="0" fontId="3" fillId="4" borderId="63" xfId="0" applyFont="1" applyFill="1" applyBorder="1" applyAlignment="1">
      <alignment horizontal="center" vertical="top"/>
    </xf>
    <xf numFmtId="0" fontId="3" fillId="4" borderId="68" xfId="0" applyFont="1" applyFill="1" applyBorder="1" applyAlignment="1">
      <alignment horizontal="center" vertical="top"/>
    </xf>
    <xf numFmtId="0" fontId="3" fillId="4" borderId="69" xfId="0" applyFont="1" applyFill="1" applyBorder="1" applyAlignment="1">
      <alignment horizontal="center" vertical="top"/>
    </xf>
    <xf numFmtId="49" fontId="5" fillId="7" borderId="79" xfId="0" applyNumberFormat="1" applyFont="1" applyFill="1" applyBorder="1" applyAlignment="1">
      <alignment horizontal="right" vertical="top"/>
    </xf>
    <xf numFmtId="49" fontId="5" fillId="7" borderId="68" xfId="0" applyNumberFormat="1" applyFont="1" applyFill="1" applyBorder="1" applyAlignment="1">
      <alignment horizontal="right" vertical="top"/>
    </xf>
    <xf numFmtId="0" fontId="3" fillId="7" borderId="63" xfId="0" applyFont="1" applyFill="1" applyBorder="1" applyAlignment="1">
      <alignment horizontal="center" vertical="top"/>
    </xf>
    <xf numFmtId="0" fontId="3" fillId="7" borderId="68" xfId="0" applyFont="1" applyFill="1" applyBorder="1" applyAlignment="1">
      <alignment horizontal="center" vertical="top"/>
    </xf>
    <xf numFmtId="0" fontId="3" fillId="7" borderId="69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49" fontId="3" fillId="0" borderId="28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top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5" fillId="2" borderId="77" xfId="0" applyFont="1" applyFill="1" applyBorder="1" applyAlignment="1">
      <alignment horizontal="center" vertical="top" wrapText="1"/>
    </xf>
    <xf numFmtId="0" fontId="5" fillId="2" borderId="40" xfId="0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horizontal="center" vertical="top" wrapText="1"/>
    </xf>
    <xf numFmtId="49" fontId="3" fillId="2" borderId="28" xfId="0" applyNumberFormat="1" applyFont="1" applyFill="1" applyBorder="1" applyAlignment="1">
      <alignment horizontal="center" vertical="top" wrapText="1"/>
    </xf>
    <xf numFmtId="49" fontId="3" fillId="2" borderId="17" xfId="0" applyNumberFormat="1" applyFont="1" applyFill="1" applyBorder="1" applyAlignment="1">
      <alignment horizontal="center" vertical="top" wrapText="1"/>
    </xf>
    <xf numFmtId="49" fontId="3" fillId="2" borderId="26" xfId="0" applyNumberFormat="1" applyFont="1" applyFill="1" applyBorder="1" applyAlignment="1">
      <alignment horizontal="center" vertical="top" wrapText="1"/>
    </xf>
    <xf numFmtId="0" fontId="5" fillId="2" borderId="54" xfId="0" applyFont="1" applyFill="1" applyBorder="1" applyAlignment="1">
      <alignment horizontal="center" vertical="top" wrapText="1"/>
    </xf>
    <xf numFmtId="0" fontId="5" fillId="2" borderId="53" xfId="0" applyFont="1" applyFill="1" applyBorder="1" applyAlignment="1">
      <alignment horizontal="center" vertical="top" wrapText="1"/>
    </xf>
    <xf numFmtId="0" fontId="5" fillId="2" borderId="36" xfId="0" applyFont="1" applyFill="1" applyBorder="1" applyAlignment="1">
      <alignment horizontal="center" vertical="top" wrapText="1"/>
    </xf>
    <xf numFmtId="49" fontId="5" fillId="4" borderId="8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0" fontId="3" fillId="2" borderId="29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3" fillId="2" borderId="57" xfId="0" applyNumberFormat="1" applyFont="1" applyFill="1" applyBorder="1" applyAlignment="1">
      <alignment horizontal="left" vertical="top" wrapText="1"/>
    </xf>
    <xf numFmtId="0" fontId="22" fillId="2" borderId="40" xfId="0" applyNumberFormat="1" applyFont="1" applyFill="1" applyBorder="1" applyAlignment="1">
      <alignment horizontal="left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4" borderId="11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3" borderId="26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0" fontId="3" fillId="2" borderId="62" xfId="0" applyFont="1" applyFill="1" applyBorder="1" applyAlignment="1">
      <alignment horizontal="left" vertical="top" wrapText="1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 wrapText="1"/>
    </xf>
    <xf numFmtId="49" fontId="5" fillId="3" borderId="79" xfId="0" applyNumberFormat="1" applyFont="1" applyFill="1" applyBorder="1" applyAlignment="1">
      <alignment horizontal="right" vertical="top"/>
    </xf>
    <xf numFmtId="49" fontId="5" fillId="3" borderId="68" xfId="0" applyNumberFormat="1" applyFont="1" applyFill="1" applyBorder="1" applyAlignment="1">
      <alignment horizontal="right" vertical="top"/>
    </xf>
    <xf numFmtId="0" fontId="5" fillId="3" borderId="79" xfId="0" applyFont="1" applyFill="1" applyBorder="1" applyAlignment="1">
      <alignment horizontal="left" vertical="top" wrapText="1"/>
    </xf>
    <xf numFmtId="0" fontId="5" fillId="3" borderId="68" xfId="0" applyFont="1" applyFill="1" applyBorder="1" applyAlignment="1">
      <alignment horizontal="left" vertical="top" wrapText="1"/>
    </xf>
    <xf numFmtId="0" fontId="5" fillId="3" borderId="69" xfId="0" applyFont="1" applyFill="1" applyBorder="1" applyAlignment="1">
      <alignment horizontal="left" vertical="top" wrapText="1"/>
    </xf>
    <xf numFmtId="49" fontId="5" fillId="0" borderId="29" xfId="0" applyNumberFormat="1" applyFont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28" fillId="0" borderId="1" xfId="0" applyNumberFormat="1" applyFont="1" applyBorder="1" applyAlignment="1">
      <alignment horizontal="center" vertical="top"/>
    </xf>
    <xf numFmtId="49" fontId="28" fillId="0" borderId="19" xfId="0" applyNumberFormat="1" applyFont="1" applyBorder="1" applyAlignment="1">
      <alignment horizontal="center" vertical="top"/>
    </xf>
    <xf numFmtId="49" fontId="28" fillId="0" borderId="27" xfId="0" applyNumberFormat="1" applyFont="1" applyBorder="1" applyAlignment="1">
      <alignment horizontal="center" vertical="top"/>
    </xf>
    <xf numFmtId="0" fontId="27" fillId="0" borderId="45" xfId="0" applyFont="1" applyFill="1" applyBorder="1" applyAlignment="1">
      <alignment horizontal="left" vertical="top" wrapText="1"/>
    </xf>
    <xf numFmtId="0" fontId="27" fillId="0" borderId="10" xfId="0" applyFont="1" applyFill="1" applyBorder="1" applyAlignment="1">
      <alignment horizontal="left" vertical="top" wrapText="1"/>
    </xf>
    <xf numFmtId="0" fontId="27" fillId="0" borderId="11" xfId="0" applyFont="1" applyFill="1" applyBorder="1" applyAlignment="1">
      <alignment horizontal="left" vertical="top" wrapText="1"/>
    </xf>
    <xf numFmtId="49" fontId="5" fillId="4" borderId="8" xfId="0" applyNumberFormat="1" applyFont="1" applyFill="1" applyBorder="1" applyAlignment="1">
      <alignment horizontal="center" vertical="top" wrapText="1"/>
    </xf>
    <xf numFmtId="49" fontId="5" fillId="3" borderId="28" xfId="0" applyNumberFormat="1" applyFont="1" applyFill="1" applyBorder="1" applyAlignment="1">
      <alignment horizontal="center" vertical="top" wrapText="1"/>
    </xf>
    <xf numFmtId="49" fontId="5" fillId="8" borderId="28" xfId="0" applyNumberFormat="1" applyFont="1" applyFill="1" applyBorder="1" applyAlignment="1">
      <alignment horizontal="center" vertical="top" wrapText="1"/>
    </xf>
    <xf numFmtId="49" fontId="5" fillId="8" borderId="17" xfId="0" applyNumberFormat="1" applyFont="1" applyFill="1" applyBorder="1" applyAlignment="1">
      <alignment horizontal="center" vertical="top" wrapText="1"/>
    </xf>
    <xf numFmtId="0" fontId="3" fillId="0" borderId="77" xfId="0" applyFont="1" applyFill="1" applyBorder="1" applyAlignment="1">
      <alignment horizontal="center" vertical="center" textRotation="90" wrapText="1"/>
    </xf>
    <xf numFmtId="0" fontId="3" fillId="0" borderId="40" xfId="0" applyFont="1" applyFill="1" applyBorder="1" applyAlignment="1">
      <alignment horizontal="center" vertical="center" textRotation="90" wrapText="1"/>
    </xf>
    <xf numFmtId="49" fontId="3" fillId="0" borderId="47" xfId="0" applyNumberFormat="1" applyFont="1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49" fontId="5" fillId="8" borderId="26" xfId="0" applyNumberFormat="1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left" vertical="top" wrapText="1"/>
    </xf>
    <xf numFmtId="0" fontId="27" fillId="0" borderId="19" xfId="0" applyFont="1" applyFill="1" applyBorder="1" applyAlignment="1">
      <alignment horizontal="left" vertical="top" wrapText="1"/>
    </xf>
    <xf numFmtId="0" fontId="27" fillId="0" borderId="27" xfId="0" applyFont="1" applyFill="1" applyBorder="1" applyAlignment="1">
      <alignment horizontal="left" vertical="top" wrapText="1"/>
    </xf>
    <xf numFmtId="0" fontId="28" fillId="0" borderId="45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horizontal="center" vertical="top" wrapText="1"/>
    </xf>
    <xf numFmtId="0" fontId="28" fillId="0" borderId="11" xfId="0" applyFont="1" applyFill="1" applyBorder="1" applyAlignment="1">
      <alignment horizontal="center" vertical="top" wrapText="1"/>
    </xf>
    <xf numFmtId="49" fontId="27" fillId="0" borderId="21" xfId="0" applyNumberFormat="1" applyFont="1" applyBorder="1" applyAlignment="1">
      <alignment horizontal="center" vertical="top" wrapText="1"/>
    </xf>
    <xf numFmtId="49" fontId="27" fillId="0" borderId="17" xfId="0" applyNumberFormat="1" applyFont="1" applyBorder="1" applyAlignment="1">
      <alignment horizontal="center" vertical="top" wrapText="1"/>
    </xf>
    <xf numFmtId="49" fontId="27" fillId="0" borderId="26" xfId="0" applyNumberFormat="1" applyFont="1" applyBorder="1" applyAlignment="1">
      <alignment horizontal="center" vertical="top" wrapText="1"/>
    </xf>
    <xf numFmtId="49" fontId="5" fillId="0" borderId="41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0" fontId="3" fillId="2" borderId="8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49" fontId="5" fillId="0" borderId="47" xfId="0" applyNumberFormat="1" applyFont="1" applyBorder="1" applyAlignment="1">
      <alignment horizontal="center" vertical="top"/>
    </xf>
    <xf numFmtId="49" fontId="5" fillId="0" borderId="50" xfId="0" applyNumberFormat="1" applyFont="1" applyBorder="1" applyAlignment="1">
      <alignment horizontal="center" vertical="top"/>
    </xf>
    <xf numFmtId="49" fontId="5" fillId="0" borderId="62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0" fontId="3" fillId="0" borderId="35" xfId="0" applyFont="1" applyFill="1" applyBorder="1" applyAlignment="1">
      <alignment horizontal="center" vertical="center" textRotation="90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/>
    </xf>
    <xf numFmtId="0" fontId="3" fillId="2" borderId="29" xfId="0" applyFont="1" applyFill="1" applyBorder="1" applyAlignment="1">
      <alignment vertical="top" wrapText="1"/>
    </xf>
    <xf numFmtId="0" fontId="3" fillId="2" borderId="19" xfId="0" applyFont="1" applyFill="1" applyBorder="1" applyAlignment="1">
      <alignment vertical="top" wrapText="1"/>
    </xf>
    <xf numFmtId="0" fontId="3" fillId="2" borderId="27" xfId="0" applyFont="1" applyFill="1" applyBorder="1" applyAlignment="1">
      <alignment vertical="top" wrapText="1"/>
    </xf>
    <xf numFmtId="49" fontId="3" fillId="0" borderId="62" xfId="0" applyNumberFormat="1" applyFont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top" wrapText="1"/>
    </xf>
    <xf numFmtId="49" fontId="5" fillId="3" borderId="79" xfId="0" applyNumberFormat="1" applyFont="1" applyFill="1" applyBorder="1" applyAlignment="1">
      <alignment horizontal="left" vertical="top"/>
    </xf>
    <xf numFmtId="49" fontId="5" fillId="3" borderId="68" xfId="0" applyNumberFormat="1" applyFont="1" applyFill="1" applyBorder="1" applyAlignment="1">
      <alignment horizontal="left" vertical="top"/>
    </xf>
    <xf numFmtId="49" fontId="5" fillId="3" borderId="69" xfId="0" applyNumberFormat="1" applyFont="1" applyFill="1" applyBorder="1" applyAlignment="1">
      <alignment horizontal="left" vertical="top"/>
    </xf>
    <xf numFmtId="0" fontId="3" fillId="0" borderId="29" xfId="0" applyFont="1" applyFill="1" applyBorder="1" applyAlignment="1">
      <alignment vertical="top" wrapText="1"/>
    </xf>
    <xf numFmtId="0" fontId="3" fillId="0" borderId="19" xfId="0" applyFont="1" applyFill="1" applyBorder="1" applyAlignment="1">
      <alignment vertical="top" wrapText="1"/>
    </xf>
    <xf numFmtId="0" fontId="3" fillId="0" borderId="27" xfId="0" applyFont="1" applyFill="1" applyBorder="1" applyAlignment="1">
      <alignment vertical="top" wrapText="1"/>
    </xf>
    <xf numFmtId="0" fontId="3" fillId="0" borderId="77" xfId="0" applyFont="1" applyFill="1" applyBorder="1" applyAlignment="1">
      <alignment horizontal="center" vertical="top" textRotation="90" wrapText="1"/>
    </xf>
    <xf numFmtId="0" fontId="3" fillId="0" borderId="40" xfId="0" applyFont="1" applyFill="1" applyBorder="1" applyAlignment="1">
      <alignment horizontal="center" vertical="top" textRotation="90" wrapText="1"/>
    </xf>
    <xf numFmtId="0" fontId="3" fillId="0" borderId="35" xfId="0" applyFont="1" applyFill="1" applyBorder="1" applyAlignment="1">
      <alignment horizontal="center" vertical="top" textRotation="90" wrapText="1"/>
    </xf>
    <xf numFmtId="165" fontId="9" fillId="0" borderId="28" xfId="0" applyNumberFormat="1" applyFont="1" applyFill="1" applyBorder="1" applyAlignment="1">
      <alignment horizontal="center" vertical="top"/>
    </xf>
    <xf numFmtId="165" fontId="9" fillId="0" borderId="17" xfId="0" applyNumberFormat="1" applyFont="1" applyFill="1" applyBorder="1" applyAlignment="1">
      <alignment horizontal="center" vertical="top"/>
    </xf>
    <xf numFmtId="0" fontId="5" fillId="2" borderId="29" xfId="0" applyFont="1" applyFill="1" applyBorder="1" applyAlignment="1">
      <alignment vertical="top" wrapText="1"/>
    </xf>
    <xf numFmtId="0" fontId="5" fillId="2" borderId="19" xfId="0" applyFont="1" applyFill="1" applyBorder="1" applyAlignment="1">
      <alignment vertical="top" wrapText="1"/>
    </xf>
    <xf numFmtId="0" fontId="5" fillId="2" borderId="27" xfId="0" applyFont="1" applyFill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49" fontId="3" fillId="0" borderId="17" xfId="0" applyNumberFormat="1" applyFont="1" applyBorder="1" applyAlignment="1">
      <alignment horizontal="center" vertical="top"/>
    </xf>
    <xf numFmtId="0" fontId="3" fillId="0" borderId="10" xfId="1" applyFont="1" applyFill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49" fontId="3" fillId="0" borderId="32" xfId="0" applyNumberFormat="1" applyFont="1" applyBorder="1" applyAlignment="1">
      <alignment horizontal="center" vertical="top" wrapText="1"/>
    </xf>
    <xf numFmtId="49" fontId="5" fillId="0" borderId="33" xfId="0" applyNumberFormat="1" applyFont="1" applyBorder="1" applyAlignment="1">
      <alignment horizontal="center" vertical="top"/>
    </xf>
    <xf numFmtId="164" fontId="9" fillId="2" borderId="45" xfId="0" applyNumberFormat="1" applyFont="1" applyFill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164" fontId="3" fillId="2" borderId="10" xfId="0" applyNumberFormat="1" applyFont="1" applyFill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0" borderId="17" xfId="0" applyNumberFormat="1" applyFont="1" applyFill="1" applyBorder="1" applyAlignment="1">
      <alignment horizontal="center" vertical="top"/>
    </xf>
    <xf numFmtId="49" fontId="5" fillId="12" borderId="50" xfId="0" applyNumberFormat="1" applyFont="1" applyFill="1" applyBorder="1" applyAlignment="1">
      <alignment horizontal="center" vertical="top"/>
    </xf>
    <xf numFmtId="0" fontId="3" fillId="2" borderId="33" xfId="0" applyFont="1" applyFill="1" applyBorder="1" applyAlignment="1">
      <alignment vertical="top" wrapText="1"/>
    </xf>
    <xf numFmtId="0" fontId="5" fillId="0" borderId="31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5" fillId="2" borderId="29" xfId="0" applyFont="1" applyFill="1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0" fillId="0" borderId="31" xfId="0" applyBorder="1" applyAlignment="1">
      <alignment vertical="top" wrapText="1"/>
    </xf>
    <xf numFmtId="49" fontId="5" fillId="3" borderId="47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0" borderId="28" xfId="0" applyNumberFormat="1" applyFont="1" applyFill="1" applyBorder="1" applyAlignment="1">
      <alignment horizontal="center" vertical="top"/>
    </xf>
    <xf numFmtId="49" fontId="5" fillId="0" borderId="26" xfId="0" applyNumberFormat="1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49" fontId="5" fillId="8" borderId="28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28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3" fontId="3" fillId="2" borderId="28" xfId="0" applyNumberFormat="1" applyFont="1" applyFill="1" applyBorder="1" applyAlignment="1">
      <alignment horizontal="center" vertical="top" wrapText="1"/>
    </xf>
    <xf numFmtId="3" fontId="3" fillId="2" borderId="17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19" fillId="2" borderId="29" xfId="0" applyFont="1" applyFill="1" applyBorder="1" applyAlignment="1">
      <alignment horizontal="left" vertical="top" wrapText="1"/>
    </xf>
    <xf numFmtId="0" fontId="19" fillId="2" borderId="19" xfId="0" applyFont="1" applyFill="1" applyBorder="1" applyAlignment="1">
      <alignment horizontal="left" vertical="top" wrapText="1"/>
    </xf>
    <xf numFmtId="0" fontId="19" fillId="2" borderId="27" xfId="0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45" xfId="0" applyFont="1" applyFill="1" applyBorder="1" applyAlignment="1">
      <alignment horizontal="left" vertical="top" wrapText="1"/>
    </xf>
    <xf numFmtId="165" fontId="3" fillId="0" borderId="21" xfId="0" applyNumberFormat="1" applyFont="1" applyFill="1" applyBorder="1" applyAlignment="1">
      <alignment horizontal="center" vertical="top" wrapText="1"/>
    </xf>
    <xf numFmtId="165" fontId="3" fillId="0" borderId="17" xfId="0" applyNumberFormat="1" applyFont="1" applyFill="1" applyBorder="1" applyAlignment="1">
      <alignment horizontal="center" vertical="top" wrapText="1"/>
    </xf>
    <xf numFmtId="164" fontId="2" fillId="0" borderId="17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left" vertical="top" wrapText="1"/>
    </xf>
    <xf numFmtId="0" fontId="13" fillId="0" borderId="19" xfId="0" applyFont="1" applyFill="1" applyBorder="1" applyAlignment="1">
      <alignment horizontal="left" vertical="top" wrapText="1"/>
    </xf>
    <xf numFmtId="0" fontId="7" fillId="2" borderId="19" xfId="0" applyFont="1" applyFill="1" applyBorder="1" applyAlignment="1">
      <alignment horizontal="left" vertical="top" wrapText="1"/>
    </xf>
    <xf numFmtId="0" fontId="7" fillId="2" borderId="33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49" fontId="3" fillId="0" borderId="34" xfId="0" applyNumberFormat="1" applyFont="1" applyBorder="1" applyAlignment="1">
      <alignment horizontal="center" vertical="top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3" fillId="0" borderId="45" xfId="0" applyFont="1" applyFill="1" applyBorder="1" applyAlignment="1">
      <alignment horizontal="center" vertical="center" textRotation="90" wrapText="1"/>
    </xf>
    <xf numFmtId="49" fontId="3" fillId="0" borderId="2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5" fillId="0" borderId="50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vertical="top" wrapText="1"/>
    </xf>
    <xf numFmtId="0" fontId="3" fillId="8" borderId="27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center" vertical="center" textRotation="90" wrapText="1"/>
    </xf>
    <xf numFmtId="0" fontId="3" fillId="2" borderId="47" xfId="0" applyFont="1" applyFill="1" applyBorder="1" applyAlignment="1">
      <alignment horizontal="left" vertical="top" wrapText="1"/>
    </xf>
    <xf numFmtId="0" fontId="7" fillId="2" borderId="50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textRotation="90" wrapText="1"/>
    </xf>
    <xf numFmtId="0" fontId="18" fillId="0" borderId="10" xfId="0" applyFont="1" applyBorder="1" applyAlignment="1">
      <alignment horizontal="center" vertical="center" textRotation="90" wrapText="1"/>
    </xf>
    <xf numFmtId="49" fontId="3" fillId="0" borderId="48" xfId="0" applyNumberFormat="1" applyFont="1" applyBorder="1" applyAlignment="1">
      <alignment horizontal="center" vertical="top" wrapText="1"/>
    </xf>
    <xf numFmtId="0" fontId="3" fillId="2" borderId="45" xfId="0" applyFont="1" applyFill="1" applyBorder="1" applyAlignment="1">
      <alignment horizontal="left" vertical="top" wrapText="1"/>
    </xf>
    <xf numFmtId="0" fontId="3" fillId="2" borderId="50" xfId="0" applyFont="1" applyFill="1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49" fontId="5" fillId="9" borderId="78" xfId="0" applyNumberFormat="1" applyFont="1" applyFill="1" applyBorder="1" applyAlignment="1">
      <alignment horizontal="left" vertical="top" wrapText="1"/>
    </xf>
    <xf numFmtId="49" fontId="5" fillId="9" borderId="71" xfId="0" applyNumberFormat="1" applyFont="1" applyFill="1" applyBorder="1" applyAlignment="1">
      <alignment horizontal="left" vertical="top" wrapText="1"/>
    </xf>
    <xf numFmtId="49" fontId="5" fillId="9" borderId="65" xfId="0" applyNumberFormat="1" applyFont="1" applyFill="1" applyBorder="1" applyAlignment="1">
      <alignment horizontal="left" vertical="top" wrapText="1"/>
    </xf>
    <xf numFmtId="0" fontId="5" fillId="0" borderId="78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66" xfId="0" applyFont="1" applyBorder="1" applyAlignment="1">
      <alignment horizontal="center" vertical="center" textRotation="90" wrapText="1"/>
    </xf>
    <xf numFmtId="0" fontId="5" fillId="0" borderId="78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textRotation="90" wrapText="1"/>
    </xf>
    <xf numFmtId="0" fontId="9" fillId="0" borderId="17" xfId="0" applyFont="1" applyBorder="1" applyAlignment="1">
      <alignment horizontal="center" vertical="center" textRotation="90" wrapText="1"/>
    </xf>
    <xf numFmtId="0" fontId="9" fillId="0" borderId="26" xfId="0" applyFont="1" applyBorder="1" applyAlignment="1">
      <alignment horizontal="center" vertical="center" textRotation="90" wrapText="1"/>
    </xf>
    <xf numFmtId="0" fontId="3" fillId="0" borderId="54" xfId="0" applyNumberFormat="1" applyFont="1" applyBorder="1" applyAlignment="1">
      <alignment horizontal="center" vertical="center" textRotation="90" wrapText="1"/>
    </xf>
    <xf numFmtId="0" fontId="3" fillId="0" borderId="53" xfId="0" applyNumberFormat="1" applyFont="1" applyBorder="1" applyAlignment="1">
      <alignment horizontal="center" vertical="center" textRotation="90" wrapText="1"/>
    </xf>
    <xf numFmtId="0" fontId="3" fillId="0" borderId="36" xfId="0" applyNumberFormat="1" applyFont="1" applyBorder="1" applyAlignment="1">
      <alignment horizontal="center" vertical="center" textRotation="90" wrapText="1"/>
    </xf>
    <xf numFmtId="0" fontId="3" fillId="0" borderId="46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66" xfId="0" applyFont="1" applyBorder="1" applyAlignment="1">
      <alignment horizontal="center" vertical="center" textRotation="90" wrapText="1"/>
    </xf>
    <xf numFmtId="0" fontId="5" fillId="5" borderId="76" xfId="0" applyFont="1" applyFill="1" applyBorder="1" applyAlignment="1">
      <alignment horizontal="left" vertical="top" wrapText="1"/>
    </xf>
    <xf numFmtId="0" fontId="5" fillId="5" borderId="43" xfId="0" applyFont="1" applyFill="1" applyBorder="1" applyAlignment="1">
      <alignment horizontal="left" vertical="top" wrapText="1"/>
    </xf>
    <xf numFmtId="0" fontId="5" fillId="5" borderId="44" xfId="0" applyFont="1" applyFill="1" applyBorder="1" applyAlignment="1">
      <alignment horizontal="left" vertical="top" wrapText="1"/>
    </xf>
    <xf numFmtId="0" fontId="5" fillId="4" borderId="37" xfId="0" applyFont="1" applyFill="1" applyBorder="1" applyAlignment="1">
      <alignment horizontal="left" vertical="top"/>
    </xf>
    <xf numFmtId="0" fontId="5" fillId="4" borderId="43" xfId="0" applyFont="1" applyFill="1" applyBorder="1" applyAlignment="1">
      <alignment horizontal="left" vertical="top"/>
    </xf>
    <xf numFmtId="0" fontId="5" fillId="4" borderId="44" xfId="0" applyFont="1" applyFill="1" applyBorder="1" applyAlignment="1">
      <alignment horizontal="left" vertical="top"/>
    </xf>
    <xf numFmtId="0" fontId="5" fillId="3" borderId="37" xfId="0" applyFont="1" applyFill="1" applyBorder="1" applyAlignment="1">
      <alignment horizontal="left" vertical="top" wrapText="1"/>
    </xf>
    <xf numFmtId="0" fontId="5" fillId="3" borderId="43" xfId="0" applyFont="1" applyFill="1" applyBorder="1" applyAlignment="1">
      <alignment horizontal="left" vertical="top" wrapText="1"/>
    </xf>
    <xf numFmtId="0" fontId="5" fillId="3" borderId="44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0" fontId="23" fillId="0" borderId="33" xfId="0" applyFont="1" applyBorder="1" applyAlignment="1">
      <alignment horizontal="left" vertical="top" wrapText="1"/>
    </xf>
    <xf numFmtId="0" fontId="23" fillId="0" borderId="45" xfId="0" applyFont="1" applyBorder="1" applyAlignment="1">
      <alignment vertical="top" wrapText="1"/>
    </xf>
    <xf numFmtId="0" fontId="31" fillId="0" borderId="10" xfId="0" applyFont="1" applyBorder="1" applyAlignment="1">
      <alignment vertical="top" wrapText="1"/>
    </xf>
    <xf numFmtId="0" fontId="30" fillId="0" borderId="45" xfId="0" applyFont="1" applyBorder="1" applyAlignment="1">
      <alignment horizontal="center" vertical="center" textRotation="90" wrapText="1"/>
    </xf>
    <xf numFmtId="0" fontId="31" fillId="0" borderId="31" xfId="0" applyFont="1" applyBorder="1" applyAlignment="1">
      <alignment horizontal="center" vertical="center" textRotation="90" wrapText="1"/>
    </xf>
    <xf numFmtId="4" fontId="3" fillId="2" borderId="17" xfId="0" applyNumberFormat="1" applyFont="1" applyFill="1" applyBorder="1" applyAlignment="1">
      <alignment horizontal="center" vertical="top"/>
    </xf>
    <xf numFmtId="4" fontId="3" fillId="2" borderId="34" xfId="0" applyNumberFormat="1" applyFont="1" applyFill="1" applyBorder="1" applyAlignment="1">
      <alignment horizontal="center" vertical="top"/>
    </xf>
    <xf numFmtId="4" fontId="3" fillId="2" borderId="19" xfId="0" applyNumberFormat="1" applyFont="1" applyFill="1" applyBorder="1" applyAlignment="1">
      <alignment horizontal="center" vertical="top"/>
    </xf>
    <xf numFmtId="4" fontId="3" fillId="2" borderId="33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47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textRotation="90" wrapText="1"/>
    </xf>
    <xf numFmtId="0" fontId="3" fillId="0" borderId="40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45" xfId="0" applyFont="1" applyBorder="1" applyAlignment="1">
      <alignment horizontal="center" vertical="center" textRotation="90" wrapTex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textRotation="90" wrapText="1"/>
    </xf>
    <xf numFmtId="0" fontId="9" fillId="0" borderId="27" xfId="0" applyFont="1" applyFill="1" applyBorder="1" applyAlignment="1">
      <alignment horizontal="center" vertical="center" textRotation="90" wrapText="1"/>
    </xf>
    <xf numFmtId="0" fontId="3" fillId="0" borderId="4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 textRotation="90" wrapText="1"/>
    </xf>
    <xf numFmtId="0" fontId="3" fillId="0" borderId="70" xfId="0" applyFont="1" applyFill="1" applyBorder="1" applyAlignment="1">
      <alignment horizontal="center" vertical="center" textRotation="90" wrapText="1"/>
    </xf>
    <xf numFmtId="0" fontId="3" fillId="0" borderId="76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0" borderId="48" xfId="0" applyFont="1" applyFill="1" applyBorder="1" applyAlignment="1">
      <alignment vertical="top" wrapText="1"/>
    </xf>
    <xf numFmtId="0" fontId="7" fillId="0" borderId="62" xfId="0" applyFont="1" applyBorder="1" applyAlignment="1">
      <alignment vertical="top" wrapText="1"/>
    </xf>
    <xf numFmtId="0" fontId="5" fillId="6" borderId="35" xfId="0" applyFont="1" applyFill="1" applyBorder="1" applyAlignment="1">
      <alignment horizontal="right" vertical="top" wrapText="1"/>
    </xf>
    <xf numFmtId="0" fontId="5" fillId="6" borderId="30" xfId="0" applyFont="1" applyFill="1" applyBorder="1" applyAlignment="1">
      <alignment horizontal="right" vertical="top" wrapText="1"/>
    </xf>
    <xf numFmtId="0" fontId="5" fillId="6" borderId="36" xfId="0" applyFont="1" applyFill="1" applyBorder="1" applyAlignment="1">
      <alignment horizontal="right" vertical="top" wrapText="1"/>
    </xf>
    <xf numFmtId="0" fontId="3" fillId="2" borderId="70" xfId="0" applyFont="1" applyFill="1" applyBorder="1" applyAlignment="1">
      <alignment horizontal="left" vertical="top" wrapText="1"/>
    </xf>
    <xf numFmtId="0" fontId="3" fillId="2" borderId="49" xfId="0" applyFont="1" applyFill="1" applyBorder="1" applyAlignment="1">
      <alignment horizontal="left" vertical="top" wrapText="1"/>
    </xf>
    <xf numFmtId="0" fontId="3" fillId="2" borderId="55" xfId="0" applyFont="1" applyFill="1" applyBorder="1" applyAlignment="1">
      <alignment horizontal="left" vertical="top" wrapText="1"/>
    </xf>
    <xf numFmtId="0" fontId="3" fillId="2" borderId="76" xfId="0" applyFont="1" applyFill="1" applyBorder="1" applyAlignment="1">
      <alignment horizontal="left" vertical="top" wrapText="1"/>
    </xf>
    <xf numFmtId="0" fontId="3" fillId="2" borderId="43" xfId="0" applyFont="1" applyFill="1" applyBorder="1" applyAlignment="1">
      <alignment horizontal="left" vertical="top" wrapText="1"/>
    </xf>
    <xf numFmtId="0" fontId="3" fillId="2" borderId="44" xfId="0" applyFont="1" applyFill="1" applyBorder="1" applyAlignment="1">
      <alignment horizontal="left" vertical="top" wrapText="1"/>
    </xf>
    <xf numFmtId="0" fontId="5" fillId="5" borderId="76" xfId="0" applyFont="1" applyFill="1" applyBorder="1" applyAlignment="1">
      <alignment horizontal="right" vertical="top" wrapText="1"/>
    </xf>
    <xf numFmtId="0" fontId="5" fillId="5" borderId="43" xfId="0" applyFont="1" applyFill="1" applyBorder="1" applyAlignment="1">
      <alignment horizontal="right" vertical="top" wrapText="1"/>
    </xf>
    <xf numFmtId="0" fontId="5" fillId="5" borderId="44" xfId="0" applyFont="1" applyFill="1" applyBorder="1" applyAlignment="1">
      <alignment horizontal="right" vertical="top" wrapText="1"/>
    </xf>
    <xf numFmtId="0" fontId="0" fillId="0" borderId="43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5" fillId="5" borderId="78" xfId="0" applyFont="1" applyFill="1" applyBorder="1" applyAlignment="1">
      <alignment horizontal="right" vertical="top" wrapText="1"/>
    </xf>
    <xf numFmtId="0" fontId="5" fillId="5" borderId="71" xfId="0" applyFont="1" applyFill="1" applyBorder="1" applyAlignment="1">
      <alignment horizontal="right" vertical="top" wrapText="1"/>
    </xf>
    <xf numFmtId="0" fontId="5" fillId="5" borderId="65" xfId="0" applyFont="1" applyFill="1" applyBorder="1" applyAlignment="1">
      <alignment horizontal="right" vertical="top" wrapText="1"/>
    </xf>
    <xf numFmtId="0" fontId="3" fillId="0" borderId="70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left" vertical="top" wrapText="1"/>
    </xf>
    <xf numFmtId="0" fontId="3" fillId="0" borderId="41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5" fillId="0" borderId="63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center" vertical="top" wrapText="1"/>
    </xf>
    <xf numFmtId="0" fontId="5" fillId="2" borderId="27" xfId="0" applyFont="1" applyFill="1" applyBorder="1" applyAlignment="1">
      <alignment horizontal="center" vertical="top" wrapText="1"/>
    </xf>
    <xf numFmtId="49" fontId="5" fillId="14" borderId="79" xfId="0" applyNumberFormat="1" applyFont="1" applyFill="1" applyBorder="1" applyAlignment="1">
      <alignment horizontal="right" vertical="top"/>
    </xf>
    <xf numFmtId="49" fontId="5" fillId="14" borderId="68" xfId="0" applyNumberFormat="1" applyFont="1" applyFill="1" applyBorder="1" applyAlignment="1">
      <alignment horizontal="right" vertical="top"/>
    </xf>
    <xf numFmtId="49" fontId="5" fillId="14" borderId="69" xfId="0" applyNumberFormat="1" applyFont="1" applyFill="1" applyBorder="1" applyAlignment="1">
      <alignment horizontal="right" vertical="top"/>
    </xf>
    <xf numFmtId="0" fontId="3" fillId="14" borderId="63" xfId="0" applyFont="1" applyFill="1" applyBorder="1" applyAlignment="1">
      <alignment horizontal="center" vertical="top"/>
    </xf>
    <xf numFmtId="0" fontId="3" fillId="14" borderId="68" xfId="0" applyFont="1" applyFill="1" applyBorder="1" applyAlignment="1">
      <alignment horizontal="center" vertical="top"/>
    </xf>
    <xf numFmtId="0" fontId="3" fillId="14" borderId="69" xfId="0" applyFont="1" applyFill="1" applyBorder="1" applyAlignment="1">
      <alignment horizontal="center" vertical="top"/>
    </xf>
    <xf numFmtId="49" fontId="5" fillId="5" borderId="79" xfId="0" applyNumberFormat="1" applyFont="1" applyFill="1" applyBorder="1" applyAlignment="1">
      <alignment horizontal="right" vertical="top"/>
    </xf>
    <xf numFmtId="49" fontId="5" fillId="5" borderId="68" xfId="0" applyNumberFormat="1" applyFont="1" applyFill="1" applyBorder="1" applyAlignment="1">
      <alignment horizontal="right" vertical="top"/>
    </xf>
    <xf numFmtId="49" fontId="5" fillId="5" borderId="69" xfId="0" applyNumberFormat="1" applyFont="1" applyFill="1" applyBorder="1" applyAlignment="1">
      <alignment horizontal="right" vertical="top"/>
    </xf>
    <xf numFmtId="0" fontId="3" fillId="5" borderId="63" xfId="0" applyFont="1" applyFill="1" applyBorder="1" applyAlignment="1">
      <alignment horizontal="center" vertical="top"/>
    </xf>
    <xf numFmtId="0" fontId="3" fillId="5" borderId="68" xfId="0" applyFont="1" applyFill="1" applyBorder="1" applyAlignment="1">
      <alignment horizontal="center" vertical="top"/>
    </xf>
    <xf numFmtId="0" fontId="3" fillId="5" borderId="69" xfId="0" applyFont="1" applyFill="1" applyBorder="1" applyAlignment="1">
      <alignment horizontal="center" vertical="top"/>
    </xf>
    <xf numFmtId="0" fontId="0" fillId="0" borderId="11" xfId="0" applyBorder="1" applyAlignment="1">
      <alignment horizontal="left" vertical="top" wrapText="1"/>
    </xf>
    <xf numFmtId="49" fontId="5" fillId="14" borderId="10" xfId="0" applyNumberFormat="1" applyFont="1" applyFill="1" applyBorder="1" applyAlignment="1">
      <alignment horizontal="center" vertical="top" wrapText="1"/>
    </xf>
    <xf numFmtId="49" fontId="5" fillId="14" borderId="11" xfId="0" applyNumberFormat="1" applyFont="1" applyFill="1" applyBorder="1" applyAlignment="1">
      <alignment horizontal="center" vertical="top" wrapText="1"/>
    </xf>
    <xf numFmtId="49" fontId="5" fillId="14" borderId="10" xfId="0" applyNumberFormat="1" applyFont="1" applyFill="1" applyBorder="1" applyAlignment="1">
      <alignment horizontal="center" vertical="top"/>
    </xf>
    <xf numFmtId="49" fontId="5" fillId="14" borderId="11" xfId="0" applyNumberFormat="1" applyFont="1" applyFill="1" applyBorder="1" applyAlignment="1">
      <alignment horizontal="center" vertical="top"/>
    </xf>
    <xf numFmtId="0" fontId="3" fillId="0" borderId="29" xfId="0" applyFont="1" applyFill="1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49" fontId="5" fillId="14" borderId="8" xfId="0" applyNumberFormat="1" applyFont="1" applyFill="1" applyBorder="1" applyAlignment="1">
      <alignment horizontal="center" vertical="top"/>
    </xf>
    <xf numFmtId="0" fontId="3" fillId="2" borderId="48" xfId="0" applyFont="1" applyFill="1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5" fillId="2" borderId="47" xfId="0" applyFont="1" applyFill="1" applyBorder="1" applyAlignment="1">
      <alignment vertical="top" wrapText="1"/>
    </xf>
    <xf numFmtId="0" fontId="36" fillId="0" borderId="32" xfId="0" applyFont="1" applyBorder="1" applyAlignment="1">
      <alignment vertical="top" wrapText="1"/>
    </xf>
    <xf numFmtId="0" fontId="3" fillId="2" borderId="50" xfId="0" applyFont="1" applyFill="1" applyBorder="1" applyAlignment="1">
      <alignment vertical="top" wrapText="1"/>
    </xf>
    <xf numFmtId="0" fontId="3" fillId="2" borderId="32" xfId="0" applyFont="1" applyFill="1" applyBorder="1" applyAlignment="1">
      <alignment vertical="top" wrapText="1"/>
    </xf>
    <xf numFmtId="0" fontId="3" fillId="8" borderId="19" xfId="0" applyFont="1" applyFill="1" applyBorder="1" applyAlignment="1">
      <alignment horizontal="left" vertical="top" wrapText="1"/>
    </xf>
    <xf numFmtId="0" fontId="0" fillId="8" borderId="27" xfId="0" applyFill="1" applyBorder="1" applyAlignment="1">
      <alignment horizontal="left" vertical="top" wrapText="1"/>
    </xf>
    <xf numFmtId="0" fontId="0" fillId="0" borderId="106" xfId="0" applyBorder="1" applyAlignment="1">
      <alignment horizontal="left" vertical="top" wrapText="1"/>
    </xf>
    <xf numFmtId="165" fontId="3" fillId="0" borderId="33" xfId="0" applyNumberFormat="1" applyFont="1" applyFill="1" applyBorder="1" applyAlignment="1">
      <alignment horizontal="center" vertical="top" wrapText="1"/>
    </xf>
    <xf numFmtId="0" fontId="3" fillId="0" borderId="45" xfId="0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top" wrapText="1"/>
    </xf>
    <xf numFmtId="49" fontId="5" fillId="0" borderId="82" xfId="0" applyNumberFormat="1" applyFont="1" applyBorder="1" applyAlignment="1">
      <alignment horizontal="center" vertical="top"/>
    </xf>
    <xf numFmtId="49" fontId="5" fillId="0" borderId="110" xfId="0" applyNumberFormat="1" applyFont="1" applyBorder="1" applyAlignment="1">
      <alignment horizontal="center" vertical="top"/>
    </xf>
    <xf numFmtId="165" fontId="3" fillId="0" borderId="34" xfId="0" applyNumberFormat="1" applyFont="1" applyFill="1" applyBorder="1" applyAlignment="1">
      <alignment horizontal="center" vertical="top" wrapText="1"/>
    </xf>
    <xf numFmtId="0" fontId="3" fillId="2" borderId="81" xfId="0" applyFont="1" applyFill="1" applyBorder="1" applyAlignment="1">
      <alignment horizontal="left" vertical="top" wrapText="1"/>
    </xf>
    <xf numFmtId="0" fontId="3" fillId="2" borderId="99" xfId="0" applyFont="1" applyFill="1" applyBorder="1" applyAlignment="1">
      <alignment horizontal="left" vertical="top" wrapText="1"/>
    </xf>
    <xf numFmtId="0" fontId="3" fillId="0" borderId="91" xfId="0" applyFont="1" applyFill="1" applyBorder="1" applyAlignment="1">
      <alignment horizontal="center" vertical="center" textRotation="90" wrapText="1"/>
    </xf>
    <xf numFmtId="0" fontId="3" fillId="0" borderId="97" xfId="0" applyFont="1" applyFill="1" applyBorder="1" applyAlignment="1">
      <alignment horizontal="center" vertical="center" textRotation="90" wrapText="1"/>
    </xf>
    <xf numFmtId="0" fontId="19" fillId="8" borderId="110" xfId="0" applyFont="1" applyFill="1" applyBorder="1" applyAlignment="1">
      <alignment horizontal="left" vertical="top" wrapText="1"/>
    </xf>
    <xf numFmtId="0" fontId="15" fillId="0" borderId="19" xfId="0" applyFont="1" applyFill="1" applyBorder="1" applyAlignment="1">
      <alignment horizontal="left" vertical="top" wrapText="1"/>
    </xf>
    <xf numFmtId="0" fontId="24" fillId="0" borderId="10" xfId="0" applyFont="1" applyFill="1" applyBorder="1" applyAlignment="1">
      <alignment horizontal="center" vertical="center" textRotation="90" wrapText="1"/>
    </xf>
    <xf numFmtId="0" fontId="3" fillId="8" borderId="32" xfId="0" applyFont="1" applyFill="1" applyBorder="1" applyAlignment="1">
      <alignment horizontal="left" vertical="top" wrapText="1"/>
    </xf>
    <xf numFmtId="0" fontId="3" fillId="8" borderId="48" xfId="0" applyFont="1" applyFill="1" applyBorder="1" applyAlignment="1">
      <alignment horizontal="left" vertical="top" wrapText="1"/>
    </xf>
    <xf numFmtId="0" fontId="3" fillId="2" borderId="112" xfId="0" applyFont="1" applyFill="1" applyBorder="1" applyAlignment="1">
      <alignment horizontal="left" vertical="top" wrapText="1"/>
    </xf>
    <xf numFmtId="0" fontId="3" fillId="0" borderId="106" xfId="0" applyFont="1" applyFill="1" applyBorder="1" applyAlignment="1">
      <alignment horizontal="center" vertical="center" textRotation="90" wrapText="1"/>
    </xf>
    <xf numFmtId="0" fontId="0" fillId="0" borderId="19" xfId="0" applyBorder="1" applyAlignment="1">
      <alignment horizontal="left" vertical="top" wrapText="1"/>
    </xf>
    <xf numFmtId="0" fontId="3" fillId="2" borderId="110" xfId="0" applyFont="1" applyFill="1" applyBorder="1" applyAlignment="1">
      <alignment horizontal="left" vertical="top" wrapText="1"/>
    </xf>
    <xf numFmtId="0" fontId="0" fillId="0" borderId="82" xfId="0" applyBorder="1" applyAlignment="1">
      <alignment horizontal="left" vertical="top" wrapText="1"/>
    </xf>
    <xf numFmtId="0" fontId="3" fillId="8" borderId="116" xfId="0" applyFont="1" applyFill="1" applyBorder="1" applyAlignment="1">
      <alignment horizontal="left" vertical="top" wrapText="1"/>
    </xf>
    <xf numFmtId="0" fontId="3" fillId="8" borderId="112" xfId="0" applyFont="1" applyFill="1" applyBorder="1" applyAlignment="1">
      <alignment horizontal="left" vertical="top" wrapText="1"/>
    </xf>
    <xf numFmtId="49" fontId="5" fillId="8" borderId="47" xfId="0" applyNumberFormat="1" applyFont="1" applyFill="1" applyBorder="1" applyAlignment="1">
      <alignment horizontal="center" vertical="top"/>
    </xf>
    <xf numFmtId="49" fontId="5" fillId="8" borderId="50" xfId="0" applyNumberFormat="1" applyFont="1" applyFill="1" applyBorder="1" applyAlignment="1">
      <alignment horizontal="center" vertical="top"/>
    </xf>
    <xf numFmtId="0" fontId="15" fillId="0" borderId="14" xfId="0" applyFont="1" applyFill="1" applyBorder="1" applyAlignment="1">
      <alignment horizontal="left" vertical="top" wrapText="1"/>
    </xf>
    <xf numFmtId="0" fontId="13" fillId="0" borderId="3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0" fontId="5" fillId="0" borderId="82" xfId="0" applyFont="1" applyFill="1" applyBorder="1" applyAlignment="1">
      <alignment horizontal="left" vertical="top" wrapText="1"/>
    </xf>
    <xf numFmtId="0" fontId="2" fillId="0" borderId="45" xfId="0" applyFont="1" applyFill="1" applyBorder="1" applyAlignment="1">
      <alignment horizontal="center" vertical="center" textRotation="90" shrinkToFit="1"/>
    </xf>
    <xf numFmtId="0" fontId="2" fillId="0" borderId="31" xfId="0" applyFont="1" applyFill="1" applyBorder="1" applyAlignment="1">
      <alignment horizontal="center" vertical="center" textRotation="90" shrinkToFit="1"/>
    </xf>
    <xf numFmtId="0" fontId="2" fillId="0" borderId="45" xfId="0" applyFont="1" applyFill="1" applyBorder="1" applyAlignment="1">
      <alignment horizontal="center" vertical="center" textRotation="90" wrapText="1" shrinkToFit="1"/>
    </xf>
    <xf numFmtId="0" fontId="2" fillId="0" borderId="31" xfId="0" applyFont="1" applyFill="1" applyBorder="1" applyAlignment="1">
      <alignment horizontal="center" vertical="center" textRotation="90" wrapText="1" shrinkToFit="1"/>
    </xf>
    <xf numFmtId="0" fontId="3" fillId="8" borderId="37" xfId="0" applyFont="1" applyFill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2" fillId="0" borderId="16" xfId="0" applyFont="1" applyBorder="1" applyAlignment="1">
      <alignment vertical="center" textRotation="90"/>
    </xf>
    <xf numFmtId="0" fontId="1" fillId="0" borderId="16" xfId="0" applyFont="1" applyBorder="1" applyAlignment="1">
      <alignment vertical="center" textRotation="90"/>
    </xf>
    <xf numFmtId="0" fontId="1" fillId="0" borderId="45" xfId="0" applyFont="1" applyBorder="1" applyAlignment="1">
      <alignment vertical="center" textRotation="90"/>
    </xf>
    <xf numFmtId="0" fontId="0" fillId="0" borderId="33" xfId="0" applyBorder="1" applyAlignment="1">
      <alignment horizontal="center" vertical="top"/>
    </xf>
    <xf numFmtId="0" fontId="3" fillId="8" borderId="50" xfId="0" applyFont="1" applyFill="1" applyBorder="1" applyAlignment="1">
      <alignment horizontal="left" vertical="top" wrapText="1"/>
    </xf>
    <xf numFmtId="0" fontId="8" fillId="0" borderId="45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1" fillId="0" borderId="31" xfId="0" applyFont="1" applyBorder="1" applyAlignment="1">
      <alignment horizontal="center" vertical="center" textRotation="90" wrapText="1"/>
    </xf>
    <xf numFmtId="0" fontId="3" fillId="0" borderId="105" xfId="0" applyFont="1" applyFill="1" applyBorder="1" applyAlignment="1">
      <alignment horizontal="center" vertical="center" textRotation="90" wrapText="1"/>
    </xf>
    <xf numFmtId="0" fontId="0" fillId="0" borderId="106" xfId="0" applyBorder="1" applyAlignment="1">
      <alignment horizontal="center" vertical="center" textRotation="90" wrapText="1"/>
    </xf>
    <xf numFmtId="0" fontId="3" fillId="2" borderId="116" xfId="0" applyFont="1" applyFill="1" applyBorder="1" applyAlignment="1">
      <alignment horizontal="left" vertical="top" wrapText="1"/>
    </xf>
    <xf numFmtId="0" fontId="3" fillId="0" borderId="45" xfId="1" applyFont="1" applyFill="1" applyBorder="1" applyAlignment="1">
      <alignment vertical="top" wrapText="1"/>
    </xf>
    <xf numFmtId="0" fontId="7" fillId="0" borderId="106" xfId="0" applyFont="1" applyBorder="1" applyAlignment="1">
      <alignment vertical="top" wrapText="1"/>
    </xf>
    <xf numFmtId="0" fontId="3" fillId="8" borderId="86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textRotation="90" shrinkToFit="1"/>
    </xf>
    <xf numFmtId="0" fontId="3" fillId="0" borderId="10" xfId="0" applyFont="1" applyBorder="1" applyAlignment="1">
      <alignment horizontal="center" vertical="center" textRotation="90" shrinkToFit="1"/>
    </xf>
    <xf numFmtId="0" fontId="3" fillId="0" borderId="11" xfId="0" applyFont="1" applyBorder="1" applyAlignment="1">
      <alignment horizontal="center" vertical="center" textRotation="90" shrinkToFit="1"/>
    </xf>
    <xf numFmtId="0" fontId="3" fillId="0" borderId="28" xfId="0" applyFont="1" applyBorder="1" applyAlignment="1">
      <alignment horizontal="center" vertical="center" textRotation="90" shrinkToFit="1"/>
    </xf>
    <xf numFmtId="0" fontId="3" fillId="0" borderId="17" xfId="0" applyFont="1" applyBorder="1" applyAlignment="1">
      <alignment horizontal="center" vertical="center" textRotation="90" shrinkToFit="1"/>
    </xf>
    <xf numFmtId="0" fontId="3" fillId="0" borderId="26" xfId="0" applyFont="1" applyBorder="1" applyAlignment="1">
      <alignment horizontal="center" vertical="center" textRotation="90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textRotation="90" shrinkToFit="1"/>
    </xf>
    <xf numFmtId="0" fontId="3" fillId="0" borderId="40" xfId="0" applyFont="1" applyBorder="1" applyAlignment="1">
      <alignment horizontal="center" vertical="center" textRotation="90" shrinkToFit="1"/>
    </xf>
    <xf numFmtId="0" fontId="3" fillId="0" borderId="35" xfId="0" applyFont="1" applyBorder="1" applyAlignment="1">
      <alignment horizontal="center" vertical="center" textRotation="90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textRotation="90" shrinkToFit="1"/>
    </xf>
    <xf numFmtId="0" fontId="3" fillId="0" borderId="9" xfId="0" applyFont="1" applyBorder="1" applyAlignment="1">
      <alignment horizontal="center" textRotation="90" shrinkToFit="1"/>
    </xf>
    <xf numFmtId="0" fontId="3" fillId="0" borderId="66" xfId="0" applyFont="1" applyBorder="1" applyAlignment="1">
      <alignment horizontal="center" textRotation="90" shrinkToFit="1"/>
    </xf>
    <xf numFmtId="0" fontId="5" fillId="0" borderId="78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9" fillId="0" borderId="46" xfId="0" applyNumberFormat="1" applyFont="1" applyBorder="1" applyAlignment="1">
      <alignment horizontal="center" vertical="center" textRotation="90" shrinkToFit="1"/>
    </xf>
    <xf numFmtId="0" fontId="9" fillId="0" borderId="9" xfId="0" applyNumberFormat="1" applyFont="1" applyBorder="1" applyAlignment="1">
      <alignment horizontal="center" vertical="center" textRotation="90" shrinkToFit="1"/>
    </xf>
    <xf numFmtId="0" fontId="9" fillId="0" borderId="66" xfId="0" applyNumberFormat="1" applyFont="1" applyBorder="1" applyAlignment="1">
      <alignment horizontal="center" vertical="center" textRotation="90" shrinkToFit="1"/>
    </xf>
    <xf numFmtId="0" fontId="3" fillId="8" borderId="46" xfId="0" applyFont="1" applyFill="1" applyBorder="1" applyAlignment="1">
      <alignment horizontal="center" vertical="center" textRotation="90" wrapText="1" shrinkToFit="1"/>
    </xf>
    <xf numFmtId="0" fontId="7" fillId="8" borderId="9" xfId="0" applyFont="1" applyFill="1" applyBorder="1" applyAlignment="1">
      <alignment horizontal="center" vertical="center" textRotation="90" wrapText="1" shrinkToFit="1"/>
    </xf>
    <xf numFmtId="0" fontId="7" fillId="8" borderId="66" xfId="0" applyFont="1" applyFill="1" applyBorder="1" applyAlignment="1">
      <alignment horizontal="center" vertical="center" textRotation="90" wrapText="1" shrinkToFit="1"/>
    </xf>
    <xf numFmtId="0" fontId="3" fillId="0" borderId="46" xfId="0" applyFont="1" applyBorder="1" applyAlignment="1">
      <alignment horizontal="center" vertical="center" textRotation="90" shrinkToFit="1"/>
    </xf>
    <xf numFmtId="0" fontId="3" fillId="0" borderId="9" xfId="0" applyFont="1" applyBorder="1" applyAlignment="1">
      <alignment horizontal="center" vertical="center" textRotation="90" shrinkToFit="1"/>
    </xf>
    <xf numFmtId="0" fontId="3" fillId="0" borderId="66" xfId="0" applyFont="1" applyBorder="1" applyAlignment="1">
      <alignment horizontal="center" vertical="center" textRotation="90" shrinkToFit="1"/>
    </xf>
    <xf numFmtId="0" fontId="5" fillId="14" borderId="37" xfId="0" applyFont="1" applyFill="1" applyBorder="1" applyAlignment="1">
      <alignment horizontal="left" vertical="top"/>
    </xf>
    <xf numFmtId="0" fontId="5" fillId="14" borderId="43" xfId="0" applyFont="1" applyFill="1" applyBorder="1" applyAlignment="1">
      <alignment horizontal="left" vertical="top"/>
    </xf>
    <xf numFmtId="0" fontId="5" fillId="14" borderId="44" xfId="0" applyFont="1" applyFill="1" applyBorder="1" applyAlignment="1">
      <alignment horizontal="left" vertical="top"/>
    </xf>
    <xf numFmtId="3" fontId="3" fillId="8" borderId="0" xfId="0" applyNumberFormat="1" applyFont="1" applyFill="1" applyAlignment="1">
      <alignment horizontal="left" vertical="top"/>
    </xf>
    <xf numFmtId="3" fontId="7" fillId="8" borderId="0" xfId="0" applyNumberFormat="1" applyFont="1" applyFill="1" applyAlignment="1">
      <alignment horizontal="left" vertical="top"/>
    </xf>
    <xf numFmtId="3" fontId="3" fillId="8" borderId="0" xfId="0" applyNumberFormat="1" applyFont="1" applyFill="1" applyAlignment="1">
      <alignment vertical="top"/>
    </xf>
    <xf numFmtId="0" fontId="7" fillId="8" borderId="0" xfId="0" applyFont="1" applyFill="1" applyAlignment="1">
      <alignment vertical="top"/>
    </xf>
    <xf numFmtId="49" fontId="3" fillId="0" borderId="6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textRotation="90" wrapText="1"/>
    </xf>
    <xf numFmtId="0" fontId="5" fillId="13" borderId="30" xfId="0" applyFont="1" applyFill="1" applyBorder="1" applyAlignment="1">
      <alignment horizontal="right" vertical="top"/>
    </xf>
    <xf numFmtId="0" fontId="7" fillId="13" borderId="36" xfId="0" applyFont="1" applyFill="1" applyBorder="1" applyAlignment="1">
      <alignment horizontal="right" vertical="top"/>
    </xf>
    <xf numFmtId="0" fontId="0" fillId="0" borderId="9" xfId="0" applyBorder="1" applyAlignment="1">
      <alignment horizontal="center" vertical="center" wrapText="1"/>
    </xf>
    <xf numFmtId="0" fontId="36" fillId="0" borderId="33" xfId="0" applyFont="1" applyBorder="1" applyAlignment="1">
      <alignment vertical="top" wrapText="1"/>
    </xf>
    <xf numFmtId="165" fontId="3" fillId="0" borderId="76" xfId="0" applyNumberFormat="1" applyFont="1" applyBorder="1" applyAlignment="1">
      <alignment horizontal="center" vertical="top" wrapText="1"/>
    </xf>
    <xf numFmtId="165" fontId="3" fillId="0" borderId="43" xfId="0" applyNumberFormat="1" applyFont="1" applyBorder="1" applyAlignment="1">
      <alignment horizontal="center" vertical="top" wrapText="1"/>
    </xf>
    <xf numFmtId="165" fontId="3" fillId="0" borderId="44" xfId="0" applyNumberFormat="1" applyFont="1" applyBorder="1" applyAlignment="1">
      <alignment horizontal="center" vertical="top" wrapText="1"/>
    </xf>
    <xf numFmtId="165" fontId="5" fillId="5" borderId="76" xfId="0" applyNumberFormat="1" applyFont="1" applyFill="1" applyBorder="1" applyAlignment="1">
      <alignment horizontal="center" vertical="top" wrapText="1"/>
    </xf>
    <xf numFmtId="165" fontId="5" fillId="5" borderId="43" xfId="0" applyNumberFormat="1" applyFont="1" applyFill="1" applyBorder="1" applyAlignment="1">
      <alignment horizontal="center" vertical="top" wrapText="1"/>
    </xf>
    <xf numFmtId="165" fontId="5" fillId="5" borderId="44" xfId="0" applyNumberFormat="1" applyFont="1" applyFill="1" applyBorder="1" applyAlignment="1">
      <alignment horizontal="center" vertical="top" wrapText="1"/>
    </xf>
    <xf numFmtId="49" fontId="3" fillId="2" borderId="42" xfId="0" applyNumberFormat="1" applyFont="1" applyFill="1" applyBorder="1" applyAlignment="1">
      <alignment horizontal="center" vertical="top" wrapText="1"/>
    </xf>
    <xf numFmtId="49" fontId="3" fillId="2" borderId="30" xfId="0" applyNumberFormat="1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5" fillId="3" borderId="41" xfId="0" applyFont="1" applyFill="1" applyBorder="1" applyAlignment="1">
      <alignment horizontal="left" vertical="top" wrapText="1"/>
    </xf>
    <xf numFmtId="164" fontId="3" fillId="0" borderId="9" xfId="0" applyNumberFormat="1" applyFont="1" applyFill="1" applyBorder="1" applyAlignment="1">
      <alignment horizontal="right" vertical="top" wrapText="1"/>
    </xf>
    <xf numFmtId="0" fontId="3" fillId="8" borderId="82" xfId="0" applyFont="1" applyFill="1" applyBorder="1" applyAlignment="1">
      <alignment horizontal="left" vertical="top" wrapText="1"/>
    </xf>
    <xf numFmtId="0" fontId="3" fillId="8" borderId="93" xfId="0" applyFont="1" applyFill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right" vertical="top"/>
    </xf>
    <xf numFmtId="164" fontId="3" fillId="0" borderId="17" xfId="0" applyNumberFormat="1" applyFont="1" applyBorder="1" applyAlignment="1">
      <alignment horizontal="right" vertical="top"/>
    </xf>
    <xf numFmtId="164" fontId="3" fillId="0" borderId="19" xfId="0" applyNumberFormat="1" applyFont="1" applyBorder="1" applyAlignment="1">
      <alignment horizontal="right" vertical="top"/>
    </xf>
    <xf numFmtId="164" fontId="3" fillId="0" borderId="10" xfId="0" applyNumberFormat="1" applyFont="1" applyFill="1" applyBorder="1" applyAlignment="1">
      <alignment horizontal="right" vertical="top"/>
    </xf>
    <xf numFmtId="164" fontId="3" fillId="0" borderId="17" xfId="0" applyNumberFormat="1" applyFont="1" applyFill="1" applyBorder="1" applyAlignment="1">
      <alignment horizontal="right" vertical="top"/>
    </xf>
    <xf numFmtId="164" fontId="3" fillId="0" borderId="19" xfId="0" applyNumberFormat="1" applyFont="1" applyFill="1" applyBorder="1" applyAlignment="1">
      <alignment horizontal="right" vertical="top"/>
    </xf>
    <xf numFmtId="0" fontId="3" fillId="0" borderId="45" xfId="0" applyFont="1" applyFill="1" applyBorder="1" applyAlignment="1">
      <alignment horizontal="center" vertical="top" textRotation="90" wrapText="1"/>
    </xf>
    <xf numFmtId="0" fontId="0" fillId="0" borderId="10" xfId="0" applyBorder="1" applyAlignment="1">
      <alignment horizontal="center" vertical="top" textRotation="90" wrapText="1"/>
    </xf>
    <xf numFmtId="0" fontId="3" fillId="2" borderId="1" xfId="0" applyFont="1" applyFill="1" applyBorder="1" applyAlignment="1">
      <alignment vertical="top" wrapText="1"/>
    </xf>
    <xf numFmtId="0" fontId="0" fillId="0" borderId="33" xfId="0" applyBorder="1" applyAlignment="1">
      <alignment vertical="top" wrapText="1"/>
    </xf>
    <xf numFmtId="49" fontId="5" fillId="13" borderId="28" xfId="0" applyNumberFormat="1" applyFont="1" applyFill="1" applyBorder="1" applyAlignment="1">
      <alignment horizontal="center" vertical="top"/>
    </xf>
    <xf numFmtId="49" fontId="5" fillId="13" borderId="17" xfId="0" applyNumberFormat="1" applyFont="1" applyFill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49" fontId="5" fillId="0" borderId="50" xfId="0" applyNumberFormat="1" applyFont="1" applyFill="1" applyBorder="1" applyAlignment="1">
      <alignment horizontal="center" vertical="top" wrapText="1"/>
    </xf>
    <xf numFmtId="49" fontId="5" fillId="0" borderId="62" xfId="0" applyNumberFormat="1" applyFont="1" applyFill="1" applyBorder="1" applyAlignment="1">
      <alignment horizontal="center" vertical="top" wrapText="1"/>
    </xf>
    <xf numFmtId="49" fontId="5" fillId="0" borderId="72" xfId="0" applyNumberFormat="1" applyFont="1" applyBorder="1" applyAlignment="1">
      <alignment horizontal="center" vertical="top"/>
    </xf>
    <xf numFmtId="49" fontId="5" fillId="0" borderId="75" xfId="0" applyNumberFormat="1" applyFont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0" fontId="3" fillId="8" borderId="33" xfId="0" applyFont="1" applyFill="1" applyBorder="1" applyAlignment="1">
      <alignment horizontal="left" vertical="top" wrapText="1"/>
    </xf>
    <xf numFmtId="0" fontId="19" fillId="8" borderId="29" xfId="0" applyFont="1" applyFill="1" applyBorder="1" applyAlignment="1">
      <alignment horizontal="left" vertical="top" wrapText="1"/>
    </xf>
    <xf numFmtId="0" fontId="0" fillId="8" borderId="19" xfId="0" applyFill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center" vertical="top" wrapText="1"/>
    </xf>
    <xf numFmtId="0" fontId="7" fillId="0" borderId="66" xfId="0" applyFont="1" applyBorder="1" applyAlignment="1">
      <alignment horizontal="center" vertical="top"/>
    </xf>
    <xf numFmtId="164" fontId="23" fillId="0" borderId="10" xfId="0" applyNumberFormat="1" applyFont="1" applyFill="1" applyBorder="1" applyAlignment="1">
      <alignment horizontal="left" vertical="top" wrapText="1"/>
    </xf>
    <xf numFmtId="49" fontId="3" fillId="0" borderId="77" xfId="0" applyNumberFormat="1" applyFont="1" applyBorder="1" applyAlignment="1">
      <alignment horizontal="center" vertical="top" wrapText="1"/>
    </xf>
    <xf numFmtId="49" fontId="3" fillId="0" borderId="40" xfId="0" applyNumberFormat="1" applyFont="1" applyBorder="1" applyAlignment="1">
      <alignment horizontal="center" vertical="top" wrapText="1"/>
    </xf>
    <xf numFmtId="49" fontId="3" fillId="0" borderId="46" xfId="0" applyNumberFormat="1" applyFont="1" applyBorder="1" applyAlignment="1">
      <alignment horizontal="center" vertical="center" wrapText="1"/>
    </xf>
    <xf numFmtId="49" fontId="3" fillId="0" borderId="53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top" wrapText="1"/>
    </xf>
    <xf numFmtId="0" fontId="0" fillId="0" borderId="50" xfId="0" applyBorder="1" applyAlignment="1">
      <alignment vertical="top"/>
    </xf>
    <xf numFmtId="0" fontId="0" fillId="0" borderId="62" xfId="0" applyBorder="1" applyAlignment="1">
      <alignment vertical="top"/>
    </xf>
    <xf numFmtId="0" fontId="0" fillId="0" borderId="10" xfId="0" applyBorder="1" applyAlignment="1">
      <alignment horizontal="left" vertical="top" wrapText="1"/>
    </xf>
    <xf numFmtId="49" fontId="3" fillId="0" borderId="9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top" wrapText="1"/>
    </xf>
    <xf numFmtId="0" fontId="5" fillId="6" borderId="35" xfId="0" applyNumberFormat="1" applyFont="1" applyFill="1" applyBorder="1" applyAlignment="1">
      <alignment horizontal="center" vertical="top" wrapText="1"/>
    </xf>
    <xf numFmtId="0" fontId="5" fillId="6" borderId="30" xfId="0" applyNumberFormat="1" applyFont="1" applyFill="1" applyBorder="1" applyAlignment="1">
      <alignment horizontal="center" vertical="top" wrapText="1"/>
    </xf>
    <xf numFmtId="0" fontId="5" fillId="6" borderId="36" xfId="0" applyNumberFormat="1" applyFont="1" applyFill="1" applyBorder="1" applyAlignment="1">
      <alignment horizontal="center" vertical="top" wrapText="1"/>
    </xf>
    <xf numFmtId="164" fontId="5" fillId="6" borderId="35" xfId="0" applyNumberFormat="1" applyFont="1" applyFill="1" applyBorder="1" applyAlignment="1">
      <alignment horizontal="center" vertical="top" wrapText="1"/>
    </xf>
    <xf numFmtId="164" fontId="5" fillId="6" borderId="30" xfId="0" applyNumberFormat="1" applyFont="1" applyFill="1" applyBorder="1" applyAlignment="1">
      <alignment horizontal="center" vertical="top" wrapText="1"/>
    </xf>
    <xf numFmtId="164" fontId="5" fillId="6" borderId="36" xfId="0" applyNumberFormat="1" applyFont="1" applyFill="1" applyBorder="1" applyAlignment="1">
      <alignment horizontal="center" vertical="top" wrapText="1"/>
    </xf>
    <xf numFmtId="165" fontId="5" fillId="5" borderId="78" xfId="0" applyNumberFormat="1" applyFont="1" applyFill="1" applyBorder="1" applyAlignment="1">
      <alignment horizontal="center" vertical="top" wrapText="1"/>
    </xf>
    <xf numFmtId="165" fontId="5" fillId="5" borderId="71" xfId="0" applyNumberFormat="1" applyFont="1" applyFill="1" applyBorder="1" applyAlignment="1">
      <alignment horizontal="center" vertical="top" wrapText="1"/>
    </xf>
    <xf numFmtId="165" fontId="5" fillId="5" borderId="65" xfId="0" applyNumberFormat="1" applyFont="1" applyFill="1" applyBorder="1" applyAlignment="1">
      <alignment horizontal="center" vertical="top" wrapText="1"/>
    </xf>
    <xf numFmtId="0" fontId="3" fillId="0" borderId="46" xfId="0" applyNumberFormat="1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22" fillId="2" borderId="57" xfId="0" applyNumberFormat="1" applyFont="1" applyFill="1" applyBorder="1" applyAlignment="1">
      <alignment horizontal="left" vertical="top" wrapText="1"/>
    </xf>
    <xf numFmtId="0" fontId="0" fillId="0" borderId="66" xfId="0" applyBorder="1" applyAlignment="1">
      <alignment horizontal="center" wrapText="1"/>
    </xf>
    <xf numFmtId="49" fontId="3" fillId="0" borderId="46" xfId="0" applyNumberFormat="1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66" xfId="0" applyBorder="1" applyAlignment="1">
      <alignment horizontal="center" vertical="top"/>
    </xf>
    <xf numFmtId="49" fontId="3" fillId="0" borderId="66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49" fontId="3" fillId="0" borderId="21" xfId="0" applyNumberFormat="1" applyFont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3" fillId="13" borderId="35" xfId="0" applyFont="1" applyFill="1" applyBorder="1" applyAlignment="1">
      <alignment horizontal="center" vertical="top" wrapText="1"/>
    </xf>
    <xf numFmtId="0" fontId="3" fillId="13" borderId="30" xfId="0" applyFont="1" applyFill="1" applyBorder="1" applyAlignment="1">
      <alignment horizontal="center" vertical="top" wrapText="1"/>
    </xf>
    <xf numFmtId="0" fontId="3" fillId="13" borderId="36" xfId="0" applyFont="1" applyFill="1" applyBorder="1" applyAlignment="1">
      <alignment horizontal="center" vertical="top" wrapText="1"/>
    </xf>
    <xf numFmtId="49" fontId="5" fillId="0" borderId="39" xfId="0" applyNumberFormat="1" applyFont="1" applyBorder="1" applyAlignment="1">
      <alignment horizontal="center" vertical="top"/>
    </xf>
    <xf numFmtId="0" fontId="3" fillId="8" borderId="29" xfId="0" applyFont="1" applyFill="1" applyBorder="1" applyAlignment="1">
      <alignment horizontal="left" vertical="top" wrapText="1"/>
    </xf>
    <xf numFmtId="0" fontId="0" fillId="0" borderId="66" xfId="0" applyBorder="1" applyAlignment="1"/>
    <xf numFmtId="49" fontId="34" fillId="0" borderId="17" xfId="0" applyNumberFormat="1" applyFont="1" applyFill="1" applyBorder="1" applyAlignment="1">
      <alignment horizontal="center" vertical="top"/>
    </xf>
    <xf numFmtId="0" fontId="7" fillId="0" borderId="66" xfId="0" applyFont="1" applyBorder="1" applyAlignment="1">
      <alignment horizontal="center" vertical="top" wrapText="1"/>
    </xf>
    <xf numFmtId="49" fontId="19" fillId="0" borderId="46" xfId="0" applyNumberFormat="1" applyFont="1" applyBorder="1" applyAlignment="1">
      <alignment horizontal="center" vertical="top" wrapText="1"/>
    </xf>
    <xf numFmtId="49" fontId="19" fillId="0" borderId="24" xfId="0" applyNumberFormat="1" applyFont="1" applyBorder="1" applyAlignment="1">
      <alignment horizontal="center" vertical="top" wrapText="1"/>
    </xf>
    <xf numFmtId="0" fontId="5" fillId="0" borderId="45" xfId="0" applyFont="1" applyFill="1" applyBorder="1" applyAlignment="1">
      <alignment horizontal="center" vertical="top" wrapText="1"/>
    </xf>
    <xf numFmtId="0" fontId="3" fillId="2" borderId="57" xfId="0" applyFont="1" applyFill="1" applyBorder="1" applyAlignment="1">
      <alignment horizontal="center" vertical="top" wrapText="1"/>
    </xf>
    <xf numFmtId="0" fontId="7" fillId="0" borderId="40" xfId="0" applyFont="1" applyBorder="1" applyAlignment="1">
      <alignment horizontal="center" vertical="top" wrapText="1"/>
    </xf>
    <xf numFmtId="0" fontId="3" fillId="8" borderId="1" xfId="0" applyFont="1" applyFill="1" applyBorder="1" applyAlignment="1">
      <alignment vertical="top" wrapText="1"/>
    </xf>
    <xf numFmtId="0" fontId="3" fillId="8" borderId="33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82" xfId="0" applyBorder="1" applyAlignment="1">
      <alignment vertical="top" wrapText="1"/>
    </xf>
    <xf numFmtId="0" fontId="3" fillId="0" borderId="45" xfId="0" applyFont="1" applyBorder="1" applyAlignment="1">
      <alignment vertical="center" textRotation="90" wrapText="1"/>
    </xf>
    <xf numFmtId="0" fontId="0" fillId="0" borderId="106" xfId="0" applyBorder="1" applyAlignment="1">
      <alignment vertical="center" textRotation="90" wrapText="1"/>
    </xf>
    <xf numFmtId="0" fontId="7" fillId="0" borderId="70" xfId="0" applyFont="1" applyBorder="1" applyAlignment="1">
      <alignment horizontal="center" vertical="top" wrapText="1"/>
    </xf>
    <xf numFmtId="0" fontId="0" fillId="0" borderId="24" xfId="0" applyBorder="1" applyAlignment="1">
      <alignment horizontal="center" vertical="top"/>
    </xf>
    <xf numFmtId="49" fontId="5" fillId="0" borderId="89" xfId="0" applyNumberFormat="1" applyFont="1" applyBorder="1" applyAlignment="1">
      <alignment horizontal="center" vertical="top"/>
    </xf>
    <xf numFmtId="49" fontId="5" fillId="0" borderId="98" xfId="0" applyNumberFormat="1" applyFont="1" applyBorder="1" applyAlignment="1">
      <alignment horizontal="center" vertical="top"/>
    </xf>
    <xf numFmtId="49" fontId="3" fillId="0" borderId="89" xfId="0" applyNumberFormat="1" applyFont="1" applyBorder="1" applyAlignment="1">
      <alignment horizontal="center" vertical="top"/>
    </xf>
    <xf numFmtId="49" fontId="3" fillId="0" borderId="98" xfId="0" applyNumberFormat="1" applyFont="1" applyBorder="1" applyAlignment="1">
      <alignment horizontal="center" vertical="top"/>
    </xf>
    <xf numFmtId="49" fontId="5" fillId="0" borderId="81" xfId="0" applyNumberFormat="1" applyFont="1" applyBorder="1" applyAlignment="1">
      <alignment horizontal="center" vertical="top"/>
    </xf>
    <xf numFmtId="49" fontId="5" fillId="0" borderId="99" xfId="0" applyNumberFormat="1" applyFont="1" applyBorder="1" applyAlignment="1">
      <alignment horizontal="center" vertical="top"/>
    </xf>
    <xf numFmtId="49" fontId="3" fillId="0" borderId="87" xfId="0" applyNumberFormat="1" applyFont="1" applyBorder="1" applyAlignment="1">
      <alignment horizontal="center" vertical="top" wrapText="1"/>
    </xf>
    <xf numFmtId="49" fontId="3" fillId="0" borderId="96" xfId="0" applyNumberFormat="1" applyFont="1" applyBorder="1" applyAlignment="1">
      <alignment horizontal="center" vertical="top" wrapText="1"/>
    </xf>
    <xf numFmtId="0" fontId="3" fillId="8" borderId="2" xfId="0" applyFont="1" applyFill="1" applyBorder="1" applyAlignment="1">
      <alignment horizontal="left" vertical="top" wrapText="1"/>
    </xf>
    <xf numFmtId="0" fontId="7" fillId="0" borderId="9" xfId="0" applyFont="1" applyBorder="1" applyAlignment="1">
      <alignment horizontal="center" wrapText="1"/>
    </xf>
    <xf numFmtId="0" fontId="0" fillId="0" borderId="24" xfId="0" applyBorder="1" applyAlignment="1">
      <alignment horizontal="center"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0" borderId="39" xfId="0" applyNumberFormat="1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27" xfId="0" applyFont="1" applyFill="1" applyBorder="1" applyAlignment="1">
      <alignment horizontal="center" vertical="center" textRotation="90" wrapText="1"/>
    </xf>
    <xf numFmtId="49" fontId="5" fillId="0" borderId="20" xfId="0" applyNumberFormat="1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0" fontId="3" fillId="2" borderId="37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 textRotation="90" wrapText="1"/>
    </xf>
    <xf numFmtId="0" fontId="3" fillId="0" borderId="54" xfId="0" applyNumberFormat="1" applyFont="1" applyBorder="1" applyAlignment="1">
      <alignment horizontal="center" vertical="center" textRotation="90" shrinkToFit="1"/>
    </xf>
    <xf numFmtId="0" fontId="3" fillId="0" borderId="53" xfId="0" applyNumberFormat="1" applyFont="1" applyBorder="1" applyAlignment="1">
      <alignment horizontal="center" vertical="center" textRotation="90" shrinkToFit="1"/>
    </xf>
    <xf numFmtId="0" fontId="3" fillId="0" borderId="36" xfId="0" applyNumberFormat="1" applyFont="1" applyBorder="1" applyAlignment="1">
      <alignment horizontal="center" vertical="center" textRotation="90" shrinkToFit="1"/>
    </xf>
    <xf numFmtId="49" fontId="3" fillId="0" borderId="42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3" fillId="0" borderId="46" xfId="0" applyNumberFormat="1" applyFont="1" applyFill="1" applyBorder="1" applyAlignment="1">
      <alignment horizontal="center" vertical="center" textRotation="90" shrinkToFit="1"/>
    </xf>
    <xf numFmtId="0" fontId="3" fillId="0" borderId="9" xfId="0" applyNumberFormat="1" applyFont="1" applyFill="1" applyBorder="1" applyAlignment="1">
      <alignment horizontal="center" vertical="center" textRotation="90" shrinkToFit="1"/>
    </xf>
    <xf numFmtId="0" fontId="3" fillId="0" borderId="66" xfId="0" applyNumberFormat="1" applyFont="1" applyFill="1" applyBorder="1" applyAlignment="1">
      <alignment horizontal="center" vertical="center" textRotation="90" shrinkToFit="1"/>
    </xf>
    <xf numFmtId="49" fontId="5" fillId="14" borderId="17" xfId="0" applyNumberFormat="1" applyFont="1" applyFill="1" applyBorder="1" applyAlignment="1">
      <alignment horizontal="center" vertical="top"/>
    </xf>
    <xf numFmtId="49" fontId="5" fillId="14" borderId="21" xfId="0" applyNumberFormat="1" applyFont="1" applyFill="1" applyBorder="1" applyAlignment="1">
      <alignment horizontal="center" vertical="top"/>
    </xf>
    <xf numFmtId="49" fontId="5" fillId="3" borderId="21" xfId="0" applyNumberFormat="1" applyFont="1" applyFill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0" fontId="5" fillId="0" borderId="49" xfId="0" applyFont="1" applyFill="1" applyBorder="1" applyAlignment="1">
      <alignment horizontal="left" vertical="top" wrapText="1"/>
    </xf>
    <xf numFmtId="0" fontId="5" fillId="0" borderId="43" xfId="0" applyFont="1" applyFill="1" applyBorder="1" applyAlignment="1">
      <alignment horizontal="left" vertical="top" wrapText="1"/>
    </xf>
    <xf numFmtId="0" fontId="3" fillId="0" borderId="76" xfId="0" applyFont="1" applyFill="1" applyBorder="1" applyAlignment="1">
      <alignment horizontal="center" vertical="center" textRotation="90" wrapText="1"/>
    </xf>
    <xf numFmtId="0" fontId="0" fillId="0" borderId="76" xfId="0" applyBorder="1" applyAlignment="1">
      <alignment horizontal="center" vertical="center" textRotation="90" wrapText="1"/>
    </xf>
    <xf numFmtId="49" fontId="3" fillId="0" borderId="2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 wrapText="1"/>
    </xf>
    <xf numFmtId="49" fontId="3" fillId="0" borderId="43" xfId="0" applyNumberFormat="1" applyFont="1" applyFill="1" applyBorder="1" applyAlignment="1">
      <alignment horizontal="center" vertical="top" wrapText="1"/>
    </xf>
    <xf numFmtId="0" fontId="0" fillId="0" borderId="43" xfId="0" applyBorder="1" applyAlignment="1">
      <alignment horizontal="center" vertical="top" wrapText="1"/>
    </xf>
    <xf numFmtId="0" fontId="0" fillId="0" borderId="42" xfId="0" applyBorder="1" applyAlignment="1">
      <alignment horizontal="center" vertical="top" wrapText="1"/>
    </xf>
    <xf numFmtId="0" fontId="0" fillId="0" borderId="33" xfId="0" applyBorder="1" applyAlignment="1">
      <alignment horizontal="left" vertical="top" wrapText="1"/>
    </xf>
    <xf numFmtId="49" fontId="5" fillId="0" borderId="38" xfId="0" applyNumberFormat="1" applyFont="1" applyBorder="1" applyAlignment="1">
      <alignment horizontal="center" vertical="top" wrapText="1"/>
    </xf>
    <xf numFmtId="0" fontId="0" fillId="0" borderId="38" xfId="0" applyBorder="1" applyAlignment="1">
      <alignment horizontal="center" vertical="top" wrapText="1"/>
    </xf>
    <xf numFmtId="49" fontId="3" fillId="0" borderId="44" xfId="0" applyNumberFormat="1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3" fillId="2" borderId="39" xfId="0" applyFont="1" applyFill="1" applyBorder="1" applyAlignment="1">
      <alignment horizontal="left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center" textRotation="90" wrapText="1"/>
    </xf>
    <xf numFmtId="0" fontId="3" fillId="0" borderId="51" xfId="0" applyFont="1" applyFill="1" applyBorder="1" applyAlignment="1">
      <alignment horizontal="left" vertical="top" wrapText="1"/>
    </xf>
    <xf numFmtId="0" fontId="3" fillId="0" borderId="39" xfId="0" applyFont="1" applyFill="1" applyBorder="1" applyAlignment="1">
      <alignment horizontal="left" vertical="top" wrapText="1"/>
    </xf>
    <xf numFmtId="0" fontId="3" fillId="8" borderId="43" xfId="0" applyFont="1" applyFill="1" applyBorder="1" applyAlignment="1">
      <alignment horizontal="left" vertical="top" wrapText="1"/>
    </xf>
    <xf numFmtId="0" fontId="8" fillId="0" borderId="76" xfId="0" applyFont="1" applyFill="1" applyBorder="1" applyAlignment="1">
      <alignment horizontal="center" vertical="center" wrapText="1"/>
    </xf>
    <xf numFmtId="0" fontId="37" fillId="0" borderId="76" xfId="0" applyFont="1" applyBorder="1" applyAlignment="1">
      <alignment horizontal="center" vertical="center" wrapText="1"/>
    </xf>
    <xf numFmtId="0" fontId="3" fillId="0" borderId="51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7" fillId="13" borderId="30" xfId="0" applyFont="1" applyFill="1" applyBorder="1" applyAlignment="1">
      <alignment horizontal="right" vertical="top"/>
    </xf>
    <xf numFmtId="49" fontId="3" fillId="0" borderId="44" xfId="0" applyNumberFormat="1" applyFont="1" applyBorder="1" applyAlignment="1">
      <alignment horizontal="center" vertical="top" wrapText="1"/>
    </xf>
    <xf numFmtId="0" fontId="2" fillId="0" borderId="76" xfId="0" applyFont="1" applyFill="1" applyBorder="1" applyAlignment="1">
      <alignment horizontal="center" vertical="center" textRotation="90" wrapText="1"/>
    </xf>
    <xf numFmtId="0" fontId="1" fillId="0" borderId="76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top" wrapText="1"/>
    </xf>
  </cellXfs>
  <cellStyles count="3">
    <cellStyle name="Įprastas" xfId="0" builtinId="0"/>
    <cellStyle name="Įprastas 2" xfId="1"/>
    <cellStyle name="Stilius 1" xfId="2"/>
  </cellStyles>
  <dxfs count="0"/>
  <tableStyles count="0" defaultTableStyle="TableStyleMedium2" defaultPivotStyle="PivotStyleLight16"/>
  <colors>
    <mruColors>
      <color rgb="FFFFCCFF"/>
      <color rgb="FFCCFFCC"/>
      <color rgb="FFCC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84"/>
  <sheetViews>
    <sheetView view="pageBreakPreview" topLeftCell="A147" zoomScaleNormal="100" zoomScaleSheetLayoutView="100" workbookViewId="0">
      <selection activeCell="D189" sqref="D189"/>
    </sheetView>
  </sheetViews>
  <sheetFormatPr defaultRowHeight="12.75" x14ac:dyDescent="0.2"/>
  <cols>
    <col min="1" max="3" width="2.7109375" style="10" customWidth="1"/>
    <col min="4" max="4" width="29.42578125" style="10" customWidth="1"/>
    <col min="5" max="5" width="2.7109375" style="48" customWidth="1"/>
    <col min="6" max="6" width="2.7109375" style="10" customWidth="1"/>
    <col min="7" max="7" width="2.7109375" style="65" customWidth="1"/>
    <col min="8" max="8" width="7.7109375" style="91" customWidth="1"/>
    <col min="9" max="9" width="8.5703125" style="10" customWidth="1"/>
    <col min="10" max="10" width="7.42578125" style="10" customWidth="1"/>
    <col min="11" max="11" width="6.140625" style="10" customWidth="1"/>
    <col min="12" max="12" width="6.7109375" style="10" customWidth="1"/>
    <col min="13" max="13" width="8.140625" style="10" customWidth="1"/>
    <col min="14" max="14" width="7.5703125" style="10" customWidth="1"/>
    <col min="15" max="15" width="23.5703125" style="10" customWidth="1"/>
    <col min="16" max="17" width="3.7109375" style="10" customWidth="1"/>
    <col min="18" max="18" width="3.85546875" style="10" customWidth="1"/>
    <col min="19" max="16384" width="9.140625" style="5"/>
  </cols>
  <sheetData>
    <row r="1" spans="1:22" ht="15.75" x14ac:dyDescent="0.2">
      <c r="O1" s="1963" t="s">
        <v>220</v>
      </c>
      <c r="P1" s="1964"/>
      <c r="Q1" s="1964"/>
      <c r="R1" s="1964"/>
    </row>
    <row r="2" spans="1:22" ht="15.75" x14ac:dyDescent="0.2">
      <c r="A2" s="2218" t="s">
        <v>202</v>
      </c>
      <c r="B2" s="2218"/>
      <c r="C2" s="2218"/>
      <c r="D2" s="2218"/>
      <c r="E2" s="2218"/>
      <c r="F2" s="2218"/>
      <c r="G2" s="2218"/>
      <c r="H2" s="2218"/>
      <c r="I2" s="2218"/>
      <c r="J2" s="2218"/>
      <c r="K2" s="2218"/>
      <c r="L2" s="2218"/>
      <c r="M2" s="2218"/>
      <c r="N2" s="2218"/>
      <c r="O2" s="2218"/>
      <c r="P2" s="2218"/>
      <c r="Q2" s="2218"/>
      <c r="R2" s="2218"/>
    </row>
    <row r="3" spans="1:22" ht="15.75" x14ac:dyDescent="0.2">
      <c r="A3" s="2219" t="s">
        <v>37</v>
      </c>
      <c r="B3" s="2219"/>
      <c r="C3" s="2219"/>
      <c r="D3" s="2219"/>
      <c r="E3" s="2219"/>
      <c r="F3" s="2219"/>
      <c r="G3" s="2219"/>
      <c r="H3" s="2219"/>
      <c r="I3" s="2219"/>
      <c r="J3" s="2219"/>
      <c r="K3" s="2219"/>
      <c r="L3" s="2219"/>
      <c r="M3" s="2219"/>
      <c r="N3" s="2219"/>
      <c r="O3" s="2219"/>
      <c r="P3" s="2219"/>
      <c r="Q3" s="2219"/>
      <c r="R3" s="2219"/>
    </row>
    <row r="4" spans="1:22" ht="15.75" x14ac:dyDescent="0.2">
      <c r="A4" s="2220" t="s">
        <v>23</v>
      </c>
      <c r="B4" s="2220"/>
      <c r="C4" s="2220"/>
      <c r="D4" s="2220"/>
      <c r="E4" s="2220"/>
      <c r="F4" s="2220"/>
      <c r="G4" s="2220"/>
      <c r="H4" s="2220"/>
      <c r="I4" s="2220"/>
      <c r="J4" s="2220"/>
      <c r="K4" s="2220"/>
      <c r="L4" s="2220"/>
      <c r="M4" s="2220"/>
      <c r="N4" s="2220"/>
      <c r="O4" s="2220"/>
      <c r="P4" s="2220"/>
      <c r="Q4" s="2220"/>
      <c r="R4" s="2220"/>
      <c r="S4" s="1"/>
      <c r="T4" s="1"/>
      <c r="U4" s="1"/>
      <c r="V4" s="1"/>
    </row>
    <row r="5" spans="1:22" ht="13.5" thickBot="1" x14ac:dyDescent="0.25">
      <c r="P5" s="2221" t="s">
        <v>0</v>
      </c>
      <c r="Q5" s="2221"/>
      <c r="R5" s="2221"/>
    </row>
    <row r="6" spans="1:22" ht="21.75" customHeight="1" x14ac:dyDescent="0.2">
      <c r="A6" s="2222" t="s">
        <v>24</v>
      </c>
      <c r="B6" s="2225" t="s">
        <v>1</v>
      </c>
      <c r="C6" s="2225" t="s">
        <v>2</v>
      </c>
      <c r="D6" s="2228" t="s">
        <v>16</v>
      </c>
      <c r="E6" s="2231" t="s">
        <v>3</v>
      </c>
      <c r="F6" s="2190" t="s">
        <v>189</v>
      </c>
      <c r="G6" s="2193" t="s">
        <v>4</v>
      </c>
      <c r="H6" s="2196" t="s">
        <v>5</v>
      </c>
      <c r="I6" s="2181" t="s">
        <v>141</v>
      </c>
      <c r="J6" s="2182"/>
      <c r="K6" s="2182"/>
      <c r="L6" s="2183"/>
      <c r="M6" s="2184" t="s">
        <v>33</v>
      </c>
      <c r="N6" s="2184" t="s">
        <v>142</v>
      </c>
      <c r="O6" s="2187" t="s">
        <v>15</v>
      </c>
      <c r="P6" s="2188"/>
      <c r="Q6" s="2188"/>
      <c r="R6" s="2189"/>
    </row>
    <row r="7" spans="1:22" ht="11.25" customHeight="1" x14ac:dyDescent="0.2">
      <c r="A7" s="2223"/>
      <c r="B7" s="2226"/>
      <c r="C7" s="2226"/>
      <c r="D7" s="2229"/>
      <c r="E7" s="2232"/>
      <c r="F7" s="2191"/>
      <c r="G7" s="2194"/>
      <c r="H7" s="2197"/>
      <c r="I7" s="2234" t="s">
        <v>6</v>
      </c>
      <c r="J7" s="2235" t="s">
        <v>7</v>
      </c>
      <c r="K7" s="2236"/>
      <c r="L7" s="2237" t="s">
        <v>22</v>
      </c>
      <c r="M7" s="2185"/>
      <c r="N7" s="2185"/>
      <c r="O7" s="2239" t="s">
        <v>16</v>
      </c>
      <c r="P7" s="2235" t="s">
        <v>8</v>
      </c>
      <c r="Q7" s="2241"/>
      <c r="R7" s="2242"/>
    </row>
    <row r="8" spans="1:22" ht="70.5" customHeight="1" thickBot="1" x14ac:dyDescent="0.25">
      <c r="A8" s="2224"/>
      <c r="B8" s="2227"/>
      <c r="C8" s="2227"/>
      <c r="D8" s="2230"/>
      <c r="E8" s="2233"/>
      <c r="F8" s="2192"/>
      <c r="G8" s="2195"/>
      <c r="H8" s="2198"/>
      <c r="I8" s="2224"/>
      <c r="J8" s="7" t="s">
        <v>6</v>
      </c>
      <c r="K8" s="6" t="s">
        <v>17</v>
      </c>
      <c r="L8" s="2238"/>
      <c r="M8" s="2186"/>
      <c r="N8" s="2186"/>
      <c r="O8" s="2240"/>
      <c r="P8" s="8" t="s">
        <v>34</v>
      </c>
      <c r="Q8" s="8" t="s">
        <v>35</v>
      </c>
      <c r="R8" s="9" t="s">
        <v>143</v>
      </c>
    </row>
    <row r="9" spans="1:22" s="31" customFormat="1" x14ac:dyDescent="0.2">
      <c r="A9" s="2178" t="s">
        <v>135</v>
      </c>
      <c r="B9" s="2179"/>
      <c r="C9" s="2179"/>
      <c r="D9" s="2179"/>
      <c r="E9" s="2179"/>
      <c r="F9" s="2179"/>
      <c r="G9" s="2179"/>
      <c r="H9" s="2179"/>
      <c r="I9" s="2179"/>
      <c r="J9" s="2179"/>
      <c r="K9" s="2179"/>
      <c r="L9" s="2179"/>
      <c r="M9" s="2179"/>
      <c r="N9" s="2179"/>
      <c r="O9" s="2179"/>
      <c r="P9" s="2179"/>
      <c r="Q9" s="2179"/>
      <c r="R9" s="2180"/>
    </row>
    <row r="10" spans="1:22" s="31" customFormat="1" x14ac:dyDescent="0.2">
      <c r="A10" s="2199" t="s">
        <v>85</v>
      </c>
      <c r="B10" s="2200"/>
      <c r="C10" s="2200"/>
      <c r="D10" s="2200"/>
      <c r="E10" s="2200"/>
      <c r="F10" s="2200"/>
      <c r="G10" s="2200"/>
      <c r="H10" s="2200"/>
      <c r="I10" s="2200"/>
      <c r="J10" s="2200"/>
      <c r="K10" s="2200"/>
      <c r="L10" s="2200"/>
      <c r="M10" s="2200"/>
      <c r="N10" s="2200"/>
      <c r="O10" s="2200"/>
      <c r="P10" s="2200"/>
      <c r="Q10" s="2200"/>
      <c r="R10" s="2201"/>
    </row>
    <row r="11" spans="1:22" ht="15" customHeight="1" x14ac:dyDescent="0.2">
      <c r="A11" s="98" t="s">
        <v>9</v>
      </c>
      <c r="B11" s="2202" t="s">
        <v>136</v>
      </c>
      <c r="C11" s="2203"/>
      <c r="D11" s="2203"/>
      <c r="E11" s="2203"/>
      <c r="F11" s="2203"/>
      <c r="G11" s="2203"/>
      <c r="H11" s="2203"/>
      <c r="I11" s="2203"/>
      <c r="J11" s="2203"/>
      <c r="K11" s="2203"/>
      <c r="L11" s="2203"/>
      <c r="M11" s="2203"/>
      <c r="N11" s="2203"/>
      <c r="O11" s="2203"/>
      <c r="P11" s="2203"/>
      <c r="Q11" s="2203"/>
      <c r="R11" s="2204"/>
    </row>
    <row r="12" spans="1:22" x14ac:dyDescent="0.2">
      <c r="A12" s="96" t="s">
        <v>9</v>
      </c>
      <c r="B12" s="97" t="s">
        <v>9</v>
      </c>
      <c r="C12" s="2205" t="s">
        <v>70</v>
      </c>
      <c r="D12" s="2206"/>
      <c r="E12" s="2206"/>
      <c r="F12" s="2206"/>
      <c r="G12" s="2206"/>
      <c r="H12" s="2206"/>
      <c r="I12" s="2206"/>
      <c r="J12" s="2206"/>
      <c r="K12" s="2206"/>
      <c r="L12" s="2206"/>
      <c r="M12" s="2206"/>
      <c r="N12" s="2206"/>
      <c r="O12" s="2206"/>
      <c r="P12" s="2206"/>
      <c r="Q12" s="2206"/>
      <c r="R12" s="2207"/>
    </row>
    <row r="13" spans="1:22" ht="12.75" customHeight="1" x14ac:dyDescent="0.2">
      <c r="A13" s="2003" t="s">
        <v>9</v>
      </c>
      <c r="B13" s="2101" t="s">
        <v>9</v>
      </c>
      <c r="C13" s="2122" t="s">
        <v>9</v>
      </c>
      <c r="D13" s="2164" t="s">
        <v>112</v>
      </c>
      <c r="E13" s="2042"/>
      <c r="F13" s="2044" t="s">
        <v>44</v>
      </c>
      <c r="G13" s="1989" t="s">
        <v>40</v>
      </c>
      <c r="H13" s="140" t="s">
        <v>36</v>
      </c>
      <c r="I13" s="324">
        <f>J13+L13</f>
        <v>979.7</v>
      </c>
      <c r="J13" s="226">
        <f>949.7-99.9</f>
        <v>849.80000000000007</v>
      </c>
      <c r="K13" s="226"/>
      <c r="L13" s="251">
        <f>30+99.9</f>
        <v>129.9</v>
      </c>
      <c r="M13" s="325">
        <v>1841.4</v>
      </c>
      <c r="N13" s="46">
        <v>826.4</v>
      </c>
      <c r="O13" s="2106"/>
      <c r="P13" s="2214"/>
      <c r="Q13" s="2214"/>
      <c r="R13" s="2216"/>
    </row>
    <row r="14" spans="1:22" ht="25.5" customHeight="1" x14ac:dyDescent="0.2">
      <c r="A14" s="2003"/>
      <c r="B14" s="2101"/>
      <c r="C14" s="2122"/>
      <c r="D14" s="2164"/>
      <c r="E14" s="2042"/>
      <c r="F14" s="2044"/>
      <c r="G14" s="1989"/>
      <c r="H14" s="140"/>
      <c r="I14" s="324"/>
      <c r="J14" s="226"/>
      <c r="K14" s="226"/>
      <c r="L14" s="251"/>
      <c r="M14" s="82"/>
      <c r="N14" s="70"/>
      <c r="O14" s="2107"/>
      <c r="P14" s="2215"/>
      <c r="Q14" s="2215"/>
      <c r="R14" s="2217"/>
    </row>
    <row r="15" spans="1:22" ht="12.75" customHeight="1" x14ac:dyDescent="0.2">
      <c r="A15" s="2003"/>
      <c r="B15" s="2101"/>
      <c r="C15" s="2122"/>
      <c r="D15" s="2016" t="s">
        <v>46</v>
      </c>
      <c r="E15" s="2243"/>
      <c r="F15" s="2173"/>
      <c r="G15" s="2161"/>
      <c r="H15" s="140"/>
      <c r="I15" s="326"/>
      <c r="J15" s="226"/>
      <c r="K15" s="226"/>
      <c r="L15" s="251"/>
      <c r="M15" s="325"/>
      <c r="N15" s="46"/>
      <c r="O15" s="2174" t="s">
        <v>97</v>
      </c>
      <c r="P15" s="118">
        <v>3.5</v>
      </c>
      <c r="Q15" s="118">
        <v>3.4</v>
      </c>
      <c r="R15" s="119">
        <v>3.5</v>
      </c>
    </row>
    <row r="16" spans="1:22" ht="14.25" customHeight="1" x14ac:dyDescent="0.2">
      <c r="A16" s="2003"/>
      <c r="B16" s="2101"/>
      <c r="C16" s="2122"/>
      <c r="D16" s="2177"/>
      <c r="E16" s="2244"/>
      <c r="F16" s="2095"/>
      <c r="G16" s="2096"/>
      <c r="H16" s="327"/>
      <c r="I16" s="328"/>
      <c r="J16" s="329"/>
      <c r="K16" s="329"/>
      <c r="L16" s="330"/>
      <c r="M16" s="331"/>
      <c r="N16" s="332"/>
      <c r="O16" s="2107"/>
      <c r="P16" s="60"/>
      <c r="Q16" s="60"/>
      <c r="R16" s="149"/>
      <c r="S16" s="14"/>
      <c r="U16" s="13"/>
    </row>
    <row r="17" spans="1:28" x14ac:dyDescent="0.2">
      <c r="A17" s="2003"/>
      <c r="B17" s="2101"/>
      <c r="C17" s="2122"/>
      <c r="D17" s="2175" t="s">
        <v>47</v>
      </c>
      <c r="E17" s="2125"/>
      <c r="F17" s="2092"/>
      <c r="G17" s="1989"/>
      <c r="H17" s="320"/>
      <c r="I17" s="326"/>
      <c r="J17" s="226"/>
      <c r="K17" s="226"/>
      <c r="L17" s="251"/>
      <c r="M17" s="333"/>
      <c r="N17" s="334"/>
      <c r="O17" s="2145" t="s">
        <v>49</v>
      </c>
      <c r="P17" s="601">
        <v>5</v>
      </c>
      <c r="Q17" s="601">
        <v>5</v>
      </c>
      <c r="R17" s="602">
        <v>5</v>
      </c>
    </row>
    <row r="18" spans="1:28" x14ac:dyDescent="0.2">
      <c r="A18" s="2003"/>
      <c r="B18" s="2101"/>
      <c r="C18" s="2122"/>
      <c r="D18" s="2175"/>
      <c r="E18" s="2125"/>
      <c r="F18" s="2092"/>
      <c r="G18" s="1989"/>
      <c r="H18" s="327"/>
      <c r="I18" s="328"/>
      <c r="J18" s="329"/>
      <c r="K18" s="329"/>
      <c r="L18" s="330"/>
      <c r="M18" s="331"/>
      <c r="N18" s="332"/>
      <c r="O18" s="2176"/>
      <c r="P18" s="601"/>
      <c r="Q18" s="601"/>
      <c r="R18" s="602"/>
    </row>
    <row r="19" spans="1:28" x14ac:dyDescent="0.2">
      <c r="A19" s="2003"/>
      <c r="B19" s="2101"/>
      <c r="C19" s="2122"/>
      <c r="D19" s="2016" t="s">
        <v>48</v>
      </c>
      <c r="E19" s="2159"/>
      <c r="F19" s="2160"/>
      <c r="G19" s="2161"/>
      <c r="H19" s="320"/>
      <c r="I19" s="326"/>
      <c r="J19" s="226"/>
      <c r="K19" s="226"/>
      <c r="L19" s="251"/>
      <c r="M19" s="333"/>
      <c r="N19" s="334"/>
      <c r="O19" s="2145" t="s">
        <v>113</v>
      </c>
      <c r="P19" s="517">
        <v>4</v>
      </c>
      <c r="Q19" s="517">
        <v>4</v>
      </c>
      <c r="R19" s="516">
        <v>4</v>
      </c>
    </row>
    <row r="20" spans="1:28" x14ac:dyDescent="0.2">
      <c r="A20" s="2003"/>
      <c r="B20" s="2101"/>
      <c r="C20" s="2122"/>
      <c r="D20" s="2175"/>
      <c r="E20" s="2125"/>
      <c r="F20" s="2092"/>
      <c r="G20" s="1989"/>
      <c r="H20" s="320"/>
      <c r="I20" s="326"/>
      <c r="J20" s="226"/>
      <c r="K20" s="226"/>
      <c r="L20" s="251"/>
      <c r="M20" s="333"/>
      <c r="N20" s="334"/>
      <c r="O20" s="2030"/>
      <c r="P20" s="601"/>
      <c r="Q20" s="601"/>
      <c r="R20" s="602"/>
    </row>
    <row r="21" spans="1:28" ht="25.5" x14ac:dyDescent="0.2">
      <c r="A21" s="2003"/>
      <c r="B21" s="2101"/>
      <c r="C21" s="2122"/>
      <c r="D21" s="2175"/>
      <c r="E21" s="2125"/>
      <c r="F21" s="2092"/>
      <c r="G21" s="1989"/>
      <c r="H21" s="320"/>
      <c r="I21" s="326"/>
      <c r="J21" s="226"/>
      <c r="K21" s="226"/>
      <c r="L21" s="251"/>
      <c r="M21" s="333"/>
      <c r="N21" s="334"/>
      <c r="O21" s="588" t="s">
        <v>147</v>
      </c>
      <c r="P21" s="601">
        <v>20</v>
      </c>
      <c r="Q21" s="601"/>
      <c r="R21" s="602"/>
    </row>
    <row r="22" spans="1:28" x14ac:dyDescent="0.2">
      <c r="A22" s="2003"/>
      <c r="B22" s="2101"/>
      <c r="C22" s="2122"/>
      <c r="D22" s="2175"/>
      <c r="E22" s="2125"/>
      <c r="F22" s="2092"/>
      <c r="G22" s="1989"/>
      <c r="H22" s="320"/>
      <c r="I22" s="326"/>
      <c r="J22" s="226"/>
      <c r="K22" s="226"/>
      <c r="L22" s="251"/>
      <c r="M22" s="333"/>
      <c r="N22" s="334"/>
      <c r="O22" s="17" t="s">
        <v>140</v>
      </c>
      <c r="P22" s="601">
        <v>1</v>
      </c>
      <c r="Q22" s="601">
        <v>1</v>
      </c>
      <c r="R22" s="602">
        <v>1</v>
      </c>
    </row>
    <row r="23" spans="1:28" x14ac:dyDescent="0.2">
      <c r="A23" s="2003"/>
      <c r="B23" s="2101"/>
      <c r="C23" s="2122"/>
      <c r="D23" s="2175"/>
      <c r="E23" s="2125"/>
      <c r="F23" s="2092"/>
      <c r="G23" s="1989"/>
      <c r="H23" s="320"/>
      <c r="I23" s="326"/>
      <c r="J23" s="226"/>
      <c r="K23" s="226"/>
      <c r="L23" s="251"/>
      <c r="M23" s="321"/>
      <c r="N23" s="322"/>
      <c r="O23" s="17" t="s">
        <v>50</v>
      </c>
      <c r="P23" s="601">
        <v>44</v>
      </c>
      <c r="Q23" s="601">
        <v>30</v>
      </c>
      <c r="R23" s="602">
        <v>30</v>
      </c>
    </row>
    <row r="24" spans="1:28" x14ac:dyDescent="0.2">
      <c r="A24" s="2003"/>
      <c r="B24" s="2101"/>
      <c r="C24" s="2122"/>
      <c r="D24" s="2175"/>
      <c r="E24" s="2125"/>
      <c r="F24" s="2092"/>
      <c r="G24" s="1989"/>
      <c r="H24" s="320"/>
      <c r="I24" s="326"/>
      <c r="J24" s="226"/>
      <c r="K24" s="226"/>
      <c r="L24" s="251"/>
      <c r="M24" s="321"/>
      <c r="N24" s="322"/>
      <c r="O24" s="17" t="s">
        <v>51</v>
      </c>
      <c r="P24" s="601">
        <v>8</v>
      </c>
      <c r="Q24" s="601">
        <v>10</v>
      </c>
      <c r="R24" s="602">
        <v>10</v>
      </c>
    </row>
    <row r="25" spans="1:28" ht="13.5" customHeight="1" x14ac:dyDescent="0.2">
      <c r="A25" s="2003"/>
      <c r="B25" s="2101"/>
      <c r="C25" s="2122"/>
      <c r="D25" s="2175"/>
      <c r="E25" s="2155"/>
      <c r="F25" s="2092"/>
      <c r="G25" s="1989"/>
      <c r="H25" s="327"/>
      <c r="I25" s="328"/>
      <c r="J25" s="329"/>
      <c r="K25" s="329"/>
      <c r="L25" s="330"/>
      <c r="M25" s="331"/>
      <c r="N25" s="332"/>
      <c r="O25" s="62" t="s">
        <v>52</v>
      </c>
      <c r="P25" s="608">
        <v>28</v>
      </c>
      <c r="Q25" s="608">
        <v>30</v>
      </c>
      <c r="R25" s="609">
        <v>30</v>
      </c>
    </row>
    <row r="26" spans="1:28" ht="25.5" x14ac:dyDescent="0.2">
      <c r="A26" s="95"/>
      <c r="B26" s="590"/>
      <c r="C26" s="594"/>
      <c r="D26" s="2166" t="s">
        <v>201</v>
      </c>
      <c r="E26" s="2159" t="s">
        <v>171</v>
      </c>
      <c r="F26" s="607"/>
      <c r="G26" s="85"/>
      <c r="H26" s="335"/>
      <c r="I26" s="326"/>
      <c r="J26" s="226"/>
      <c r="K26" s="329"/>
      <c r="L26" s="330"/>
      <c r="M26" s="321"/>
      <c r="N26" s="332"/>
      <c r="O26" s="213" t="s">
        <v>186</v>
      </c>
      <c r="P26" s="214">
        <v>1</v>
      </c>
      <c r="Q26" s="205">
        <v>1</v>
      </c>
      <c r="R26" s="86"/>
      <c r="AA26" s="14"/>
      <c r="AB26" s="14"/>
    </row>
    <row r="27" spans="1:28" ht="14.25" customHeight="1" thickBot="1" x14ac:dyDescent="0.25">
      <c r="A27" s="99"/>
      <c r="B27" s="592"/>
      <c r="C27" s="595"/>
      <c r="D27" s="2167"/>
      <c r="E27" s="2168"/>
      <c r="F27" s="598"/>
      <c r="G27" s="93"/>
      <c r="H27" s="610"/>
      <c r="I27" s="611"/>
      <c r="J27" s="351"/>
      <c r="K27" s="573"/>
      <c r="L27" s="577"/>
      <c r="M27" s="612"/>
      <c r="N27" s="578"/>
      <c r="O27" s="18" t="s">
        <v>187</v>
      </c>
      <c r="P27" s="613">
        <v>100</v>
      </c>
      <c r="Q27" s="87">
        <v>100</v>
      </c>
      <c r="R27" s="88"/>
      <c r="AA27" s="14"/>
      <c r="AB27" s="14"/>
    </row>
    <row r="28" spans="1:28" x14ac:dyDescent="0.2">
      <c r="A28" s="371"/>
      <c r="B28" s="591"/>
      <c r="C28" s="593"/>
      <c r="D28" s="2169" t="s">
        <v>190</v>
      </c>
      <c r="E28" s="2171" t="s">
        <v>171</v>
      </c>
      <c r="F28" s="597"/>
      <c r="G28" s="92"/>
      <c r="H28" s="579" t="s">
        <v>94</v>
      </c>
      <c r="I28" s="274">
        <f>J28</f>
        <v>150</v>
      </c>
      <c r="J28" s="276">
        <v>150</v>
      </c>
      <c r="K28" s="580"/>
      <c r="L28" s="581"/>
      <c r="M28" s="614">
        <v>100</v>
      </c>
      <c r="N28" s="615"/>
      <c r="O28" s="616" t="s">
        <v>163</v>
      </c>
      <c r="P28" s="617">
        <v>1</v>
      </c>
      <c r="Q28" s="600"/>
      <c r="R28" s="582"/>
      <c r="S28" s="147"/>
      <c r="AA28" s="14"/>
      <c r="AB28" s="14"/>
    </row>
    <row r="29" spans="1:28" x14ac:dyDescent="0.2">
      <c r="A29" s="95"/>
      <c r="B29" s="590"/>
      <c r="C29" s="594"/>
      <c r="D29" s="2170"/>
      <c r="E29" s="2172"/>
      <c r="F29" s="589"/>
      <c r="G29" s="85"/>
      <c r="H29" s="419"/>
      <c r="I29" s="420"/>
      <c r="J29" s="416"/>
      <c r="K29" s="416"/>
      <c r="L29" s="417"/>
      <c r="M29" s="421"/>
      <c r="N29" s="418"/>
      <c r="O29" s="78" t="s">
        <v>162</v>
      </c>
      <c r="P29" s="204">
        <v>50</v>
      </c>
      <c r="Q29" s="608">
        <v>50</v>
      </c>
      <c r="R29" s="122"/>
      <c r="AA29" s="14"/>
      <c r="AB29" s="14"/>
    </row>
    <row r="30" spans="1:28" ht="21.75" customHeight="1" x14ac:dyDescent="0.2">
      <c r="A30" s="95"/>
      <c r="B30" s="590"/>
      <c r="C30" s="594"/>
      <c r="D30" s="2208" t="s">
        <v>210</v>
      </c>
      <c r="E30" s="2212" t="s">
        <v>212</v>
      </c>
      <c r="F30" s="546"/>
      <c r="G30" s="547" t="s">
        <v>90</v>
      </c>
      <c r="H30" s="548" t="s">
        <v>36</v>
      </c>
      <c r="I30" s="549">
        <f>J30</f>
        <v>200</v>
      </c>
      <c r="J30" s="385">
        <v>200</v>
      </c>
      <c r="K30" s="550"/>
      <c r="L30" s="551"/>
      <c r="M30" s="552"/>
      <c r="N30" s="553"/>
      <c r="O30" s="2210" t="s">
        <v>211</v>
      </c>
      <c r="P30" s="559">
        <v>0.33</v>
      </c>
      <c r="Q30" s="554"/>
      <c r="R30" s="86"/>
      <c r="AA30" s="14"/>
      <c r="AB30" s="14"/>
    </row>
    <row r="31" spans="1:28" ht="16.5" customHeight="1" x14ac:dyDescent="0.2">
      <c r="A31" s="95"/>
      <c r="B31" s="590"/>
      <c r="C31" s="594"/>
      <c r="D31" s="2209"/>
      <c r="E31" s="2213"/>
      <c r="F31" s="555"/>
      <c r="G31" s="547"/>
      <c r="H31" s="556"/>
      <c r="I31" s="557"/>
      <c r="J31" s="550"/>
      <c r="K31" s="550"/>
      <c r="L31" s="551"/>
      <c r="M31" s="552"/>
      <c r="N31" s="553"/>
      <c r="O31" s="2211"/>
      <c r="P31" s="560"/>
      <c r="Q31" s="554"/>
      <c r="R31" s="86"/>
      <c r="AA31" s="14"/>
      <c r="AB31" s="14"/>
    </row>
    <row r="32" spans="1:28" ht="30.75" customHeight="1" thickBot="1" x14ac:dyDescent="0.25">
      <c r="A32" s="586"/>
      <c r="B32" s="592"/>
      <c r="C32" s="595"/>
      <c r="D32" s="587"/>
      <c r="E32" s="596"/>
      <c r="F32" s="598"/>
      <c r="G32" s="583"/>
      <c r="H32" s="285" t="s">
        <v>10</v>
      </c>
      <c r="I32" s="544" t="s">
        <v>213</v>
      </c>
      <c r="J32" s="558" t="s">
        <v>214</v>
      </c>
      <c r="K32" s="244">
        <f>K13</f>
        <v>0</v>
      </c>
      <c r="L32" s="245">
        <f>L13</f>
        <v>129.9</v>
      </c>
      <c r="M32" s="250">
        <f>M13+M28</f>
        <v>1941.4</v>
      </c>
      <c r="N32" s="243">
        <f>N13</f>
        <v>826.4</v>
      </c>
      <c r="O32" s="339"/>
      <c r="P32" s="561"/>
      <c r="Q32" s="87"/>
      <c r="R32" s="88"/>
      <c r="AA32" s="14"/>
      <c r="AB32" s="14"/>
    </row>
    <row r="33" spans="1:18" x14ac:dyDescent="0.2">
      <c r="A33" s="2003" t="s">
        <v>9</v>
      </c>
      <c r="B33" s="2101" t="s">
        <v>9</v>
      </c>
      <c r="C33" s="2122" t="s">
        <v>11</v>
      </c>
      <c r="D33" s="2164" t="s">
        <v>114</v>
      </c>
      <c r="E33" s="2125"/>
      <c r="F33" s="2092" t="s">
        <v>54</v>
      </c>
      <c r="G33" s="1989" t="s">
        <v>40</v>
      </c>
      <c r="H33" s="16" t="s">
        <v>36</v>
      </c>
      <c r="I33" s="254">
        <f>J33+L33</f>
        <v>6410.1</v>
      </c>
      <c r="J33" s="226">
        <v>6405.6</v>
      </c>
      <c r="K33" s="226"/>
      <c r="L33" s="227">
        <v>4.5</v>
      </c>
      <c r="M33" s="346">
        <f>7481+130</f>
        <v>7611</v>
      </c>
      <c r="N33" s="112">
        <f>7481+130</f>
        <v>7611</v>
      </c>
      <c r="O33" s="338"/>
      <c r="P33" s="606"/>
      <c r="Q33" s="606"/>
      <c r="R33" s="604"/>
    </row>
    <row r="34" spans="1:18" x14ac:dyDescent="0.2">
      <c r="A34" s="2003"/>
      <c r="B34" s="2101"/>
      <c r="C34" s="2122"/>
      <c r="D34" s="2165"/>
      <c r="E34" s="2125"/>
      <c r="F34" s="2092"/>
      <c r="G34" s="1989"/>
      <c r="H34" s="340" t="s">
        <v>61</v>
      </c>
      <c r="I34" s="254">
        <f>J34+L34</f>
        <v>3.5</v>
      </c>
      <c r="J34" s="226">
        <v>3.5</v>
      </c>
      <c r="K34" s="226"/>
      <c r="L34" s="227"/>
      <c r="M34" s="334">
        <v>3.5</v>
      </c>
      <c r="N34" s="345">
        <v>3.5</v>
      </c>
      <c r="O34" s="17"/>
      <c r="P34" s="606"/>
      <c r="Q34" s="606"/>
      <c r="R34" s="604"/>
    </row>
    <row r="35" spans="1:18" ht="18" customHeight="1" x14ac:dyDescent="0.2">
      <c r="A35" s="2003"/>
      <c r="B35" s="2101"/>
      <c r="C35" s="2122"/>
      <c r="D35" s="2143" t="s">
        <v>191</v>
      </c>
      <c r="E35" s="2159"/>
      <c r="F35" s="2160" t="s">
        <v>41</v>
      </c>
      <c r="G35" s="2161"/>
      <c r="H35" s="16"/>
      <c r="I35" s="254"/>
      <c r="J35" s="226"/>
      <c r="K35" s="226"/>
      <c r="L35" s="227"/>
      <c r="M35" s="46"/>
      <c r="N35" s="112"/>
      <c r="O35" s="61" t="s">
        <v>148</v>
      </c>
      <c r="P35" s="605">
        <v>3.7</v>
      </c>
      <c r="Q35" s="605">
        <v>3.7</v>
      </c>
      <c r="R35" s="603">
        <v>3.7</v>
      </c>
    </row>
    <row r="36" spans="1:18" ht="18.75" customHeight="1" x14ac:dyDescent="0.2">
      <c r="A36" s="2003"/>
      <c r="B36" s="2101"/>
      <c r="C36" s="2122"/>
      <c r="D36" s="2006"/>
      <c r="E36" s="2125"/>
      <c r="F36" s="2092"/>
      <c r="G36" s="1989"/>
      <c r="H36" s="340"/>
      <c r="I36" s="254"/>
      <c r="J36" s="226"/>
      <c r="K36" s="226"/>
      <c r="L36" s="227"/>
      <c r="M36" s="70"/>
      <c r="N36" s="109"/>
      <c r="O36" s="17" t="s">
        <v>193</v>
      </c>
      <c r="P36" s="606">
        <v>2.5</v>
      </c>
      <c r="Q36" s="606">
        <v>2.5</v>
      </c>
      <c r="R36" s="604">
        <v>2.5</v>
      </c>
    </row>
    <row r="37" spans="1:18" x14ac:dyDescent="0.2">
      <c r="A37" s="2003"/>
      <c r="B37" s="2101"/>
      <c r="C37" s="2122"/>
      <c r="D37" s="2006"/>
      <c r="E37" s="2125"/>
      <c r="F37" s="2092"/>
      <c r="G37" s="1989"/>
      <c r="H37" s="340"/>
      <c r="I37" s="254"/>
      <c r="J37" s="226"/>
      <c r="K37" s="226"/>
      <c r="L37" s="227"/>
      <c r="M37" s="36"/>
      <c r="N37" s="181"/>
      <c r="O37" s="2030" t="s">
        <v>98</v>
      </c>
      <c r="P37" s="2132">
        <v>20</v>
      </c>
      <c r="Q37" s="2132">
        <v>20</v>
      </c>
      <c r="R37" s="2134">
        <v>20</v>
      </c>
    </row>
    <row r="38" spans="1:18" x14ac:dyDescent="0.2">
      <c r="A38" s="2003"/>
      <c r="B38" s="2101"/>
      <c r="C38" s="2122"/>
      <c r="D38" s="2140"/>
      <c r="E38" s="2155"/>
      <c r="F38" s="2156"/>
      <c r="G38" s="2096"/>
      <c r="H38" s="342"/>
      <c r="I38" s="343"/>
      <c r="J38" s="329"/>
      <c r="K38" s="329"/>
      <c r="L38" s="344"/>
      <c r="M38" s="332"/>
      <c r="N38" s="337"/>
      <c r="O38" s="2154"/>
      <c r="P38" s="2162"/>
      <c r="Q38" s="2162"/>
      <c r="R38" s="2163"/>
    </row>
    <row r="39" spans="1:18" ht="18" customHeight="1" x14ac:dyDescent="0.2">
      <c r="A39" s="2003"/>
      <c r="B39" s="2101"/>
      <c r="C39" s="2122"/>
      <c r="D39" s="2006" t="s">
        <v>56</v>
      </c>
      <c r="E39" s="2125"/>
      <c r="F39" s="2092"/>
      <c r="G39" s="1989"/>
      <c r="H39" s="340"/>
      <c r="I39" s="254"/>
      <c r="J39" s="226"/>
      <c r="K39" s="226"/>
      <c r="L39" s="227"/>
      <c r="M39" s="334"/>
      <c r="N39" s="345"/>
      <c r="O39" s="588" t="s">
        <v>58</v>
      </c>
      <c r="P39" s="601">
        <v>44</v>
      </c>
      <c r="Q39" s="601">
        <v>44</v>
      </c>
      <c r="R39" s="602">
        <v>44</v>
      </c>
    </row>
    <row r="40" spans="1:18" x14ac:dyDescent="0.2">
      <c r="A40" s="2003"/>
      <c r="B40" s="2101"/>
      <c r="C40" s="2122"/>
      <c r="D40" s="2006"/>
      <c r="E40" s="2125"/>
      <c r="F40" s="2092"/>
      <c r="G40" s="1989"/>
      <c r="H40" s="340"/>
      <c r="I40" s="254"/>
      <c r="J40" s="226"/>
      <c r="K40" s="226"/>
      <c r="L40" s="227"/>
      <c r="M40" s="322"/>
      <c r="N40" s="336"/>
      <c r="O40" s="2030" t="s">
        <v>194</v>
      </c>
      <c r="P40" s="2132">
        <v>387</v>
      </c>
      <c r="Q40" s="2132">
        <v>387</v>
      </c>
      <c r="R40" s="2134">
        <v>387</v>
      </c>
    </row>
    <row r="41" spans="1:18" x14ac:dyDescent="0.2">
      <c r="A41" s="2003"/>
      <c r="B41" s="2101"/>
      <c r="C41" s="2122"/>
      <c r="D41" s="2006"/>
      <c r="E41" s="2125"/>
      <c r="F41" s="2092"/>
      <c r="G41" s="1989"/>
      <c r="H41" s="415"/>
      <c r="I41" s="422"/>
      <c r="J41" s="416"/>
      <c r="K41" s="416"/>
      <c r="L41" s="423"/>
      <c r="M41" s="418"/>
      <c r="N41" s="424"/>
      <c r="O41" s="2030"/>
      <c r="P41" s="2162"/>
      <c r="Q41" s="2162"/>
      <c r="R41" s="2163"/>
    </row>
    <row r="42" spans="1:18" ht="27.75" customHeight="1" x14ac:dyDescent="0.2">
      <c r="A42" s="585"/>
      <c r="B42" s="590"/>
      <c r="C42" s="594"/>
      <c r="D42" s="2143" t="s">
        <v>99</v>
      </c>
      <c r="E42" s="2159"/>
      <c r="F42" s="2160"/>
      <c r="G42" s="2161"/>
      <c r="H42" s="16" t="s">
        <v>36</v>
      </c>
      <c r="I42" s="254">
        <f>J42+L42</f>
        <v>114.5</v>
      </c>
      <c r="J42" s="226">
        <v>114.5</v>
      </c>
      <c r="K42" s="226"/>
      <c r="L42" s="227"/>
      <c r="M42" s="46"/>
      <c r="N42" s="112"/>
      <c r="O42" s="120" t="s">
        <v>149</v>
      </c>
      <c r="P42" s="121">
        <v>2.5</v>
      </c>
      <c r="Q42" s="68">
        <v>3</v>
      </c>
      <c r="R42" s="69">
        <v>3</v>
      </c>
    </row>
    <row r="43" spans="1:18" ht="18.75" customHeight="1" x14ac:dyDescent="0.2">
      <c r="A43" s="585"/>
      <c r="B43" s="590"/>
      <c r="C43" s="594"/>
      <c r="D43" s="2006"/>
      <c r="E43" s="2125"/>
      <c r="F43" s="2092"/>
      <c r="G43" s="1989"/>
      <c r="H43" s="151" t="s">
        <v>181</v>
      </c>
      <c r="I43" s="222">
        <f>J43+L43</f>
        <v>15</v>
      </c>
      <c r="J43" s="223">
        <v>15</v>
      </c>
      <c r="K43" s="223"/>
      <c r="L43" s="224"/>
      <c r="M43" s="66"/>
      <c r="N43" s="111"/>
      <c r="O43" s="2145" t="s">
        <v>101</v>
      </c>
      <c r="P43" s="341">
        <v>1</v>
      </c>
      <c r="Q43" s="517">
        <v>1</v>
      </c>
      <c r="R43" s="516">
        <v>1</v>
      </c>
    </row>
    <row r="44" spans="1:18" ht="19.5" customHeight="1" thickBot="1" x14ac:dyDescent="0.25">
      <c r="A44" s="95"/>
      <c r="B44" s="590"/>
      <c r="C44" s="594"/>
      <c r="D44" s="2006"/>
      <c r="E44" s="2125"/>
      <c r="F44" s="2092"/>
      <c r="G44" s="1989"/>
      <c r="H44" s="287" t="s">
        <v>10</v>
      </c>
      <c r="I44" s="233">
        <f>I42+I34+I33+I43</f>
        <v>6543.1</v>
      </c>
      <c r="J44" s="233">
        <f>J42+J34+J33+J43</f>
        <v>6538.6</v>
      </c>
      <c r="K44" s="233">
        <f>K42+K34+K33</f>
        <v>0</v>
      </c>
      <c r="L44" s="283">
        <f>L42+L34+L33</f>
        <v>4.5</v>
      </c>
      <c r="M44" s="284">
        <f>M42+M34+M33</f>
        <v>7614.5</v>
      </c>
      <c r="N44" s="233">
        <f>N42+N34+N33</f>
        <v>7614.5</v>
      </c>
      <c r="O44" s="2094"/>
      <c r="P44" s="599"/>
      <c r="Q44" s="601"/>
      <c r="R44" s="602"/>
    </row>
    <row r="45" spans="1:18" ht="12.75" customHeight="1" x14ac:dyDescent="0.2">
      <c r="A45" s="2002" t="s">
        <v>9</v>
      </c>
      <c r="B45" s="2112" t="s">
        <v>9</v>
      </c>
      <c r="C45" s="2121" t="s">
        <v>38</v>
      </c>
      <c r="D45" s="2150" t="s">
        <v>115</v>
      </c>
      <c r="E45" s="2124" t="s">
        <v>170</v>
      </c>
      <c r="F45" s="2127" t="s">
        <v>41</v>
      </c>
      <c r="G45" s="1988" t="s">
        <v>40</v>
      </c>
      <c r="H45" s="15" t="s">
        <v>36</v>
      </c>
      <c r="I45" s="235">
        <f>J45+L45</f>
        <v>1355.2</v>
      </c>
      <c r="J45" s="235">
        <f>1292.2+10</f>
        <v>1302.2</v>
      </c>
      <c r="K45" s="235">
        <v>710.7</v>
      </c>
      <c r="L45" s="389">
        <f>63-10</f>
        <v>53</v>
      </c>
      <c r="M45" s="391">
        <v>1592.1</v>
      </c>
      <c r="N45" s="349">
        <v>1146.0999999999999</v>
      </c>
      <c r="O45" s="584"/>
      <c r="P45" s="132"/>
      <c r="Q45" s="132"/>
      <c r="R45" s="38"/>
    </row>
    <row r="46" spans="1:18" x14ac:dyDescent="0.2">
      <c r="A46" s="2003"/>
      <c r="B46" s="2101"/>
      <c r="C46" s="2122"/>
      <c r="D46" s="2151"/>
      <c r="E46" s="2125"/>
      <c r="F46" s="2092"/>
      <c r="G46" s="1989"/>
      <c r="H46" s="16" t="s">
        <v>61</v>
      </c>
      <c r="I46" s="254">
        <f>J46+L46</f>
        <v>116.2</v>
      </c>
      <c r="J46" s="254">
        <v>116.2</v>
      </c>
      <c r="K46" s="254">
        <v>31.7</v>
      </c>
      <c r="L46" s="384">
        <f>L51+L53+L56</f>
        <v>0</v>
      </c>
      <c r="M46" s="322">
        <v>115.8</v>
      </c>
      <c r="N46" s="336">
        <v>115.8</v>
      </c>
      <c r="O46" s="588"/>
      <c r="P46" s="606"/>
      <c r="Q46" s="606"/>
      <c r="R46" s="604"/>
    </row>
    <row r="47" spans="1:18" ht="21" customHeight="1" x14ac:dyDescent="0.2">
      <c r="A47" s="2003"/>
      <c r="B47" s="2101"/>
      <c r="C47" s="2122"/>
      <c r="D47" s="2143" t="s">
        <v>164</v>
      </c>
      <c r="E47" s="2157"/>
      <c r="F47" s="2092"/>
      <c r="G47" s="1989"/>
      <c r="H47" s="16"/>
      <c r="I47" s="254"/>
      <c r="J47" s="226"/>
      <c r="K47" s="226"/>
      <c r="L47" s="227"/>
      <c r="M47" s="46"/>
      <c r="N47" s="112"/>
      <c r="O47" s="61" t="s">
        <v>86</v>
      </c>
      <c r="P47" s="605">
        <v>0.17649999999999999</v>
      </c>
      <c r="Q47" s="605">
        <v>0.17649999999999999</v>
      </c>
      <c r="R47" s="603">
        <v>0.17649999999999999</v>
      </c>
    </row>
    <row r="48" spans="1:18" ht="14.25" customHeight="1" x14ac:dyDescent="0.2">
      <c r="A48" s="2003"/>
      <c r="B48" s="2101"/>
      <c r="C48" s="2122"/>
      <c r="D48" s="2006"/>
      <c r="E48" s="2157"/>
      <c r="F48" s="2092"/>
      <c r="G48" s="1989"/>
      <c r="H48" s="16"/>
      <c r="I48" s="254"/>
      <c r="J48" s="226"/>
      <c r="K48" s="226"/>
      <c r="L48" s="227"/>
      <c r="M48" s="46"/>
      <c r="N48" s="112"/>
      <c r="O48" s="2030" t="s">
        <v>87</v>
      </c>
      <c r="P48" s="606">
        <v>5.0299999999999997E-2</v>
      </c>
      <c r="Q48" s="606">
        <v>5.0299999999999997E-2</v>
      </c>
      <c r="R48" s="604">
        <v>5.0299999999999997E-2</v>
      </c>
    </row>
    <row r="49" spans="1:21" ht="29.25" customHeight="1" thickBot="1" x14ac:dyDescent="0.25">
      <c r="A49" s="2004"/>
      <c r="B49" s="2113"/>
      <c r="C49" s="2123"/>
      <c r="D49" s="2007"/>
      <c r="E49" s="2158"/>
      <c r="F49" s="2128"/>
      <c r="G49" s="1990"/>
      <c r="H49" s="572"/>
      <c r="I49" s="278"/>
      <c r="J49" s="573"/>
      <c r="K49" s="573"/>
      <c r="L49" s="574"/>
      <c r="M49" s="575"/>
      <c r="N49" s="576"/>
      <c r="O49" s="2076"/>
      <c r="P49" s="515"/>
      <c r="Q49" s="515"/>
      <c r="R49" s="514"/>
    </row>
    <row r="50" spans="1:21" ht="12.75" customHeight="1" x14ac:dyDescent="0.2">
      <c r="A50" s="2002"/>
      <c r="B50" s="2112"/>
      <c r="C50" s="2121"/>
      <c r="D50" s="2005" t="s">
        <v>59</v>
      </c>
      <c r="E50" s="2124"/>
      <c r="F50" s="2127"/>
      <c r="G50" s="1988"/>
      <c r="H50" s="347"/>
      <c r="I50" s="348"/>
      <c r="J50" s="276"/>
      <c r="K50" s="276"/>
      <c r="L50" s="277"/>
      <c r="M50" s="346"/>
      <c r="N50" s="571"/>
      <c r="O50" s="2029" t="s">
        <v>60</v>
      </c>
      <c r="P50" s="501">
        <v>3</v>
      </c>
      <c r="Q50" s="501">
        <v>3</v>
      </c>
      <c r="R50" s="503">
        <v>3</v>
      </c>
    </row>
    <row r="51" spans="1:21" x14ac:dyDescent="0.2">
      <c r="A51" s="2003"/>
      <c r="B51" s="2101"/>
      <c r="C51" s="2122"/>
      <c r="D51" s="2006"/>
      <c r="E51" s="2125"/>
      <c r="F51" s="2092"/>
      <c r="G51" s="1989"/>
      <c r="H51" s="16"/>
      <c r="I51" s="254"/>
      <c r="J51" s="226"/>
      <c r="K51" s="226"/>
      <c r="L51" s="227"/>
      <c r="M51" s="46"/>
      <c r="N51" s="112"/>
      <c r="O51" s="2030"/>
      <c r="P51" s="502"/>
      <c r="Q51" s="502"/>
      <c r="R51" s="504"/>
    </row>
    <row r="52" spans="1:21" x14ac:dyDescent="0.2">
      <c r="A52" s="2003"/>
      <c r="B52" s="2101"/>
      <c r="C52" s="2122"/>
      <c r="D52" s="2143" t="s">
        <v>144</v>
      </c>
      <c r="E52" s="2125"/>
      <c r="F52" s="2092"/>
      <c r="G52" s="1989"/>
      <c r="H52" s="16"/>
      <c r="I52" s="254"/>
      <c r="J52" s="226"/>
      <c r="K52" s="226"/>
      <c r="L52" s="227"/>
      <c r="M52" s="46"/>
      <c r="N52" s="112"/>
      <c r="O52" s="2145" t="s">
        <v>195</v>
      </c>
      <c r="P52" s="517">
        <v>2</v>
      </c>
      <c r="Q52" s="517">
        <v>2</v>
      </c>
      <c r="R52" s="516">
        <v>2</v>
      </c>
    </row>
    <row r="53" spans="1:21" x14ac:dyDescent="0.2">
      <c r="A53" s="2003"/>
      <c r="B53" s="2101"/>
      <c r="C53" s="2122"/>
      <c r="D53" s="2140"/>
      <c r="E53" s="2155"/>
      <c r="F53" s="2156"/>
      <c r="G53" s="2096"/>
      <c r="H53" s="151"/>
      <c r="I53" s="222"/>
      <c r="J53" s="223"/>
      <c r="K53" s="223"/>
      <c r="L53" s="224"/>
      <c r="M53" s="66"/>
      <c r="N53" s="111"/>
      <c r="O53" s="2154"/>
      <c r="P53" s="511"/>
      <c r="Q53" s="511"/>
      <c r="R53" s="512"/>
    </row>
    <row r="54" spans="1:21" x14ac:dyDescent="0.2">
      <c r="A54" s="485"/>
      <c r="B54" s="496"/>
      <c r="C54" s="499"/>
      <c r="D54" s="2143" t="s">
        <v>205</v>
      </c>
      <c r="E54" s="509"/>
      <c r="F54" s="510" t="s">
        <v>38</v>
      </c>
      <c r="G54" s="487"/>
      <c r="H54" s="12"/>
      <c r="I54" s="367"/>
      <c r="J54" s="231"/>
      <c r="K54" s="231"/>
      <c r="L54" s="232"/>
      <c r="M54" s="364"/>
      <c r="N54" s="365"/>
      <c r="O54" s="2145" t="s">
        <v>63</v>
      </c>
      <c r="P54" s="506">
        <v>15.5</v>
      </c>
      <c r="Q54" s="506">
        <v>15.5</v>
      </c>
      <c r="R54" s="505">
        <v>15.5</v>
      </c>
    </row>
    <row r="55" spans="1:21" x14ac:dyDescent="0.2">
      <c r="A55" s="485"/>
      <c r="B55" s="496"/>
      <c r="C55" s="499"/>
      <c r="D55" s="2152"/>
      <c r="E55" s="500"/>
      <c r="F55" s="492"/>
      <c r="G55" s="482"/>
      <c r="H55" s="16"/>
      <c r="I55" s="324"/>
      <c r="J55" s="226"/>
      <c r="K55" s="226"/>
      <c r="L55" s="227"/>
      <c r="M55" s="46"/>
      <c r="N55" s="112"/>
      <c r="O55" s="2030"/>
      <c r="P55" s="502"/>
      <c r="Q55" s="502"/>
      <c r="R55" s="504"/>
      <c r="U55" s="89"/>
    </row>
    <row r="56" spans="1:21" ht="25.5" x14ac:dyDescent="0.2">
      <c r="A56" s="485"/>
      <c r="B56" s="496"/>
      <c r="C56" s="499"/>
      <c r="D56" s="2153"/>
      <c r="E56" s="508"/>
      <c r="F56" s="493"/>
      <c r="G56" s="494"/>
      <c r="H56" s="151"/>
      <c r="I56" s="238"/>
      <c r="J56" s="223"/>
      <c r="K56" s="223"/>
      <c r="L56" s="224"/>
      <c r="M56" s="37"/>
      <c r="N56" s="390"/>
      <c r="O56" s="67" t="s">
        <v>62</v>
      </c>
      <c r="P56" s="68">
        <v>102</v>
      </c>
      <c r="Q56" s="68">
        <v>102</v>
      </c>
      <c r="R56" s="69">
        <v>102</v>
      </c>
      <c r="U56" s="89"/>
    </row>
    <row r="57" spans="1:21" ht="25.5" x14ac:dyDescent="0.2">
      <c r="A57" s="485"/>
      <c r="B57" s="496"/>
      <c r="C57" s="499"/>
      <c r="D57" s="497" t="s">
        <v>160</v>
      </c>
      <c r="E57" s="500"/>
      <c r="F57" s="492"/>
      <c r="G57" s="482"/>
      <c r="H57" s="16"/>
      <c r="I57" s="324"/>
      <c r="J57" s="226"/>
      <c r="K57" s="226"/>
      <c r="L57" s="227"/>
      <c r="M57" s="36"/>
      <c r="N57" s="181"/>
      <c r="O57" s="495" t="s">
        <v>152</v>
      </c>
      <c r="P57" s="511">
        <v>1</v>
      </c>
      <c r="Q57" s="511"/>
      <c r="R57" s="512"/>
    </row>
    <row r="58" spans="1:21" x14ac:dyDescent="0.2">
      <c r="A58" s="302"/>
      <c r="B58" s="316"/>
      <c r="C58" s="323"/>
      <c r="D58" s="124" t="s">
        <v>153</v>
      </c>
      <c r="E58" s="304"/>
      <c r="F58" s="306"/>
      <c r="G58" s="300"/>
      <c r="H58" s="16"/>
      <c r="I58" s="324"/>
      <c r="J58" s="226"/>
      <c r="K58" s="226"/>
      <c r="L58" s="227"/>
      <c r="M58" s="36"/>
      <c r="N58" s="181"/>
      <c r="O58" s="67" t="s">
        <v>151</v>
      </c>
      <c r="P58" s="68">
        <v>1</v>
      </c>
      <c r="Q58" s="68"/>
      <c r="R58" s="69"/>
    </row>
    <row r="59" spans="1:21" ht="14.25" customHeight="1" x14ac:dyDescent="0.2">
      <c r="A59" s="302"/>
      <c r="B59" s="316"/>
      <c r="C59" s="323"/>
      <c r="D59" s="139" t="s">
        <v>156</v>
      </c>
      <c r="E59" s="304"/>
      <c r="F59" s="306"/>
      <c r="G59" s="300"/>
      <c r="H59" s="340"/>
      <c r="I59" s="324"/>
      <c r="J59" s="226"/>
      <c r="K59" s="226"/>
      <c r="L59" s="227"/>
      <c r="M59" s="36"/>
      <c r="N59" s="181"/>
      <c r="O59" s="2145" t="s">
        <v>204</v>
      </c>
      <c r="P59" s="314"/>
      <c r="Q59" s="314">
        <v>10</v>
      </c>
      <c r="R59" s="310">
        <v>90</v>
      </c>
    </row>
    <row r="60" spans="1:21" ht="15" customHeight="1" x14ac:dyDescent="0.2">
      <c r="A60" s="302"/>
      <c r="B60" s="316"/>
      <c r="C60" s="323"/>
      <c r="D60" s="2006"/>
      <c r="E60" s="304"/>
      <c r="F60" s="306"/>
      <c r="G60" s="300"/>
      <c r="H60" s="151"/>
      <c r="I60" s="238"/>
      <c r="J60" s="223"/>
      <c r="K60" s="223"/>
      <c r="L60" s="224"/>
      <c r="M60" s="37"/>
      <c r="N60" s="390"/>
      <c r="O60" s="2154"/>
      <c r="P60" s="313"/>
      <c r="Q60" s="313"/>
      <c r="R60" s="309"/>
    </row>
    <row r="61" spans="1:21" ht="27" customHeight="1" thickBot="1" x14ac:dyDescent="0.25">
      <c r="A61" s="303"/>
      <c r="B61" s="317"/>
      <c r="C61" s="350"/>
      <c r="D61" s="2007"/>
      <c r="E61" s="305"/>
      <c r="F61" s="307"/>
      <c r="G61" s="301"/>
      <c r="H61" s="288" t="s">
        <v>10</v>
      </c>
      <c r="I61" s="293">
        <f t="shared" ref="I61:N61" si="0">I45+I46</f>
        <v>1471.4</v>
      </c>
      <c r="J61" s="244">
        <f t="shared" si="0"/>
        <v>1418.4</v>
      </c>
      <c r="K61" s="244">
        <f t="shared" si="0"/>
        <v>742.40000000000009</v>
      </c>
      <c r="L61" s="255">
        <f t="shared" si="0"/>
        <v>53</v>
      </c>
      <c r="M61" s="286">
        <f t="shared" si="0"/>
        <v>1707.8999999999999</v>
      </c>
      <c r="N61" s="255">
        <f t="shared" si="0"/>
        <v>1261.8999999999999</v>
      </c>
      <c r="O61" s="318"/>
      <c r="P61" s="148"/>
      <c r="Q61" s="148"/>
      <c r="R61" s="35"/>
    </row>
    <row r="62" spans="1:21" ht="15" customHeight="1" x14ac:dyDescent="0.2">
      <c r="A62" s="2002" t="s">
        <v>9</v>
      </c>
      <c r="B62" s="2112" t="s">
        <v>9</v>
      </c>
      <c r="C62" s="2121" t="s">
        <v>53</v>
      </c>
      <c r="D62" s="2150" t="s">
        <v>116</v>
      </c>
      <c r="E62" s="2124"/>
      <c r="F62" s="2127" t="s">
        <v>41</v>
      </c>
      <c r="G62" s="1988" t="s">
        <v>40</v>
      </c>
      <c r="H62" s="347" t="s">
        <v>36</v>
      </c>
      <c r="I62" s="348">
        <f>J62</f>
        <v>6017.6</v>
      </c>
      <c r="J62" s="348">
        <v>6017.6</v>
      </c>
      <c r="K62" s="348">
        <f>K64+K67</f>
        <v>0</v>
      </c>
      <c r="L62" s="353">
        <f>L64+L67</f>
        <v>0</v>
      </c>
      <c r="M62" s="352">
        <v>7827.6</v>
      </c>
      <c r="N62" s="354">
        <v>8062</v>
      </c>
      <c r="O62" s="2029"/>
      <c r="P62" s="2131"/>
      <c r="Q62" s="2131"/>
      <c r="R62" s="2133"/>
    </row>
    <row r="63" spans="1:21" x14ac:dyDescent="0.2">
      <c r="A63" s="2003"/>
      <c r="B63" s="2101"/>
      <c r="C63" s="2122"/>
      <c r="D63" s="2151"/>
      <c r="E63" s="2125"/>
      <c r="F63" s="2092"/>
      <c r="G63" s="1989"/>
      <c r="H63" s="16"/>
      <c r="I63" s="254"/>
      <c r="J63" s="226"/>
      <c r="K63" s="226"/>
      <c r="L63" s="227"/>
      <c r="M63" s="46"/>
      <c r="N63" s="112"/>
      <c r="O63" s="2030"/>
      <c r="P63" s="2132"/>
      <c r="Q63" s="2132"/>
      <c r="R63" s="2134"/>
    </row>
    <row r="64" spans="1:21" ht="12.75" customHeight="1" x14ac:dyDescent="0.2">
      <c r="A64" s="2003"/>
      <c r="B64" s="2101"/>
      <c r="C64" s="2122"/>
      <c r="D64" s="2143" t="s">
        <v>65</v>
      </c>
      <c r="E64" s="2125"/>
      <c r="F64" s="2092"/>
      <c r="G64" s="1989"/>
      <c r="H64" s="16"/>
      <c r="I64" s="254"/>
      <c r="J64" s="226"/>
      <c r="K64" s="226"/>
      <c r="L64" s="227"/>
      <c r="M64" s="46"/>
      <c r="N64" s="112"/>
      <c r="O64" s="2145" t="s">
        <v>100</v>
      </c>
      <c r="P64" s="2146">
        <v>7.7</v>
      </c>
      <c r="Q64" s="2146">
        <v>7.8</v>
      </c>
      <c r="R64" s="2141">
        <v>7.8</v>
      </c>
    </row>
    <row r="65" spans="1:19" x14ac:dyDescent="0.2">
      <c r="A65" s="2003"/>
      <c r="B65" s="2101"/>
      <c r="C65" s="2122"/>
      <c r="D65" s="2006"/>
      <c r="E65" s="2125"/>
      <c r="F65" s="2092"/>
      <c r="G65" s="1989"/>
      <c r="H65" s="16"/>
      <c r="I65" s="254"/>
      <c r="J65" s="226"/>
      <c r="K65" s="226"/>
      <c r="L65" s="227"/>
      <c r="M65" s="46"/>
      <c r="N65" s="112"/>
      <c r="O65" s="2030"/>
      <c r="P65" s="2147"/>
      <c r="Q65" s="2147"/>
      <c r="R65" s="2142"/>
    </row>
    <row r="66" spans="1:19" x14ac:dyDescent="0.2">
      <c r="A66" s="2003"/>
      <c r="B66" s="2101"/>
      <c r="C66" s="2122"/>
      <c r="D66" s="2006"/>
      <c r="E66" s="2125"/>
      <c r="F66" s="2092"/>
      <c r="G66" s="1989"/>
      <c r="H66" s="355"/>
      <c r="I66" s="343"/>
      <c r="J66" s="329"/>
      <c r="K66" s="329"/>
      <c r="L66" s="344"/>
      <c r="M66" s="356"/>
      <c r="N66" s="357"/>
      <c r="O66" s="62"/>
      <c r="P66" s="511"/>
      <c r="Q66" s="511"/>
      <c r="R66" s="512"/>
    </row>
    <row r="67" spans="1:19" ht="12.75" customHeight="1" x14ac:dyDescent="0.2">
      <c r="A67" s="2003"/>
      <c r="B67" s="2101"/>
      <c r="C67" s="2122"/>
      <c r="D67" s="2143" t="s">
        <v>64</v>
      </c>
      <c r="E67" s="2144" t="s">
        <v>184</v>
      </c>
      <c r="F67" s="2092"/>
      <c r="G67" s="1989"/>
      <c r="H67" s="16"/>
      <c r="I67" s="254"/>
      <c r="J67" s="226"/>
      <c r="K67" s="226"/>
      <c r="L67" s="227"/>
      <c r="M67" s="46"/>
      <c r="N67" s="112"/>
      <c r="O67" s="2030" t="s">
        <v>196</v>
      </c>
      <c r="P67" s="2148">
        <v>14.215999999999999</v>
      </c>
      <c r="Q67" s="2148">
        <v>14.4</v>
      </c>
      <c r="R67" s="2149">
        <v>14.6</v>
      </c>
    </row>
    <row r="68" spans="1:19" x14ac:dyDescent="0.2">
      <c r="A68" s="2003"/>
      <c r="B68" s="2101"/>
      <c r="C68" s="2122"/>
      <c r="D68" s="2006"/>
      <c r="E68" s="2144"/>
      <c r="F68" s="2092"/>
      <c r="G68" s="1989"/>
      <c r="H68" s="16"/>
      <c r="I68" s="254"/>
      <c r="J68" s="226"/>
      <c r="K68" s="226"/>
      <c r="L68" s="227"/>
      <c r="M68" s="46"/>
      <c r="N68" s="112"/>
      <c r="O68" s="2030"/>
      <c r="P68" s="2148"/>
      <c r="Q68" s="2148"/>
      <c r="R68" s="2149"/>
    </row>
    <row r="69" spans="1:19" ht="17.25" customHeight="1" x14ac:dyDescent="0.2">
      <c r="A69" s="2003"/>
      <c r="B69" s="2101"/>
      <c r="C69" s="2122"/>
      <c r="D69" s="2006"/>
      <c r="E69" s="2144"/>
      <c r="F69" s="2092"/>
      <c r="G69" s="1989"/>
      <c r="H69" s="16"/>
      <c r="I69" s="254"/>
      <c r="J69" s="226"/>
      <c r="K69" s="226"/>
      <c r="L69" s="227"/>
      <c r="M69" s="36"/>
      <c r="N69" s="181"/>
      <c r="O69" s="17" t="s">
        <v>145</v>
      </c>
      <c r="P69" s="113">
        <v>420</v>
      </c>
      <c r="Q69" s="113">
        <v>0</v>
      </c>
      <c r="R69" s="114">
        <v>0</v>
      </c>
    </row>
    <row r="70" spans="1:19" x14ac:dyDescent="0.2">
      <c r="A70" s="2003"/>
      <c r="B70" s="2101"/>
      <c r="C70" s="2122"/>
      <c r="D70" s="2140"/>
      <c r="E70" s="2144"/>
      <c r="F70" s="2092"/>
      <c r="G70" s="1989"/>
      <c r="H70" s="355"/>
      <c r="I70" s="343"/>
      <c r="J70" s="329"/>
      <c r="K70" s="329"/>
      <c r="L70" s="344"/>
      <c r="M70" s="356"/>
      <c r="N70" s="357"/>
      <c r="O70" s="62" t="s">
        <v>197</v>
      </c>
      <c r="P70" s="511">
        <v>89</v>
      </c>
      <c r="Q70" s="511">
        <v>100</v>
      </c>
      <c r="R70" s="512">
        <v>100</v>
      </c>
    </row>
    <row r="71" spans="1:19" x14ac:dyDescent="0.2">
      <c r="A71" s="2003"/>
      <c r="B71" s="2101"/>
      <c r="C71" s="2122"/>
      <c r="D71" s="2006" t="s">
        <v>66</v>
      </c>
      <c r="E71" s="2125"/>
      <c r="F71" s="2092"/>
      <c r="G71" s="1989"/>
      <c r="H71" s="16"/>
      <c r="I71" s="254"/>
      <c r="J71" s="226"/>
      <c r="K71" s="226"/>
      <c r="L71" s="227"/>
      <c r="M71" s="46"/>
      <c r="N71" s="112"/>
      <c r="O71" s="61" t="s">
        <v>102</v>
      </c>
      <c r="P71" s="517"/>
      <c r="Q71" s="517">
        <v>27</v>
      </c>
      <c r="R71" s="516"/>
    </row>
    <row r="72" spans="1:19" x14ac:dyDescent="0.2">
      <c r="A72" s="2003"/>
      <c r="B72" s="2101"/>
      <c r="C72" s="2122"/>
      <c r="D72" s="2140"/>
      <c r="E72" s="2125"/>
      <c r="F72" s="2092"/>
      <c r="G72" s="1989"/>
      <c r="H72" s="355"/>
      <c r="I72" s="343"/>
      <c r="J72" s="329"/>
      <c r="K72" s="329"/>
      <c r="L72" s="344"/>
      <c r="M72" s="356"/>
      <c r="N72" s="357"/>
      <c r="O72" s="62"/>
      <c r="P72" s="511"/>
      <c r="Q72" s="511"/>
      <c r="R72" s="512"/>
    </row>
    <row r="73" spans="1:19" x14ac:dyDescent="0.2">
      <c r="A73" s="2003"/>
      <c r="B73" s="2101"/>
      <c r="C73" s="2122"/>
      <c r="D73" s="2006" t="s">
        <v>67</v>
      </c>
      <c r="E73" s="2125"/>
      <c r="F73" s="2092"/>
      <c r="G73" s="1989"/>
      <c r="H73" s="12" t="s">
        <v>94</v>
      </c>
      <c r="I73" s="225">
        <f>J73</f>
        <v>2038</v>
      </c>
      <c r="J73" s="231">
        <v>2038</v>
      </c>
      <c r="K73" s="231"/>
      <c r="L73" s="232"/>
      <c r="M73" s="364"/>
      <c r="N73" s="365"/>
      <c r="O73" s="17" t="s">
        <v>68</v>
      </c>
      <c r="P73" s="502"/>
      <c r="Q73" s="502">
        <v>94</v>
      </c>
      <c r="R73" s="504"/>
    </row>
    <row r="74" spans="1:19" ht="18" customHeight="1" thickBot="1" x14ac:dyDescent="0.25">
      <c r="A74" s="2004"/>
      <c r="B74" s="2113"/>
      <c r="C74" s="2123"/>
      <c r="D74" s="2007"/>
      <c r="E74" s="2126"/>
      <c r="F74" s="2128"/>
      <c r="G74" s="1990"/>
      <c r="H74" s="572"/>
      <c r="I74" s="278"/>
      <c r="J74" s="573"/>
      <c r="K74" s="573"/>
      <c r="L74" s="574"/>
      <c r="M74" s="575"/>
      <c r="N74" s="576"/>
      <c r="O74" s="18"/>
      <c r="P74" s="515"/>
      <c r="Q74" s="515"/>
      <c r="R74" s="514"/>
    </row>
    <row r="75" spans="1:19" ht="25.5" customHeight="1" x14ac:dyDescent="0.2">
      <c r="A75" s="302"/>
      <c r="B75" s="316"/>
      <c r="C75" s="323"/>
      <c r="D75" s="497" t="s">
        <v>132</v>
      </c>
      <c r="E75" s="304"/>
      <c r="F75" s="306"/>
      <c r="G75" s="300"/>
      <c r="H75" s="16"/>
      <c r="I75" s="254"/>
      <c r="J75" s="226"/>
      <c r="K75" s="226"/>
      <c r="L75" s="227"/>
      <c r="M75" s="46"/>
      <c r="N75" s="112"/>
      <c r="O75" s="62" t="s">
        <v>117</v>
      </c>
      <c r="P75" s="511"/>
      <c r="Q75" s="511">
        <v>33</v>
      </c>
      <c r="R75" s="512">
        <v>33</v>
      </c>
    </row>
    <row r="76" spans="1:19" ht="17.25" customHeight="1" x14ac:dyDescent="0.2">
      <c r="A76" s="2003"/>
      <c r="B76" s="2101"/>
      <c r="C76" s="2122"/>
      <c r="D76" s="2006" t="s">
        <v>133</v>
      </c>
      <c r="E76" s="2125"/>
      <c r="F76" s="2092"/>
      <c r="G76" s="1989"/>
      <c r="H76" s="151"/>
      <c r="I76" s="222"/>
      <c r="J76" s="223"/>
      <c r="K76" s="223"/>
      <c r="L76" s="224"/>
      <c r="M76" s="66"/>
      <c r="N76" s="111"/>
      <c r="O76" s="2030" t="s">
        <v>69</v>
      </c>
      <c r="P76" s="315"/>
      <c r="Q76" s="315">
        <v>9</v>
      </c>
      <c r="R76" s="311">
        <v>7</v>
      </c>
    </row>
    <row r="77" spans="1:19" ht="24.75" customHeight="1" thickBot="1" x14ac:dyDescent="0.25">
      <c r="A77" s="2004"/>
      <c r="B77" s="2113"/>
      <c r="C77" s="2123"/>
      <c r="D77" s="2007"/>
      <c r="E77" s="2126"/>
      <c r="F77" s="2128"/>
      <c r="G77" s="1990"/>
      <c r="H77" s="288" t="s">
        <v>10</v>
      </c>
      <c r="I77" s="250">
        <f>I62+I73</f>
        <v>8055.6</v>
      </c>
      <c r="J77" s="244">
        <f>J62+J73</f>
        <v>8055.6</v>
      </c>
      <c r="K77" s="244">
        <f>SUM(K76:K76)</f>
        <v>0</v>
      </c>
      <c r="L77" s="249">
        <f>SUM(L76:L76)</f>
        <v>0</v>
      </c>
      <c r="M77" s="286">
        <f>M62</f>
        <v>7827.6</v>
      </c>
      <c r="N77" s="253">
        <f>N62</f>
        <v>8062</v>
      </c>
      <c r="O77" s="2076"/>
      <c r="P77" s="148"/>
      <c r="Q77" s="148"/>
      <c r="R77" s="35"/>
    </row>
    <row r="78" spans="1:19" ht="19.5" customHeight="1" x14ac:dyDescent="0.2">
      <c r="A78" s="2002" t="s">
        <v>9</v>
      </c>
      <c r="B78" s="2112" t="s">
        <v>9</v>
      </c>
      <c r="C78" s="2121" t="s">
        <v>54</v>
      </c>
      <c r="D78" s="2137" t="s">
        <v>167</v>
      </c>
      <c r="E78" s="2124"/>
      <c r="F78" s="2127" t="s">
        <v>38</v>
      </c>
      <c r="G78" s="2063" t="s">
        <v>95</v>
      </c>
      <c r="H78" s="15" t="s">
        <v>36</v>
      </c>
      <c r="I78" s="247">
        <f>J78+L78</f>
        <v>610.4</v>
      </c>
      <c r="J78" s="236">
        <v>610.4</v>
      </c>
      <c r="K78" s="236"/>
      <c r="L78" s="248"/>
      <c r="M78" s="47">
        <f>50+577</f>
        <v>627</v>
      </c>
      <c r="N78" s="47">
        <f>50+577</f>
        <v>627</v>
      </c>
      <c r="O78" s="2029" t="s">
        <v>103</v>
      </c>
      <c r="P78" s="312">
        <f>57+15</f>
        <v>72</v>
      </c>
      <c r="Q78" s="312">
        <f>15+57</f>
        <v>72</v>
      </c>
      <c r="R78" s="308">
        <f>15+57</f>
        <v>72</v>
      </c>
    </row>
    <row r="79" spans="1:19" ht="21" customHeight="1" x14ac:dyDescent="0.2">
      <c r="A79" s="2003"/>
      <c r="B79" s="2101"/>
      <c r="C79" s="2122"/>
      <c r="D79" s="2138"/>
      <c r="E79" s="2125"/>
      <c r="F79" s="2092"/>
      <c r="G79" s="2064"/>
      <c r="H79" s="25"/>
      <c r="I79" s="240">
        <f>J79+L79</f>
        <v>0</v>
      </c>
      <c r="J79" s="226"/>
      <c r="K79" s="226"/>
      <c r="L79" s="251"/>
      <c r="M79" s="70"/>
      <c r="N79" s="70"/>
      <c r="O79" s="2030"/>
      <c r="P79" s="315"/>
      <c r="Q79" s="315"/>
      <c r="R79" s="311"/>
    </row>
    <row r="80" spans="1:19" ht="16.5" customHeight="1" x14ac:dyDescent="0.2">
      <c r="A80" s="2003"/>
      <c r="B80" s="2101"/>
      <c r="C80" s="2122"/>
      <c r="D80" s="2138"/>
      <c r="E80" s="2125"/>
      <c r="F80" s="2092"/>
      <c r="G80" s="2064"/>
      <c r="H80" s="16"/>
      <c r="I80" s="238">
        <f>J80+L80</f>
        <v>0</v>
      </c>
      <c r="J80" s="231"/>
      <c r="K80" s="231"/>
      <c r="L80" s="252"/>
      <c r="M80" s="23"/>
      <c r="N80" s="23"/>
      <c r="O80" s="17"/>
      <c r="P80" s="315"/>
      <c r="Q80" s="315"/>
      <c r="R80" s="311"/>
      <c r="S80" s="49"/>
    </row>
    <row r="81" spans="1:21" ht="22.5" customHeight="1" thickBot="1" x14ac:dyDescent="0.25">
      <c r="A81" s="2004"/>
      <c r="B81" s="2113"/>
      <c r="C81" s="2123"/>
      <c r="D81" s="2139"/>
      <c r="E81" s="2126"/>
      <c r="F81" s="2128"/>
      <c r="G81" s="2065"/>
      <c r="H81" s="288" t="s">
        <v>10</v>
      </c>
      <c r="I81" s="243">
        <f t="shared" ref="I81:N81" si="1">SUM(I78:I80)</f>
        <v>610.4</v>
      </c>
      <c r="J81" s="250">
        <f t="shared" si="1"/>
        <v>610.4</v>
      </c>
      <c r="K81" s="250">
        <f t="shared" si="1"/>
        <v>0</v>
      </c>
      <c r="L81" s="253">
        <f t="shared" si="1"/>
        <v>0</v>
      </c>
      <c r="M81" s="286">
        <f t="shared" si="1"/>
        <v>627</v>
      </c>
      <c r="N81" s="286">
        <f t="shared" si="1"/>
        <v>627</v>
      </c>
      <c r="O81" s="18"/>
      <c r="P81" s="148"/>
      <c r="Q81" s="148"/>
      <c r="R81" s="35"/>
    </row>
    <row r="82" spans="1:21" ht="16.5" customHeight="1" x14ac:dyDescent="0.2">
      <c r="A82" s="2002" t="s">
        <v>9</v>
      </c>
      <c r="B82" s="2112" t="s">
        <v>9</v>
      </c>
      <c r="C82" s="2121" t="s">
        <v>41</v>
      </c>
      <c r="D82" s="2108" t="s">
        <v>154</v>
      </c>
      <c r="E82" s="1982" t="s">
        <v>91</v>
      </c>
      <c r="F82" s="2127" t="s">
        <v>54</v>
      </c>
      <c r="G82" s="216" t="s">
        <v>90</v>
      </c>
      <c r="H82" s="15" t="s">
        <v>36</v>
      </c>
      <c r="I82" s="235">
        <f>J82+L82</f>
        <v>3.5</v>
      </c>
      <c r="J82" s="236">
        <f>1.9+1.6</f>
        <v>3.5</v>
      </c>
      <c r="K82" s="236"/>
      <c r="L82" s="237"/>
      <c r="M82" s="47"/>
      <c r="N82" s="115"/>
      <c r="O82" s="2029" t="s">
        <v>111</v>
      </c>
      <c r="P82" s="2129">
        <v>12</v>
      </c>
      <c r="Q82" s="2131"/>
      <c r="R82" s="2133"/>
    </row>
    <row r="83" spans="1:21" ht="16.5" customHeight="1" x14ac:dyDescent="0.2">
      <c r="A83" s="2003"/>
      <c r="B83" s="2101"/>
      <c r="C83" s="2122"/>
      <c r="D83" s="2116"/>
      <c r="E83" s="1983"/>
      <c r="F83" s="2092"/>
      <c r="G83" s="215"/>
      <c r="H83" s="25" t="s">
        <v>88</v>
      </c>
      <c r="I83" s="228">
        <f>J83+L83</f>
        <v>598.79999999999995</v>
      </c>
      <c r="J83" s="226"/>
      <c r="K83" s="226"/>
      <c r="L83" s="227">
        <v>598.79999999999995</v>
      </c>
      <c r="M83" s="70"/>
      <c r="N83" s="109"/>
      <c r="O83" s="2030"/>
      <c r="P83" s="2130"/>
      <c r="Q83" s="2132"/>
      <c r="R83" s="2134"/>
    </row>
    <row r="84" spans="1:21" ht="17.25" customHeight="1" x14ac:dyDescent="0.2">
      <c r="A84" s="2003"/>
      <c r="B84" s="2101"/>
      <c r="C84" s="2122"/>
      <c r="D84" s="2116"/>
      <c r="E84" s="50"/>
      <c r="F84" s="2092"/>
      <c r="G84" s="220" t="s">
        <v>203</v>
      </c>
      <c r="H84" s="25" t="s">
        <v>92</v>
      </c>
      <c r="I84" s="222">
        <f>J84+L84</f>
        <v>0</v>
      </c>
      <c r="J84" s="231"/>
      <c r="K84" s="231"/>
      <c r="L84" s="232"/>
      <c r="M84" s="23"/>
      <c r="N84" s="110"/>
      <c r="O84" s="2030"/>
      <c r="P84" s="64"/>
      <c r="Q84" s="64"/>
      <c r="R84" s="413"/>
    </row>
    <row r="85" spans="1:21" ht="20.25" customHeight="1" x14ac:dyDescent="0.2">
      <c r="A85" s="2003"/>
      <c r="B85" s="2101"/>
      <c r="C85" s="2122"/>
      <c r="D85" s="2116"/>
      <c r="E85" s="50"/>
      <c r="F85" s="2092"/>
      <c r="G85" s="215"/>
      <c r="H85" s="25" t="s">
        <v>36</v>
      </c>
      <c r="I85" s="228">
        <f>J85+L85</f>
        <v>0.5</v>
      </c>
      <c r="J85" s="229">
        <v>0.5</v>
      </c>
      <c r="K85" s="229">
        <v>0.3</v>
      </c>
      <c r="L85" s="230"/>
      <c r="M85" s="129"/>
      <c r="N85" s="180"/>
      <c r="O85" s="2135"/>
      <c r="P85" s="414"/>
      <c r="Q85" s="414"/>
      <c r="R85" s="413"/>
    </row>
    <row r="86" spans="1:21" ht="14.25" customHeight="1" x14ac:dyDescent="0.2">
      <c r="A86" s="2003"/>
      <c r="B86" s="2101"/>
      <c r="C86" s="2122"/>
      <c r="D86" s="2116"/>
      <c r="E86" s="50"/>
      <c r="F86" s="2092"/>
      <c r="G86" s="215"/>
      <c r="H86" s="16" t="s">
        <v>36</v>
      </c>
      <c r="I86" s="254"/>
      <c r="J86" s="226"/>
      <c r="K86" s="226"/>
      <c r="L86" s="227"/>
      <c r="M86" s="36"/>
      <c r="N86" s="181"/>
      <c r="O86" s="2135"/>
      <c r="P86" s="64"/>
      <c r="Q86" s="64"/>
      <c r="R86" s="413"/>
    </row>
    <row r="87" spans="1:21" ht="21.75" customHeight="1" thickBot="1" x14ac:dyDescent="0.25">
      <c r="A87" s="2004"/>
      <c r="B87" s="2113"/>
      <c r="C87" s="2123"/>
      <c r="D87" s="2117"/>
      <c r="E87" s="51"/>
      <c r="F87" s="2128"/>
      <c r="G87" s="217"/>
      <c r="H87" s="288" t="s">
        <v>10</v>
      </c>
      <c r="I87" s="250">
        <f>SUM(I82:I86)</f>
        <v>602.79999999999995</v>
      </c>
      <c r="J87" s="250">
        <f>SUM(J82:J86)</f>
        <v>4</v>
      </c>
      <c r="K87" s="250">
        <f>SUM(K82:K86)</f>
        <v>0.3</v>
      </c>
      <c r="L87" s="255">
        <f>SUM(L82:L86)</f>
        <v>598.79999999999995</v>
      </c>
      <c r="M87" s="286">
        <f>M86</f>
        <v>0</v>
      </c>
      <c r="N87" s="250">
        <f>SUM(N82:N86)</f>
        <v>0</v>
      </c>
      <c r="O87" s="2136"/>
      <c r="P87" s="148"/>
      <c r="Q87" s="148"/>
      <c r="R87" s="35"/>
    </row>
    <row r="88" spans="1:21" ht="12.75" customHeight="1" x14ac:dyDescent="0.2">
      <c r="A88" s="2002" t="s">
        <v>9</v>
      </c>
      <c r="B88" s="2112" t="s">
        <v>9</v>
      </c>
      <c r="C88" s="2121" t="s">
        <v>55</v>
      </c>
      <c r="D88" s="2005" t="s">
        <v>129</v>
      </c>
      <c r="E88" s="2124"/>
      <c r="F88" s="2127" t="s">
        <v>54</v>
      </c>
      <c r="G88" s="1988" t="s">
        <v>40</v>
      </c>
      <c r="H88" s="15" t="s">
        <v>36</v>
      </c>
      <c r="I88" s="247">
        <f>J88+L88</f>
        <v>150</v>
      </c>
      <c r="J88" s="236">
        <v>150</v>
      </c>
      <c r="K88" s="236"/>
      <c r="L88" s="237"/>
      <c r="M88" s="47"/>
      <c r="N88" s="47"/>
      <c r="O88" s="221" t="s">
        <v>57</v>
      </c>
      <c r="P88" s="219">
        <v>4</v>
      </c>
      <c r="Q88" s="219"/>
      <c r="R88" s="218"/>
    </row>
    <row r="89" spans="1:21" x14ac:dyDescent="0.2">
      <c r="A89" s="2003"/>
      <c r="B89" s="2101"/>
      <c r="C89" s="2122"/>
      <c r="D89" s="2006"/>
      <c r="E89" s="2125"/>
      <c r="F89" s="2092"/>
      <c r="G89" s="1989"/>
      <c r="H89" s="123"/>
      <c r="I89" s="240"/>
      <c r="J89" s="229"/>
      <c r="K89" s="229"/>
      <c r="L89" s="230"/>
      <c r="M89" s="52"/>
      <c r="N89" s="52"/>
      <c r="O89" s="17"/>
      <c r="P89" s="219"/>
      <c r="Q89" s="219"/>
      <c r="R89" s="218"/>
    </row>
    <row r="90" spans="1:21" ht="13.5" thickBot="1" x14ac:dyDescent="0.25">
      <c r="A90" s="2004"/>
      <c r="B90" s="2113"/>
      <c r="C90" s="2123"/>
      <c r="D90" s="2007"/>
      <c r="E90" s="2126"/>
      <c r="F90" s="2128"/>
      <c r="G90" s="217"/>
      <c r="H90" s="288" t="s">
        <v>10</v>
      </c>
      <c r="I90" s="250">
        <f t="shared" ref="I90:N90" si="2">SUM(I88:I89)</f>
        <v>150</v>
      </c>
      <c r="J90" s="244">
        <f t="shared" si="2"/>
        <v>150</v>
      </c>
      <c r="K90" s="244">
        <f t="shared" si="2"/>
        <v>0</v>
      </c>
      <c r="L90" s="244">
        <f t="shared" si="2"/>
        <v>0</v>
      </c>
      <c r="M90" s="286">
        <f t="shared" si="2"/>
        <v>0</v>
      </c>
      <c r="N90" s="286">
        <f t="shared" si="2"/>
        <v>0</v>
      </c>
      <c r="O90" s="18"/>
      <c r="P90" s="148"/>
      <c r="Q90" s="148"/>
      <c r="R90" s="35"/>
    </row>
    <row r="91" spans="1:21" ht="21" customHeight="1" x14ac:dyDescent="0.2">
      <c r="A91" s="2002" t="s">
        <v>9</v>
      </c>
      <c r="B91" s="2112" t="s">
        <v>9</v>
      </c>
      <c r="C91" s="2114" t="s">
        <v>44</v>
      </c>
      <c r="D91" s="2108" t="s">
        <v>188</v>
      </c>
      <c r="E91" s="2118" t="s">
        <v>169</v>
      </c>
      <c r="F91" s="2043" t="s">
        <v>53</v>
      </c>
      <c r="G91" s="1988" t="s">
        <v>90</v>
      </c>
      <c r="H91" s="347" t="s">
        <v>92</v>
      </c>
      <c r="I91" s="235">
        <f>J91+L91</f>
        <v>445</v>
      </c>
      <c r="J91" s="276"/>
      <c r="K91" s="276"/>
      <c r="L91" s="277">
        <v>445</v>
      </c>
      <c r="M91" s="319">
        <v>49.5</v>
      </c>
      <c r="N91" s="115"/>
      <c r="O91" s="2057" t="s">
        <v>200</v>
      </c>
      <c r="P91" s="152">
        <v>50</v>
      </c>
      <c r="Q91" s="152">
        <v>50</v>
      </c>
      <c r="R91" s="153"/>
    </row>
    <row r="92" spans="1:21" ht="18" customHeight="1" x14ac:dyDescent="0.2">
      <c r="A92" s="2003"/>
      <c r="B92" s="2101"/>
      <c r="C92" s="2102"/>
      <c r="D92" s="2116"/>
      <c r="E92" s="2119"/>
      <c r="F92" s="2044"/>
      <c r="G92" s="1989"/>
      <c r="H92" s="12" t="s">
        <v>36</v>
      </c>
      <c r="I92" s="222">
        <f>L92</f>
        <v>0.1</v>
      </c>
      <c r="J92" s="231"/>
      <c r="K92" s="231"/>
      <c r="L92" s="232">
        <v>0.1</v>
      </c>
      <c r="M92" s="84"/>
      <c r="N92" s="56"/>
      <c r="O92" s="2106"/>
      <c r="P92" s="76"/>
      <c r="Q92" s="76"/>
      <c r="R92" s="77"/>
    </row>
    <row r="93" spans="1:21" ht="27" customHeight="1" x14ac:dyDescent="0.2">
      <c r="A93" s="2003"/>
      <c r="B93" s="2101"/>
      <c r="C93" s="2102"/>
      <c r="D93" s="2116"/>
      <c r="E93" s="2119"/>
      <c r="F93" s="2044"/>
      <c r="G93" s="1989"/>
      <c r="H93" s="12" t="s">
        <v>93</v>
      </c>
      <c r="I93" s="222">
        <f>J93+L93</f>
        <v>93.4</v>
      </c>
      <c r="J93" s="231"/>
      <c r="K93" s="231"/>
      <c r="L93" s="232">
        <v>93.4</v>
      </c>
      <c r="M93" s="84">
        <v>10.4</v>
      </c>
      <c r="N93" s="109"/>
      <c r="O93" s="2107"/>
      <c r="P93" s="79"/>
      <c r="Q93" s="79"/>
      <c r="R93" s="154"/>
    </row>
    <row r="94" spans="1:21" ht="29.25" thickBot="1" x14ac:dyDescent="0.25">
      <c r="A94" s="2004"/>
      <c r="B94" s="2113"/>
      <c r="C94" s="2115"/>
      <c r="D94" s="2117"/>
      <c r="E94" s="2120"/>
      <c r="F94" s="2075"/>
      <c r="G94" s="1990"/>
      <c r="H94" s="288" t="s">
        <v>10</v>
      </c>
      <c r="I94" s="250">
        <f t="shared" ref="I94:N94" si="3">SUM(I91:I93)</f>
        <v>538.5</v>
      </c>
      <c r="J94" s="250">
        <f t="shared" si="3"/>
        <v>0</v>
      </c>
      <c r="K94" s="250">
        <f t="shared" si="3"/>
        <v>0</v>
      </c>
      <c r="L94" s="255">
        <f t="shared" si="3"/>
        <v>538.5</v>
      </c>
      <c r="M94" s="286">
        <f>SUM(M91:M93)</f>
        <v>59.9</v>
      </c>
      <c r="N94" s="250">
        <f t="shared" si="3"/>
        <v>0</v>
      </c>
      <c r="O94" s="142" t="s">
        <v>199</v>
      </c>
      <c r="P94" s="489">
        <v>50</v>
      </c>
      <c r="Q94" s="489">
        <v>50</v>
      </c>
      <c r="R94" s="491"/>
      <c r="S94" s="14"/>
      <c r="U94" s="13"/>
    </row>
    <row r="95" spans="1:21" ht="18" customHeight="1" x14ac:dyDescent="0.2">
      <c r="A95" s="371" t="s">
        <v>9</v>
      </c>
      <c r="B95" s="430" t="s">
        <v>9</v>
      </c>
      <c r="C95" s="433" t="s">
        <v>161</v>
      </c>
      <c r="D95" s="2108" t="s">
        <v>179</v>
      </c>
      <c r="E95" s="434"/>
      <c r="F95" s="192"/>
      <c r="G95" s="196"/>
      <c r="H95" s="463" t="s">
        <v>36</v>
      </c>
      <c r="I95" s="256">
        <f>J95+L95</f>
        <v>69.2</v>
      </c>
      <c r="J95" s="257">
        <v>19.2</v>
      </c>
      <c r="K95" s="257"/>
      <c r="L95" s="258">
        <v>50</v>
      </c>
      <c r="M95" s="208">
        <v>150</v>
      </c>
      <c r="N95" s="208"/>
      <c r="O95" s="2110" t="s">
        <v>177</v>
      </c>
      <c r="P95" s="190">
        <f>P98+P99+P100+P101+P102+P106</f>
        <v>4</v>
      </c>
      <c r="Q95" s="436">
        <v>2</v>
      </c>
      <c r="R95" s="438"/>
    </row>
    <row r="96" spans="1:21" ht="22.5" customHeight="1" x14ac:dyDescent="0.2">
      <c r="A96" s="95"/>
      <c r="B96" s="431"/>
      <c r="C96" s="432"/>
      <c r="D96" s="2109"/>
      <c r="E96" s="440"/>
      <c r="F96" s="202"/>
      <c r="G96" s="203"/>
      <c r="H96" s="464" t="s">
        <v>88</v>
      </c>
      <c r="I96" s="259"/>
      <c r="J96" s="260"/>
      <c r="K96" s="260"/>
      <c r="L96" s="261"/>
      <c r="M96" s="209">
        <v>227.3</v>
      </c>
      <c r="N96" s="209">
        <v>243.3</v>
      </c>
      <c r="O96" s="2111"/>
      <c r="P96" s="189"/>
      <c r="Q96" s="437"/>
      <c r="R96" s="439"/>
    </row>
    <row r="97" spans="1:21" ht="25.5" x14ac:dyDescent="0.2">
      <c r="A97" s="95"/>
      <c r="B97" s="431"/>
      <c r="C97" s="432"/>
      <c r="D97" s="358" t="s">
        <v>178</v>
      </c>
      <c r="E97" s="435"/>
      <c r="F97" s="193" t="s">
        <v>41</v>
      </c>
      <c r="G97" s="197" t="s">
        <v>90</v>
      </c>
      <c r="H97" s="464" t="s">
        <v>92</v>
      </c>
      <c r="I97" s="259">
        <f>J97</f>
        <v>108.4</v>
      </c>
      <c r="J97" s="260">
        <v>108.4</v>
      </c>
      <c r="K97" s="260"/>
      <c r="L97" s="261"/>
      <c r="M97" s="209">
        <v>2802.7</v>
      </c>
      <c r="N97" s="209">
        <v>2999.4</v>
      </c>
      <c r="O97" s="200"/>
      <c r="P97" s="189"/>
      <c r="Q97" s="437"/>
      <c r="R97" s="439"/>
    </row>
    <row r="98" spans="1:21" ht="30" customHeight="1" x14ac:dyDescent="0.2">
      <c r="A98" s="372"/>
      <c r="B98" s="448"/>
      <c r="C98" s="368"/>
      <c r="D98" s="201" t="s">
        <v>172</v>
      </c>
      <c r="E98" s="443" t="s">
        <v>182</v>
      </c>
      <c r="F98" s="195"/>
      <c r="G98" s="199"/>
      <c r="H98" s="465"/>
      <c r="I98" s="444"/>
      <c r="J98" s="445"/>
      <c r="K98" s="445"/>
      <c r="L98" s="446"/>
      <c r="M98" s="447"/>
      <c r="N98" s="447"/>
      <c r="O98" s="136" t="s">
        <v>176</v>
      </c>
      <c r="P98" s="137">
        <v>1</v>
      </c>
      <c r="Q98" s="137"/>
      <c r="R98" s="133"/>
    </row>
    <row r="99" spans="1:21" ht="41.25" customHeight="1" x14ac:dyDescent="0.2">
      <c r="A99" s="369"/>
      <c r="B99" s="370"/>
      <c r="C99" s="368"/>
      <c r="D99" s="441" t="s">
        <v>173</v>
      </c>
      <c r="E99" s="442" t="s">
        <v>182</v>
      </c>
      <c r="F99" s="194"/>
      <c r="G99" s="198"/>
      <c r="H99" s="466"/>
      <c r="I99" s="262"/>
      <c r="J99" s="263"/>
      <c r="K99" s="263"/>
      <c r="L99" s="264"/>
      <c r="M99" s="210"/>
      <c r="N99" s="210"/>
      <c r="O99" s="185" t="s">
        <v>176</v>
      </c>
      <c r="P99" s="184">
        <v>1</v>
      </c>
      <c r="Q99" s="184"/>
      <c r="R99" s="138"/>
    </row>
    <row r="100" spans="1:21" ht="38.25" x14ac:dyDescent="0.2">
      <c r="A100" s="369"/>
      <c r="B100" s="370"/>
      <c r="C100" s="368"/>
      <c r="D100" s="201" t="s">
        <v>174</v>
      </c>
      <c r="E100" s="207" t="s">
        <v>183</v>
      </c>
      <c r="F100" s="194"/>
      <c r="G100" s="198"/>
      <c r="H100" s="466"/>
      <c r="I100" s="262"/>
      <c r="J100" s="263"/>
      <c r="K100" s="263"/>
      <c r="L100" s="264"/>
      <c r="M100" s="210"/>
      <c r="N100" s="210"/>
      <c r="O100" s="186" t="s">
        <v>176</v>
      </c>
      <c r="P100" s="187">
        <v>1</v>
      </c>
      <c r="Q100" s="187"/>
      <c r="R100" s="188"/>
    </row>
    <row r="101" spans="1:21" ht="38.25" x14ac:dyDescent="0.2">
      <c r="A101" s="369"/>
      <c r="B101" s="370"/>
      <c r="C101" s="368"/>
      <c r="D101" s="201" t="s">
        <v>175</v>
      </c>
      <c r="E101" s="191"/>
      <c r="F101" s="195"/>
      <c r="G101" s="199"/>
      <c r="H101" s="467"/>
      <c r="I101" s="360"/>
      <c r="J101" s="361"/>
      <c r="K101" s="361"/>
      <c r="L101" s="362"/>
      <c r="M101" s="471"/>
      <c r="N101" s="363"/>
      <c r="O101" s="136" t="s">
        <v>176</v>
      </c>
      <c r="P101" s="184">
        <v>1</v>
      </c>
      <c r="Q101" s="184"/>
      <c r="R101" s="138"/>
    </row>
    <row r="102" spans="1:21" ht="12.75" customHeight="1" x14ac:dyDescent="0.2">
      <c r="A102" s="2003"/>
      <c r="B102" s="2103"/>
      <c r="C102" s="2102"/>
      <c r="D102" s="2073" t="s">
        <v>165</v>
      </c>
      <c r="E102" s="1983" t="s">
        <v>91</v>
      </c>
      <c r="F102" s="2044" t="s">
        <v>53</v>
      </c>
      <c r="G102" s="1989" t="s">
        <v>90</v>
      </c>
      <c r="H102" s="468"/>
      <c r="I102" s="367"/>
      <c r="J102" s="231"/>
      <c r="K102" s="231"/>
      <c r="L102" s="252"/>
      <c r="M102" s="365"/>
      <c r="N102" s="365"/>
      <c r="O102" s="2097" t="s">
        <v>159</v>
      </c>
      <c r="P102" s="55"/>
      <c r="Q102" s="54">
        <v>1</v>
      </c>
      <c r="R102" s="179"/>
      <c r="U102" s="13"/>
    </row>
    <row r="103" spans="1:21" x14ac:dyDescent="0.2">
      <c r="A103" s="2003"/>
      <c r="B103" s="2103"/>
      <c r="C103" s="2102"/>
      <c r="D103" s="2073"/>
      <c r="E103" s="1983"/>
      <c r="F103" s="2044"/>
      <c r="G103" s="1989"/>
      <c r="H103" s="469"/>
      <c r="I103" s="324"/>
      <c r="J103" s="226"/>
      <c r="K103" s="226"/>
      <c r="L103" s="251"/>
      <c r="M103" s="112"/>
      <c r="N103" s="112"/>
      <c r="O103" s="2098"/>
      <c r="P103" s="134"/>
      <c r="Q103" s="135"/>
      <c r="R103" s="138"/>
      <c r="U103" s="13"/>
    </row>
    <row r="104" spans="1:21" x14ac:dyDescent="0.2">
      <c r="A104" s="2003"/>
      <c r="B104" s="2103"/>
      <c r="C104" s="2102"/>
      <c r="D104" s="2073"/>
      <c r="E104" s="1983"/>
      <c r="F104" s="2044"/>
      <c r="G104" s="1989"/>
      <c r="H104" s="469"/>
      <c r="I104" s="324"/>
      <c r="J104" s="226"/>
      <c r="K104" s="226"/>
      <c r="L104" s="251"/>
      <c r="M104" s="112"/>
      <c r="N104" s="112"/>
      <c r="O104" s="2099"/>
      <c r="P104" s="134"/>
      <c r="Q104" s="135"/>
      <c r="R104" s="138"/>
      <c r="U104" s="13"/>
    </row>
    <row r="105" spans="1:21" ht="24.75" customHeight="1" x14ac:dyDescent="0.2">
      <c r="A105" s="2003"/>
      <c r="B105" s="2103"/>
      <c r="C105" s="2102"/>
      <c r="D105" s="2104"/>
      <c r="E105" s="2105"/>
      <c r="F105" s="2095"/>
      <c r="G105" s="2096"/>
      <c r="H105" s="470"/>
      <c r="I105" s="472"/>
      <c r="J105" s="343"/>
      <c r="K105" s="343"/>
      <c r="L105" s="473"/>
      <c r="M105" s="357"/>
      <c r="N105" s="357"/>
      <c r="O105" s="2100"/>
      <c r="P105" s="60"/>
      <c r="Q105" s="60"/>
      <c r="R105" s="149"/>
      <c r="U105" s="13"/>
    </row>
    <row r="106" spans="1:21" ht="12.75" customHeight="1" x14ac:dyDescent="0.2">
      <c r="A106" s="2003"/>
      <c r="B106" s="2101"/>
      <c r="C106" s="2102"/>
      <c r="D106" s="2006" t="s">
        <v>192</v>
      </c>
      <c r="E106" s="1983" t="s">
        <v>91</v>
      </c>
      <c r="F106" s="2092" t="s">
        <v>44</v>
      </c>
      <c r="G106" s="1989" t="s">
        <v>90</v>
      </c>
      <c r="H106" s="366"/>
      <c r="I106" s="367"/>
      <c r="J106" s="231"/>
      <c r="K106" s="231"/>
      <c r="L106" s="252"/>
      <c r="M106" s="365"/>
      <c r="N106" s="365"/>
      <c r="O106" s="2093" t="s">
        <v>155</v>
      </c>
      <c r="P106" s="219"/>
      <c r="Q106" s="219">
        <v>1</v>
      </c>
      <c r="R106" s="218"/>
    </row>
    <row r="107" spans="1:21" x14ac:dyDescent="0.2">
      <c r="A107" s="2003"/>
      <c r="B107" s="2101"/>
      <c r="C107" s="2102"/>
      <c r="D107" s="2006"/>
      <c r="E107" s="1983"/>
      <c r="F107" s="2092"/>
      <c r="G107" s="1989"/>
      <c r="H107" s="141"/>
      <c r="I107" s="324"/>
      <c r="J107" s="226"/>
      <c r="K107" s="226"/>
      <c r="L107" s="251"/>
      <c r="M107" s="112"/>
      <c r="N107" s="112"/>
      <c r="O107" s="2094"/>
      <c r="P107" s="219"/>
      <c r="Q107" s="219"/>
      <c r="R107" s="218"/>
    </row>
    <row r="108" spans="1:21" x14ac:dyDescent="0.2">
      <c r="A108" s="2003"/>
      <c r="B108" s="2101"/>
      <c r="C108" s="2102"/>
      <c r="D108" s="2006"/>
      <c r="E108" s="1983"/>
      <c r="F108" s="2092"/>
      <c r="G108" s="1989"/>
      <c r="H108" s="141"/>
      <c r="I108" s="238"/>
      <c r="J108" s="226"/>
      <c r="K108" s="226"/>
      <c r="L108" s="251"/>
      <c r="M108" s="181"/>
      <c r="N108" s="181"/>
      <c r="O108" s="2030"/>
      <c r="P108" s="219"/>
      <c r="Q108" s="219"/>
      <c r="R108" s="218"/>
    </row>
    <row r="109" spans="1:21" ht="15" customHeight="1" thickBot="1" x14ac:dyDescent="0.25">
      <c r="A109" s="2003"/>
      <c r="B109" s="2101"/>
      <c r="C109" s="2102"/>
      <c r="D109" s="2006"/>
      <c r="E109" s="1983"/>
      <c r="F109" s="2092"/>
      <c r="G109" s="1989"/>
      <c r="H109" s="280" t="s">
        <v>10</v>
      </c>
      <c r="I109" s="281">
        <f>I97+I95</f>
        <v>177.60000000000002</v>
      </c>
      <c r="J109" s="234">
        <f>J97+J95</f>
        <v>127.60000000000001</v>
      </c>
      <c r="K109" s="234">
        <f>K97+K95</f>
        <v>0</v>
      </c>
      <c r="L109" s="282">
        <f>L97+L95</f>
        <v>50</v>
      </c>
      <c r="M109" s="233">
        <f>M95+M96+M97</f>
        <v>3180</v>
      </c>
      <c r="N109" s="281">
        <f>N95+N96+N97</f>
        <v>3242.7000000000003</v>
      </c>
      <c r="O109" s="2030"/>
      <c r="P109" s="502"/>
      <c r="Q109" s="502"/>
      <c r="R109" s="504"/>
    </row>
    <row r="110" spans="1:21" ht="30.75" customHeight="1" thickBot="1" x14ac:dyDescent="0.25">
      <c r="A110" s="94" t="s">
        <v>9</v>
      </c>
      <c r="B110" s="11" t="s">
        <v>9</v>
      </c>
      <c r="C110" s="2023" t="s">
        <v>12</v>
      </c>
      <c r="D110" s="2023"/>
      <c r="E110" s="2023"/>
      <c r="F110" s="2023"/>
      <c r="G110" s="2023"/>
      <c r="H110" s="2023"/>
      <c r="I110" s="545" t="s">
        <v>215</v>
      </c>
      <c r="J110" s="562" t="s">
        <v>216</v>
      </c>
      <c r="K110" s="474">
        <f>K109+K94+K90+K87+K81+K77+K61+K44+K32</f>
        <v>742.7</v>
      </c>
      <c r="L110" s="475">
        <f>L109+L94+L90+L87+L81+L77+L61+L44+L32</f>
        <v>1374.7</v>
      </c>
      <c r="M110" s="24">
        <f>M109+M94+M90+M87+M81+M77+M61+M44+M32</f>
        <v>22958.300000000003</v>
      </c>
      <c r="N110" s="182">
        <f>N109+N94+N90+N87+N81+N77+N61+N44+N32</f>
        <v>21634.5</v>
      </c>
      <c r="O110" s="477"/>
      <c r="P110" s="478"/>
      <c r="Q110" s="478"/>
      <c r="R110" s="479"/>
    </row>
    <row r="111" spans="1:21" ht="16.5" customHeight="1" thickBot="1" x14ac:dyDescent="0.25">
      <c r="A111" s="94" t="s">
        <v>9</v>
      </c>
      <c r="B111" s="11" t="s">
        <v>11</v>
      </c>
      <c r="C111" s="2077" t="s">
        <v>71</v>
      </c>
      <c r="D111" s="2078"/>
      <c r="E111" s="2078"/>
      <c r="F111" s="2078"/>
      <c r="G111" s="2078"/>
      <c r="H111" s="2078"/>
      <c r="I111" s="2078"/>
      <c r="J111" s="2078"/>
      <c r="K111" s="2078"/>
      <c r="L111" s="2078"/>
      <c r="M111" s="2078"/>
      <c r="N111" s="2078"/>
      <c r="O111" s="2078"/>
      <c r="P111" s="2078"/>
      <c r="Q111" s="2078"/>
      <c r="R111" s="2079"/>
    </row>
    <row r="112" spans="1:21" ht="16.5" customHeight="1" x14ac:dyDescent="0.2">
      <c r="A112" s="2002" t="s">
        <v>9</v>
      </c>
      <c r="B112" s="2018" t="s">
        <v>11</v>
      </c>
      <c r="C112" s="2066" t="s">
        <v>9</v>
      </c>
      <c r="D112" s="2072" t="s">
        <v>108</v>
      </c>
      <c r="E112" s="2083"/>
      <c r="F112" s="2043" t="s">
        <v>54</v>
      </c>
      <c r="G112" s="1988" t="s">
        <v>40</v>
      </c>
      <c r="H112" s="19" t="s">
        <v>36</v>
      </c>
      <c r="I112" s="247">
        <f>J112+L112</f>
        <v>513.5</v>
      </c>
      <c r="J112" s="236">
        <v>513.5</v>
      </c>
      <c r="K112" s="236"/>
      <c r="L112" s="237"/>
      <c r="M112" s="42">
        <v>582</v>
      </c>
      <c r="N112" s="42">
        <v>582</v>
      </c>
      <c r="O112" s="2029" t="s">
        <v>74</v>
      </c>
      <c r="P112" s="488">
        <v>18</v>
      </c>
      <c r="Q112" s="488">
        <v>18</v>
      </c>
      <c r="R112" s="490">
        <v>18</v>
      </c>
      <c r="U112" s="13"/>
    </row>
    <row r="113" spans="1:24" ht="15.75" customHeight="1" x14ac:dyDescent="0.2">
      <c r="A113" s="2003"/>
      <c r="B113" s="2019"/>
      <c r="C113" s="2071"/>
      <c r="D113" s="2073"/>
      <c r="E113" s="2084"/>
      <c r="F113" s="2044"/>
      <c r="G113" s="1989"/>
      <c r="H113" s="26"/>
      <c r="I113" s="240">
        <f>J113+L113</f>
        <v>0</v>
      </c>
      <c r="J113" s="226"/>
      <c r="K113" s="226"/>
      <c r="L113" s="227"/>
      <c r="M113" s="70"/>
      <c r="N113" s="70"/>
      <c r="O113" s="2030"/>
      <c r="P113" s="32"/>
      <c r="Q113" s="32"/>
      <c r="R113" s="150"/>
      <c r="U113" s="13"/>
    </row>
    <row r="114" spans="1:24" ht="14.25" customHeight="1" x14ac:dyDescent="0.2">
      <c r="A114" s="2003"/>
      <c r="B114" s="2019"/>
      <c r="C114" s="2071"/>
      <c r="D114" s="2073"/>
      <c r="E114" s="2084"/>
      <c r="F114" s="2044"/>
      <c r="G114" s="1989"/>
      <c r="H114" s="20"/>
      <c r="I114" s="222">
        <f>J114+L114</f>
        <v>0</v>
      </c>
      <c r="J114" s="231"/>
      <c r="K114" s="231"/>
      <c r="L114" s="232"/>
      <c r="M114" s="23"/>
      <c r="N114" s="23"/>
      <c r="O114" s="2030"/>
      <c r="P114" s="32"/>
      <c r="Q114" s="32"/>
      <c r="R114" s="150"/>
      <c r="U114" s="13"/>
    </row>
    <row r="115" spans="1:24" ht="21.75" customHeight="1" thickBot="1" x14ac:dyDescent="0.25">
      <c r="A115" s="2004"/>
      <c r="B115" s="2020"/>
      <c r="C115" s="2067"/>
      <c r="D115" s="2074"/>
      <c r="E115" s="2085"/>
      <c r="F115" s="2075"/>
      <c r="G115" s="1990"/>
      <c r="H115" s="288" t="s">
        <v>10</v>
      </c>
      <c r="I115" s="250">
        <f t="shared" ref="I115:N115" si="4">SUM(I112:I114)</f>
        <v>513.5</v>
      </c>
      <c r="J115" s="244">
        <f t="shared" si="4"/>
        <v>513.5</v>
      </c>
      <c r="K115" s="244">
        <f t="shared" si="4"/>
        <v>0</v>
      </c>
      <c r="L115" s="244">
        <f t="shared" si="4"/>
        <v>0</v>
      </c>
      <c r="M115" s="286">
        <f t="shared" si="4"/>
        <v>582</v>
      </c>
      <c r="N115" s="286">
        <f t="shared" si="4"/>
        <v>582</v>
      </c>
      <c r="O115" s="18"/>
      <c r="P115" s="489"/>
      <c r="Q115" s="489"/>
      <c r="R115" s="491"/>
      <c r="U115" s="13"/>
    </row>
    <row r="116" spans="1:24" ht="12.75" customHeight="1" x14ac:dyDescent="0.2">
      <c r="A116" s="2002" t="s">
        <v>9</v>
      </c>
      <c r="B116" s="2018" t="s">
        <v>11</v>
      </c>
      <c r="C116" s="2066" t="s">
        <v>11</v>
      </c>
      <c r="D116" s="2072" t="s">
        <v>75</v>
      </c>
      <c r="E116" s="2083"/>
      <c r="F116" s="2043" t="s">
        <v>54</v>
      </c>
      <c r="G116" s="1988" t="s">
        <v>40</v>
      </c>
      <c r="H116" s="19" t="s">
        <v>36</v>
      </c>
      <c r="I116" s="247">
        <f>J116+L116</f>
        <v>5</v>
      </c>
      <c r="J116" s="236">
        <v>5</v>
      </c>
      <c r="K116" s="236"/>
      <c r="L116" s="237"/>
      <c r="M116" s="42">
        <v>5</v>
      </c>
      <c r="N116" s="42">
        <v>5</v>
      </c>
      <c r="O116" s="2029" t="s">
        <v>105</v>
      </c>
      <c r="P116" s="488">
        <v>3</v>
      </c>
      <c r="Q116" s="488">
        <v>3</v>
      </c>
      <c r="R116" s="490">
        <v>3</v>
      </c>
      <c r="U116" s="13"/>
    </row>
    <row r="117" spans="1:24" ht="12.75" customHeight="1" x14ac:dyDescent="0.2">
      <c r="A117" s="2003"/>
      <c r="B117" s="2019"/>
      <c r="C117" s="2071"/>
      <c r="D117" s="2073"/>
      <c r="E117" s="2084"/>
      <c r="F117" s="2044"/>
      <c r="G117" s="1989"/>
      <c r="H117" s="20"/>
      <c r="I117" s="254"/>
      <c r="J117" s="226"/>
      <c r="K117" s="226"/>
      <c r="L117" s="227"/>
      <c r="M117" s="46"/>
      <c r="N117" s="46"/>
      <c r="O117" s="2030"/>
      <c r="P117" s="32"/>
      <c r="Q117" s="32"/>
      <c r="R117" s="150"/>
      <c r="U117" s="13"/>
    </row>
    <row r="118" spans="1:24" ht="13.5" thickBot="1" x14ac:dyDescent="0.25">
      <c r="A118" s="2004"/>
      <c r="B118" s="2020"/>
      <c r="C118" s="2067"/>
      <c r="D118" s="2074"/>
      <c r="E118" s="2085"/>
      <c r="F118" s="2075"/>
      <c r="G118" s="1990"/>
      <c r="H118" s="288" t="s">
        <v>10</v>
      </c>
      <c r="I118" s="250">
        <f t="shared" ref="I118:N118" si="5">SUM(I116:I116)</f>
        <v>5</v>
      </c>
      <c r="J118" s="244">
        <f t="shared" si="5"/>
        <v>5</v>
      </c>
      <c r="K118" s="244">
        <f t="shared" si="5"/>
        <v>0</v>
      </c>
      <c r="L118" s="244">
        <f t="shared" si="5"/>
        <v>0</v>
      </c>
      <c r="M118" s="286">
        <f t="shared" si="5"/>
        <v>5</v>
      </c>
      <c r="N118" s="286">
        <f t="shared" si="5"/>
        <v>5</v>
      </c>
      <c r="O118" s="2091"/>
      <c r="P118" s="489"/>
      <c r="Q118" s="489"/>
      <c r="R118" s="491"/>
      <c r="U118" s="13"/>
    </row>
    <row r="119" spans="1:24" ht="12.75" customHeight="1" x14ac:dyDescent="0.2">
      <c r="A119" s="2002" t="s">
        <v>9</v>
      </c>
      <c r="B119" s="2018" t="s">
        <v>11</v>
      </c>
      <c r="C119" s="2066" t="s">
        <v>38</v>
      </c>
      <c r="D119" s="2072" t="s">
        <v>104</v>
      </c>
      <c r="E119" s="2083"/>
      <c r="F119" s="2043" t="s">
        <v>54</v>
      </c>
      <c r="G119" s="1988" t="s">
        <v>40</v>
      </c>
      <c r="H119" s="425" t="s">
        <v>36</v>
      </c>
      <c r="I119" s="426">
        <f>J119+L119</f>
        <v>90</v>
      </c>
      <c r="J119" s="427">
        <v>90</v>
      </c>
      <c r="K119" s="427"/>
      <c r="L119" s="277"/>
      <c r="M119" s="346">
        <v>46</v>
      </c>
      <c r="N119" s="346">
        <v>46</v>
      </c>
      <c r="O119" s="2029" t="s">
        <v>76</v>
      </c>
      <c r="P119" s="488">
        <v>350</v>
      </c>
      <c r="Q119" s="488">
        <v>350</v>
      </c>
      <c r="R119" s="490">
        <v>350</v>
      </c>
      <c r="U119" s="13"/>
    </row>
    <row r="120" spans="1:24" ht="15.75" customHeight="1" x14ac:dyDescent="0.2">
      <c r="A120" s="2003"/>
      <c r="B120" s="2019"/>
      <c r="C120" s="2071"/>
      <c r="D120" s="2073"/>
      <c r="E120" s="2084"/>
      <c r="F120" s="2044"/>
      <c r="G120" s="1989"/>
      <c r="H120" s="20"/>
      <c r="I120" s="326"/>
      <c r="J120" s="267"/>
      <c r="K120" s="267"/>
      <c r="L120" s="227"/>
      <c r="M120" s="70"/>
      <c r="N120" s="70"/>
      <c r="O120" s="2030"/>
      <c r="P120" s="32"/>
      <c r="Q120" s="32"/>
      <c r="R120" s="150"/>
      <c r="U120" s="13"/>
    </row>
    <row r="121" spans="1:24" x14ac:dyDescent="0.2">
      <c r="A121" s="2003"/>
      <c r="B121" s="2019"/>
      <c r="C121" s="2071"/>
      <c r="D121" s="2073"/>
      <c r="E121" s="2084"/>
      <c r="F121" s="2044"/>
      <c r="G121" s="1989"/>
      <c r="H121" s="20"/>
      <c r="I121" s="326"/>
      <c r="J121" s="267"/>
      <c r="K121" s="267"/>
      <c r="L121" s="227"/>
      <c r="M121" s="70"/>
      <c r="N121" s="70"/>
      <c r="O121" s="2030" t="s">
        <v>77</v>
      </c>
      <c r="P121" s="32">
        <v>30</v>
      </c>
      <c r="Q121" s="32">
        <v>30</v>
      </c>
      <c r="R121" s="150">
        <v>30</v>
      </c>
      <c r="U121" s="13"/>
    </row>
    <row r="122" spans="1:24" ht="35.25" customHeight="1" x14ac:dyDescent="0.2">
      <c r="A122" s="2003"/>
      <c r="B122" s="2019"/>
      <c r="C122" s="2071"/>
      <c r="D122" s="2073"/>
      <c r="E122" s="2084"/>
      <c r="F122" s="2044"/>
      <c r="G122" s="1989"/>
      <c r="H122" s="20"/>
      <c r="I122" s="268"/>
      <c r="J122" s="267"/>
      <c r="K122" s="267"/>
      <c r="L122" s="227"/>
      <c r="M122" s="36"/>
      <c r="N122" s="36"/>
      <c r="O122" s="2030"/>
      <c r="P122" s="32"/>
      <c r="Q122" s="32"/>
      <c r="R122" s="150"/>
      <c r="U122" s="13"/>
    </row>
    <row r="123" spans="1:24" ht="17.25" customHeight="1" thickBot="1" x14ac:dyDescent="0.25">
      <c r="A123" s="2004"/>
      <c r="B123" s="2020"/>
      <c r="C123" s="2067"/>
      <c r="D123" s="2074"/>
      <c r="E123" s="2085"/>
      <c r="F123" s="2075"/>
      <c r="G123" s="1990"/>
      <c r="H123" s="288" t="s">
        <v>10</v>
      </c>
      <c r="I123" s="269">
        <f t="shared" ref="I123:N123" si="6">SUM(I119:I122)</f>
        <v>90</v>
      </c>
      <c r="J123" s="270">
        <f t="shared" si="6"/>
        <v>90</v>
      </c>
      <c r="K123" s="270">
        <f t="shared" si="6"/>
        <v>0</v>
      </c>
      <c r="L123" s="244">
        <f t="shared" si="6"/>
        <v>0</v>
      </c>
      <c r="M123" s="286">
        <f t="shared" si="6"/>
        <v>46</v>
      </c>
      <c r="N123" s="286">
        <f t="shared" si="6"/>
        <v>46</v>
      </c>
      <c r="O123" s="18" t="s">
        <v>139</v>
      </c>
      <c r="P123" s="489">
        <v>30</v>
      </c>
      <c r="Q123" s="489">
        <v>30</v>
      </c>
      <c r="R123" s="491">
        <v>30</v>
      </c>
      <c r="U123" s="13"/>
    </row>
    <row r="124" spans="1:24" ht="12.75" customHeight="1" x14ac:dyDescent="0.2">
      <c r="A124" s="2002" t="s">
        <v>9</v>
      </c>
      <c r="B124" s="2018" t="s">
        <v>11</v>
      </c>
      <c r="C124" s="2066" t="s">
        <v>53</v>
      </c>
      <c r="D124" s="2072" t="s">
        <v>80</v>
      </c>
      <c r="E124" s="2083"/>
      <c r="F124" s="2043" t="s">
        <v>54</v>
      </c>
      <c r="G124" s="1988" t="s">
        <v>40</v>
      </c>
      <c r="H124" s="19" t="s">
        <v>36</v>
      </c>
      <c r="I124" s="265">
        <f>J124+L124</f>
        <v>6</v>
      </c>
      <c r="J124" s="266">
        <v>6</v>
      </c>
      <c r="K124" s="266"/>
      <c r="L124" s="237"/>
      <c r="M124" s="42">
        <v>6</v>
      </c>
      <c r="N124" s="42">
        <v>6</v>
      </c>
      <c r="O124" s="2029" t="s">
        <v>81</v>
      </c>
      <c r="P124" s="488">
        <v>20</v>
      </c>
      <c r="Q124" s="488">
        <v>20</v>
      </c>
      <c r="R124" s="490">
        <v>20</v>
      </c>
      <c r="U124" s="13"/>
    </row>
    <row r="125" spans="1:24" x14ac:dyDescent="0.2">
      <c r="A125" s="2003"/>
      <c r="B125" s="2019"/>
      <c r="C125" s="2071"/>
      <c r="D125" s="2073"/>
      <c r="E125" s="2084"/>
      <c r="F125" s="2044"/>
      <c r="G125" s="1989"/>
      <c r="H125" s="26"/>
      <c r="I125" s="242">
        <f>J125+L125</f>
        <v>0</v>
      </c>
      <c r="J125" s="267"/>
      <c r="K125" s="267"/>
      <c r="L125" s="227"/>
      <c r="M125" s="70"/>
      <c r="N125" s="70"/>
      <c r="O125" s="2030"/>
      <c r="P125" s="32"/>
      <c r="Q125" s="32"/>
      <c r="R125" s="150"/>
      <c r="U125" s="13"/>
    </row>
    <row r="126" spans="1:24" ht="13.5" thickBot="1" x14ac:dyDescent="0.25">
      <c r="A126" s="2004"/>
      <c r="B126" s="2020"/>
      <c r="C126" s="2067"/>
      <c r="D126" s="2074"/>
      <c r="E126" s="2085"/>
      <c r="F126" s="2075"/>
      <c r="G126" s="1990"/>
      <c r="H126" s="288" t="s">
        <v>10</v>
      </c>
      <c r="I126" s="269">
        <f t="shared" ref="I126:N126" si="7">SUM(I124:I125)</f>
        <v>6</v>
      </c>
      <c r="J126" s="270">
        <f t="shared" si="7"/>
        <v>6</v>
      </c>
      <c r="K126" s="270">
        <f t="shared" si="7"/>
        <v>0</v>
      </c>
      <c r="L126" s="244">
        <f t="shared" si="7"/>
        <v>0</v>
      </c>
      <c r="M126" s="286">
        <f t="shared" si="7"/>
        <v>6</v>
      </c>
      <c r="N126" s="286">
        <f t="shared" si="7"/>
        <v>6</v>
      </c>
      <c r="O126" s="18"/>
      <c r="P126" s="489"/>
      <c r="Q126" s="489"/>
      <c r="R126" s="491"/>
      <c r="U126" s="13"/>
    </row>
    <row r="127" spans="1:24" ht="41.25" customHeight="1" x14ac:dyDescent="0.2">
      <c r="A127" s="2002" t="s">
        <v>9</v>
      </c>
      <c r="B127" s="2018" t="s">
        <v>11</v>
      </c>
      <c r="C127" s="2066" t="s">
        <v>54</v>
      </c>
      <c r="D127" s="2088" t="s">
        <v>89</v>
      </c>
      <c r="E127" s="1982" t="s">
        <v>91</v>
      </c>
      <c r="F127" s="2043" t="s">
        <v>41</v>
      </c>
      <c r="G127" s="1988" t="s">
        <v>90</v>
      </c>
      <c r="H127" s="289" t="s">
        <v>36</v>
      </c>
      <c r="I127" s="265">
        <f>J127+L127</f>
        <v>75.2</v>
      </c>
      <c r="J127" s="266"/>
      <c r="K127" s="266"/>
      <c r="L127" s="237">
        <v>75.2</v>
      </c>
      <c r="M127" s="47"/>
      <c r="N127" s="47"/>
      <c r="O127" s="2029" t="s">
        <v>138</v>
      </c>
      <c r="P127" s="2086"/>
      <c r="Q127" s="488"/>
      <c r="R127" s="490"/>
      <c r="U127" s="13"/>
      <c r="V127" s="14"/>
      <c r="W127" s="14"/>
      <c r="X127" s="14"/>
    </row>
    <row r="128" spans="1:24" ht="27.75" customHeight="1" x14ac:dyDescent="0.2">
      <c r="A128" s="2003"/>
      <c r="B128" s="2019"/>
      <c r="C128" s="2071"/>
      <c r="D128" s="2089"/>
      <c r="E128" s="1983"/>
      <c r="F128" s="2044"/>
      <c r="G128" s="1989"/>
      <c r="H128" s="290" t="s">
        <v>130</v>
      </c>
      <c r="I128" s="242">
        <f>J128+L128</f>
        <v>400</v>
      </c>
      <c r="J128" s="267"/>
      <c r="K128" s="267"/>
      <c r="L128" s="227">
        <v>400</v>
      </c>
      <c r="M128" s="70"/>
      <c r="N128" s="70"/>
      <c r="O128" s="2030"/>
      <c r="P128" s="2087"/>
      <c r="Q128" s="32"/>
      <c r="R128" s="150"/>
      <c r="U128" s="13"/>
      <c r="V128" s="14"/>
      <c r="W128" s="14"/>
      <c r="X128" s="14"/>
    </row>
    <row r="129" spans="1:32" ht="39.75" customHeight="1" thickBot="1" x14ac:dyDescent="0.25">
      <c r="A129" s="2004"/>
      <c r="B129" s="2020"/>
      <c r="C129" s="2067"/>
      <c r="D129" s="2090"/>
      <c r="E129" s="1984"/>
      <c r="F129" s="2075"/>
      <c r="G129" s="1990"/>
      <c r="H129" s="288" t="s">
        <v>10</v>
      </c>
      <c r="I129" s="269">
        <f t="shared" ref="I129:N129" si="8">SUM(I127:I128)</f>
        <v>475.2</v>
      </c>
      <c r="J129" s="270">
        <f t="shared" si="8"/>
        <v>0</v>
      </c>
      <c r="K129" s="270">
        <f t="shared" si="8"/>
        <v>0</v>
      </c>
      <c r="L129" s="244">
        <f t="shared" si="8"/>
        <v>475.2</v>
      </c>
      <c r="M129" s="286">
        <f t="shared" si="8"/>
        <v>0</v>
      </c>
      <c r="N129" s="286">
        <f t="shared" si="8"/>
        <v>0</v>
      </c>
      <c r="O129" s="2076"/>
      <c r="P129" s="428">
        <v>100</v>
      </c>
      <c r="Q129" s="489"/>
      <c r="R129" s="491"/>
      <c r="U129" s="13"/>
      <c r="V129" s="14"/>
      <c r="W129" s="14"/>
      <c r="X129" s="14"/>
    </row>
    <row r="130" spans="1:32" x14ac:dyDescent="0.2">
      <c r="A130" s="2002" t="s">
        <v>9</v>
      </c>
      <c r="B130" s="2018" t="s">
        <v>11</v>
      </c>
      <c r="C130" s="2066" t="s">
        <v>41</v>
      </c>
      <c r="D130" s="2080" t="s">
        <v>96</v>
      </c>
      <c r="E130" s="2083"/>
      <c r="F130" s="2043" t="s">
        <v>54</v>
      </c>
      <c r="G130" s="1988" t="s">
        <v>40</v>
      </c>
      <c r="H130" s="289" t="s">
        <v>36</v>
      </c>
      <c r="I130" s="247">
        <f>J130+L130</f>
        <v>100.3</v>
      </c>
      <c r="J130" s="236">
        <v>100.3</v>
      </c>
      <c r="K130" s="236"/>
      <c r="L130" s="237"/>
      <c r="M130" s="42">
        <v>100</v>
      </c>
      <c r="N130" s="42"/>
      <c r="O130" s="483" t="s">
        <v>78</v>
      </c>
      <c r="P130" s="488"/>
      <c r="Q130" s="488">
        <v>1</v>
      </c>
      <c r="R130" s="490"/>
      <c r="U130" s="13"/>
      <c r="V130" s="14"/>
      <c r="W130" s="14"/>
      <c r="X130" s="14"/>
    </row>
    <row r="131" spans="1:32" x14ac:dyDescent="0.2">
      <c r="A131" s="2003"/>
      <c r="B131" s="2019"/>
      <c r="C131" s="2071"/>
      <c r="D131" s="2081"/>
      <c r="E131" s="2084"/>
      <c r="F131" s="2044"/>
      <c r="G131" s="1989"/>
      <c r="H131" s="290"/>
      <c r="I131" s="240">
        <f>J131+L131</f>
        <v>0</v>
      </c>
      <c r="J131" s="226"/>
      <c r="K131" s="226"/>
      <c r="L131" s="227"/>
      <c r="M131" s="70"/>
      <c r="N131" s="70"/>
      <c r="O131" s="17"/>
      <c r="P131" s="32"/>
      <c r="Q131" s="32"/>
      <c r="R131" s="150"/>
      <c r="U131" s="13"/>
      <c r="V131" s="14"/>
      <c r="W131" s="14"/>
      <c r="X131" s="14"/>
    </row>
    <row r="132" spans="1:32" ht="13.5" thickBot="1" x14ac:dyDescent="0.25">
      <c r="A132" s="2004"/>
      <c r="B132" s="2020"/>
      <c r="C132" s="2067"/>
      <c r="D132" s="2082"/>
      <c r="E132" s="2085"/>
      <c r="F132" s="2075"/>
      <c r="G132" s="1990"/>
      <c r="H132" s="288" t="s">
        <v>10</v>
      </c>
      <c r="I132" s="250">
        <f t="shared" ref="I132:N132" si="9">SUM(I130:I131)</f>
        <v>100.3</v>
      </c>
      <c r="J132" s="244">
        <f t="shared" si="9"/>
        <v>100.3</v>
      </c>
      <c r="K132" s="244">
        <f t="shared" si="9"/>
        <v>0</v>
      </c>
      <c r="L132" s="244">
        <f t="shared" si="9"/>
        <v>0</v>
      </c>
      <c r="M132" s="286">
        <f t="shared" si="9"/>
        <v>100</v>
      </c>
      <c r="N132" s="286">
        <f t="shared" si="9"/>
        <v>0</v>
      </c>
      <c r="O132" s="18"/>
      <c r="P132" s="489"/>
      <c r="Q132" s="489"/>
      <c r="R132" s="491"/>
      <c r="U132" s="13"/>
      <c r="V132" s="14"/>
      <c r="W132" s="14"/>
      <c r="X132" s="14"/>
    </row>
    <row r="133" spans="1:32" x14ac:dyDescent="0.2">
      <c r="A133" s="2002" t="s">
        <v>9</v>
      </c>
      <c r="B133" s="2018" t="s">
        <v>11</v>
      </c>
      <c r="C133" s="2066" t="s">
        <v>55</v>
      </c>
      <c r="D133" s="2080" t="s">
        <v>107</v>
      </c>
      <c r="E133" s="2083"/>
      <c r="F133" s="2043" t="s">
        <v>54</v>
      </c>
      <c r="G133" s="1988" t="s">
        <v>40</v>
      </c>
      <c r="H133" s="19" t="s">
        <v>36</v>
      </c>
      <c r="I133" s="247">
        <f>J133+L133</f>
        <v>20</v>
      </c>
      <c r="J133" s="236">
        <v>20</v>
      </c>
      <c r="K133" s="236"/>
      <c r="L133" s="237"/>
      <c r="M133" s="42"/>
      <c r="N133" s="42"/>
      <c r="O133" s="483" t="s">
        <v>79</v>
      </c>
      <c r="P133" s="488">
        <v>150</v>
      </c>
      <c r="Q133" s="488"/>
      <c r="R133" s="490"/>
      <c r="U133" s="13"/>
    </row>
    <row r="134" spans="1:32" x14ac:dyDescent="0.2">
      <c r="A134" s="2003"/>
      <c r="B134" s="2019"/>
      <c r="C134" s="2071"/>
      <c r="D134" s="2081"/>
      <c r="E134" s="2084"/>
      <c r="F134" s="2044"/>
      <c r="G134" s="1989"/>
      <c r="H134" s="26"/>
      <c r="I134" s="240">
        <f>J134+L134</f>
        <v>0</v>
      </c>
      <c r="J134" s="226"/>
      <c r="K134" s="226"/>
      <c r="L134" s="227"/>
      <c r="M134" s="70"/>
      <c r="N134" s="70"/>
      <c r="O134" s="17"/>
      <c r="P134" s="32"/>
      <c r="Q134" s="32"/>
      <c r="R134" s="150"/>
      <c r="U134" s="13"/>
    </row>
    <row r="135" spans="1:32" ht="13.5" thickBot="1" x14ac:dyDescent="0.25">
      <c r="A135" s="2004"/>
      <c r="B135" s="2020"/>
      <c r="C135" s="2067"/>
      <c r="D135" s="2082"/>
      <c r="E135" s="2085"/>
      <c r="F135" s="2075"/>
      <c r="G135" s="1990"/>
      <c r="H135" s="288" t="s">
        <v>10</v>
      </c>
      <c r="I135" s="250">
        <f t="shared" ref="I135:N135" si="10">SUM(I133:I134)</f>
        <v>20</v>
      </c>
      <c r="J135" s="244">
        <f t="shared" si="10"/>
        <v>20</v>
      </c>
      <c r="K135" s="244">
        <f t="shared" si="10"/>
        <v>0</v>
      </c>
      <c r="L135" s="244">
        <f t="shared" si="10"/>
        <v>0</v>
      </c>
      <c r="M135" s="286">
        <f t="shared" si="10"/>
        <v>0</v>
      </c>
      <c r="N135" s="286">
        <f t="shared" si="10"/>
        <v>0</v>
      </c>
      <c r="O135" s="18"/>
      <c r="P135" s="489"/>
      <c r="Q135" s="489"/>
      <c r="R135" s="491"/>
      <c r="U135" s="13"/>
    </row>
    <row r="136" spans="1:32" ht="13.5" thickBot="1" x14ac:dyDescent="0.25">
      <c r="A136" s="100" t="s">
        <v>9</v>
      </c>
      <c r="B136" s="11" t="s">
        <v>11</v>
      </c>
      <c r="C136" s="2023" t="s">
        <v>12</v>
      </c>
      <c r="D136" s="2023"/>
      <c r="E136" s="2023"/>
      <c r="F136" s="2023"/>
      <c r="G136" s="2023"/>
      <c r="H136" s="1967"/>
      <c r="I136" s="24">
        <f t="shared" ref="I136:N136" si="11">SUM(I129,I126,I135,I132,I123,I118,I115)</f>
        <v>1210</v>
      </c>
      <c r="J136" s="24">
        <f t="shared" si="11"/>
        <v>734.8</v>
      </c>
      <c r="K136" s="24">
        <f t="shared" si="11"/>
        <v>0</v>
      </c>
      <c r="L136" s="24">
        <f t="shared" si="11"/>
        <v>475.2</v>
      </c>
      <c r="M136" s="24">
        <f t="shared" si="11"/>
        <v>739</v>
      </c>
      <c r="N136" s="24">
        <f t="shared" si="11"/>
        <v>639</v>
      </c>
      <c r="O136" s="1968"/>
      <c r="P136" s="1969"/>
      <c r="Q136" s="1969"/>
      <c r="R136" s="1970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</row>
    <row r="137" spans="1:32" ht="15" customHeight="1" thickBot="1" x14ac:dyDescent="0.25">
      <c r="A137" s="94" t="s">
        <v>9</v>
      </c>
      <c r="B137" s="11" t="s">
        <v>38</v>
      </c>
      <c r="C137" s="2077" t="s">
        <v>72</v>
      </c>
      <c r="D137" s="2078"/>
      <c r="E137" s="2078"/>
      <c r="F137" s="2078"/>
      <c r="G137" s="2078"/>
      <c r="H137" s="2078"/>
      <c r="I137" s="2078"/>
      <c r="J137" s="2078"/>
      <c r="K137" s="2078"/>
      <c r="L137" s="2078"/>
      <c r="M137" s="2078"/>
      <c r="N137" s="2078"/>
      <c r="O137" s="2078"/>
      <c r="P137" s="2078"/>
      <c r="Q137" s="2078"/>
      <c r="R137" s="2079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</row>
    <row r="138" spans="1:32" ht="12.75" customHeight="1" x14ac:dyDescent="0.2">
      <c r="A138" s="2002" t="s">
        <v>9</v>
      </c>
      <c r="B138" s="2018" t="s">
        <v>38</v>
      </c>
      <c r="C138" s="2066" t="s">
        <v>9</v>
      </c>
      <c r="D138" s="2072" t="s">
        <v>82</v>
      </c>
      <c r="E138" s="2041"/>
      <c r="F138" s="2043" t="s">
        <v>54</v>
      </c>
      <c r="G138" s="2063" t="s">
        <v>40</v>
      </c>
      <c r="H138" s="289" t="s">
        <v>36</v>
      </c>
      <c r="I138" s="247">
        <f>J138+L138</f>
        <v>1233.5</v>
      </c>
      <c r="J138" s="236">
        <v>1233.5</v>
      </c>
      <c r="K138" s="236"/>
      <c r="L138" s="237"/>
      <c r="M138" s="47">
        <v>2006.3</v>
      </c>
      <c r="N138" s="47">
        <v>2006.3</v>
      </c>
      <c r="O138" s="2029" t="s">
        <v>198</v>
      </c>
      <c r="P138" s="44">
        <v>3.7</v>
      </c>
      <c r="Q138" s="44">
        <v>3.7</v>
      </c>
      <c r="R138" s="45">
        <v>3.7</v>
      </c>
      <c r="U138" s="13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</row>
    <row r="139" spans="1:32" x14ac:dyDescent="0.2">
      <c r="A139" s="2003"/>
      <c r="B139" s="2019"/>
      <c r="C139" s="2071"/>
      <c r="D139" s="2073"/>
      <c r="E139" s="2042"/>
      <c r="F139" s="2044"/>
      <c r="G139" s="2064"/>
      <c r="H139" s="290"/>
      <c r="I139" s="240">
        <f>J139+L139</f>
        <v>0</v>
      </c>
      <c r="J139" s="226"/>
      <c r="K139" s="226"/>
      <c r="L139" s="227"/>
      <c r="M139" s="70"/>
      <c r="N139" s="70"/>
      <c r="O139" s="2030"/>
      <c r="P139" s="43"/>
      <c r="Q139" s="32"/>
      <c r="R139" s="150"/>
      <c r="U139" s="13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</row>
    <row r="140" spans="1:32" ht="18" customHeight="1" x14ac:dyDescent="0.2">
      <c r="A140" s="2003"/>
      <c r="B140" s="2019"/>
      <c r="C140" s="2071"/>
      <c r="D140" s="2073"/>
      <c r="E140" s="2042"/>
      <c r="F140" s="2044"/>
      <c r="G140" s="2064"/>
      <c r="H140" s="373"/>
      <c r="I140" s="222">
        <f>J140+L140</f>
        <v>0</v>
      </c>
      <c r="J140" s="231"/>
      <c r="K140" s="231"/>
      <c r="L140" s="232"/>
      <c r="M140" s="23"/>
      <c r="N140" s="23"/>
      <c r="O140" s="2030"/>
      <c r="P140" s="32"/>
      <c r="Q140" s="32"/>
      <c r="R140" s="150"/>
      <c r="U140" s="13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</row>
    <row r="141" spans="1:32" ht="22.5" customHeight="1" thickBot="1" x14ac:dyDescent="0.25">
      <c r="A141" s="2004"/>
      <c r="B141" s="2020"/>
      <c r="C141" s="2067"/>
      <c r="D141" s="2074"/>
      <c r="E141" s="2068"/>
      <c r="F141" s="2075"/>
      <c r="G141" s="2065"/>
      <c r="H141" s="288" t="s">
        <v>10</v>
      </c>
      <c r="I141" s="250">
        <f t="shared" ref="I141:N141" si="12">SUM(I138:I140)</f>
        <v>1233.5</v>
      </c>
      <c r="J141" s="244">
        <f t="shared" si="12"/>
        <v>1233.5</v>
      </c>
      <c r="K141" s="244">
        <f t="shared" si="12"/>
        <v>0</v>
      </c>
      <c r="L141" s="244">
        <f t="shared" si="12"/>
        <v>0</v>
      </c>
      <c r="M141" s="286">
        <f t="shared" si="12"/>
        <v>2006.3</v>
      </c>
      <c r="N141" s="286">
        <f t="shared" si="12"/>
        <v>2006.3</v>
      </c>
      <c r="O141" s="2076"/>
      <c r="P141" s="489"/>
      <c r="Q141" s="489"/>
      <c r="R141" s="491"/>
      <c r="U141" s="13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</row>
    <row r="142" spans="1:32" ht="12.75" customHeight="1" x14ac:dyDescent="0.2">
      <c r="A142" s="2002" t="s">
        <v>9</v>
      </c>
      <c r="B142" s="2018" t="s">
        <v>38</v>
      </c>
      <c r="C142" s="2066" t="s">
        <v>11</v>
      </c>
      <c r="D142" s="2072" t="s">
        <v>39</v>
      </c>
      <c r="E142" s="2041"/>
      <c r="F142" s="2043" t="s">
        <v>41</v>
      </c>
      <c r="G142" s="2063" t="s">
        <v>40</v>
      </c>
      <c r="H142" s="289" t="s">
        <v>36</v>
      </c>
      <c r="I142" s="247">
        <f>J142+L142</f>
        <v>0</v>
      </c>
      <c r="J142" s="236"/>
      <c r="K142" s="236"/>
      <c r="L142" s="237"/>
      <c r="M142" s="47"/>
      <c r="N142" s="47"/>
      <c r="O142" s="2029" t="s">
        <v>106</v>
      </c>
      <c r="P142" s="488"/>
      <c r="Q142" s="488" t="s">
        <v>42</v>
      </c>
      <c r="R142" s="490" t="s">
        <v>42</v>
      </c>
      <c r="U142" s="13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</row>
    <row r="143" spans="1:32" x14ac:dyDescent="0.2">
      <c r="A143" s="2003"/>
      <c r="B143" s="2019"/>
      <c r="C143" s="2071"/>
      <c r="D143" s="2073"/>
      <c r="E143" s="2042"/>
      <c r="F143" s="2044"/>
      <c r="G143" s="2064"/>
      <c r="H143" s="290"/>
      <c r="I143" s="240">
        <f>J143+L143</f>
        <v>0</v>
      </c>
      <c r="J143" s="226">
        <v>0</v>
      </c>
      <c r="K143" s="226"/>
      <c r="L143" s="227"/>
      <c r="M143" s="70"/>
      <c r="N143" s="70"/>
      <c r="O143" s="2030"/>
      <c r="P143" s="32"/>
      <c r="Q143" s="32"/>
      <c r="R143" s="150"/>
      <c r="U143" s="13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</row>
    <row r="144" spans="1:32" ht="13.5" thickBot="1" x14ac:dyDescent="0.25">
      <c r="A144" s="2004"/>
      <c r="B144" s="2020"/>
      <c r="C144" s="2067"/>
      <c r="D144" s="2074"/>
      <c r="E144" s="2068"/>
      <c r="F144" s="2075"/>
      <c r="G144" s="2065"/>
      <c r="H144" s="288" t="s">
        <v>10</v>
      </c>
      <c r="I144" s="250">
        <f t="shared" ref="I144:N144" si="13">SUM(I142:I143)</f>
        <v>0</v>
      </c>
      <c r="J144" s="244">
        <f t="shared" si="13"/>
        <v>0</v>
      </c>
      <c r="K144" s="244">
        <f t="shared" si="13"/>
        <v>0</v>
      </c>
      <c r="L144" s="244">
        <f t="shared" si="13"/>
        <v>0</v>
      </c>
      <c r="M144" s="286">
        <f t="shared" si="13"/>
        <v>0</v>
      </c>
      <c r="N144" s="286">
        <f t="shared" si="13"/>
        <v>0</v>
      </c>
      <c r="O144" s="18"/>
      <c r="P144" s="489"/>
      <c r="Q144" s="489"/>
      <c r="R144" s="491"/>
      <c r="U144" s="13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</row>
    <row r="145" spans="1:32" ht="12.75" customHeight="1" x14ac:dyDescent="0.2">
      <c r="A145" s="2002" t="s">
        <v>9</v>
      </c>
      <c r="B145" s="2018" t="s">
        <v>38</v>
      </c>
      <c r="C145" s="2066" t="s">
        <v>38</v>
      </c>
      <c r="D145" s="2072" t="s">
        <v>43</v>
      </c>
      <c r="E145" s="2041"/>
      <c r="F145" s="2043" t="s">
        <v>44</v>
      </c>
      <c r="G145" s="2063" t="s">
        <v>40</v>
      </c>
      <c r="H145" s="289" t="s">
        <v>36</v>
      </c>
      <c r="I145" s="247">
        <f>J145+L145</f>
        <v>0</v>
      </c>
      <c r="J145" s="236"/>
      <c r="K145" s="236"/>
      <c r="L145" s="237"/>
      <c r="M145" s="47">
        <v>62</v>
      </c>
      <c r="N145" s="47">
        <v>62</v>
      </c>
      <c r="O145" s="2029" t="s">
        <v>45</v>
      </c>
      <c r="P145" s="488"/>
      <c r="Q145" s="488">
        <v>13</v>
      </c>
      <c r="R145" s="490">
        <v>13</v>
      </c>
      <c r="U145" s="13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</row>
    <row r="146" spans="1:32" x14ac:dyDescent="0.2">
      <c r="A146" s="2003"/>
      <c r="B146" s="2019"/>
      <c r="C146" s="2071"/>
      <c r="D146" s="2073"/>
      <c r="E146" s="2042"/>
      <c r="F146" s="2044"/>
      <c r="G146" s="2064"/>
      <c r="H146" s="290"/>
      <c r="I146" s="240">
        <f>J146+L146</f>
        <v>0</v>
      </c>
      <c r="J146" s="226"/>
      <c r="K146" s="226"/>
      <c r="L146" s="227"/>
      <c r="M146" s="70"/>
      <c r="N146" s="70"/>
      <c r="O146" s="2030"/>
      <c r="P146" s="32"/>
      <c r="Q146" s="32"/>
      <c r="R146" s="150"/>
      <c r="U146" s="13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</row>
    <row r="147" spans="1:32" ht="13.5" thickBot="1" x14ac:dyDescent="0.25">
      <c r="A147" s="2004"/>
      <c r="B147" s="2020"/>
      <c r="C147" s="2067"/>
      <c r="D147" s="2074"/>
      <c r="E147" s="2068"/>
      <c r="F147" s="2075"/>
      <c r="G147" s="2065"/>
      <c r="H147" s="288" t="s">
        <v>10</v>
      </c>
      <c r="I147" s="250">
        <f t="shared" ref="I147:N147" si="14">SUM(I145:I146)</f>
        <v>0</v>
      </c>
      <c r="J147" s="244">
        <f t="shared" si="14"/>
        <v>0</v>
      </c>
      <c r="K147" s="244">
        <f t="shared" si="14"/>
        <v>0</v>
      </c>
      <c r="L147" s="244">
        <f t="shared" si="14"/>
        <v>0</v>
      </c>
      <c r="M147" s="286">
        <f t="shared" si="14"/>
        <v>62</v>
      </c>
      <c r="N147" s="286">
        <f t="shared" si="14"/>
        <v>62</v>
      </c>
      <c r="O147" s="18"/>
      <c r="P147" s="489"/>
      <c r="Q147" s="489"/>
      <c r="R147" s="491"/>
      <c r="U147" s="13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</row>
    <row r="148" spans="1:32" ht="12.75" customHeight="1" x14ac:dyDescent="0.2">
      <c r="A148" s="2002" t="s">
        <v>9</v>
      </c>
      <c r="B148" s="2018" t="s">
        <v>38</v>
      </c>
      <c r="C148" s="2066" t="s">
        <v>53</v>
      </c>
      <c r="D148" s="2005" t="s">
        <v>146</v>
      </c>
      <c r="E148" s="2041"/>
      <c r="F148" s="2069" t="s">
        <v>44</v>
      </c>
      <c r="G148" s="2055" t="s">
        <v>40</v>
      </c>
      <c r="H148" s="374" t="s">
        <v>92</v>
      </c>
      <c r="I148" s="271">
        <f>+J148+L148</f>
        <v>0</v>
      </c>
      <c r="J148" s="272">
        <v>0</v>
      </c>
      <c r="K148" s="272"/>
      <c r="L148" s="273">
        <v>0</v>
      </c>
      <c r="M148" s="117">
        <v>50</v>
      </c>
      <c r="N148" s="116">
        <v>50</v>
      </c>
      <c r="O148" s="2057" t="s">
        <v>150</v>
      </c>
      <c r="P148" s="2059"/>
      <c r="Q148" s="2059"/>
      <c r="R148" s="2061">
        <v>1</v>
      </c>
      <c r="T148" s="13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</row>
    <row r="149" spans="1:32" ht="30" customHeight="1" thickBot="1" x14ac:dyDescent="0.25">
      <c r="A149" s="2004"/>
      <c r="B149" s="2020"/>
      <c r="C149" s="2067"/>
      <c r="D149" s="2007"/>
      <c r="E149" s="2068"/>
      <c r="F149" s="2070"/>
      <c r="G149" s="2056"/>
      <c r="H149" s="288" t="s">
        <v>10</v>
      </c>
      <c r="I149" s="250">
        <f>+L149+J149</f>
        <v>0</v>
      </c>
      <c r="J149" s="250">
        <f>+J148</f>
        <v>0</v>
      </c>
      <c r="K149" s="250"/>
      <c r="L149" s="255">
        <f>+L148</f>
        <v>0</v>
      </c>
      <c r="M149" s="286">
        <f>+M148</f>
        <v>50</v>
      </c>
      <c r="N149" s="250">
        <f>+N148</f>
        <v>50</v>
      </c>
      <c r="O149" s="2058"/>
      <c r="P149" s="2060"/>
      <c r="Q149" s="2060"/>
      <c r="R149" s="2062"/>
      <c r="T149" s="13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</row>
    <row r="150" spans="1:32" ht="13.5" thickBot="1" x14ac:dyDescent="0.25">
      <c r="A150" s="100" t="s">
        <v>9</v>
      </c>
      <c r="B150" s="11" t="s">
        <v>38</v>
      </c>
      <c r="C150" s="2023" t="s">
        <v>12</v>
      </c>
      <c r="D150" s="2023"/>
      <c r="E150" s="2023"/>
      <c r="F150" s="2023"/>
      <c r="G150" s="2023"/>
      <c r="H150" s="1967"/>
      <c r="I150" s="24">
        <f t="shared" ref="I150:N150" si="15">SUM(I147,I144,I141,I149)</f>
        <v>1233.5</v>
      </c>
      <c r="J150" s="24">
        <f t="shared" si="15"/>
        <v>1233.5</v>
      </c>
      <c r="K150" s="24">
        <f t="shared" si="15"/>
        <v>0</v>
      </c>
      <c r="L150" s="24">
        <f t="shared" si="15"/>
        <v>0</v>
      </c>
      <c r="M150" s="24">
        <f t="shared" si="15"/>
        <v>2118.3000000000002</v>
      </c>
      <c r="N150" s="24">
        <f t="shared" si="15"/>
        <v>2118.3000000000002</v>
      </c>
      <c r="O150" s="1968"/>
      <c r="P150" s="1969"/>
      <c r="Q150" s="1969"/>
      <c r="R150" s="1970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</row>
    <row r="151" spans="1:32" ht="13.5" thickBot="1" x14ac:dyDescent="0.25">
      <c r="A151" s="94" t="s">
        <v>9</v>
      </c>
      <c r="B151" s="11" t="s">
        <v>53</v>
      </c>
      <c r="C151" s="2024" t="s">
        <v>73</v>
      </c>
      <c r="D151" s="2025"/>
      <c r="E151" s="2025"/>
      <c r="F151" s="2025"/>
      <c r="G151" s="2025"/>
      <c r="H151" s="2025"/>
      <c r="I151" s="2025"/>
      <c r="J151" s="2025"/>
      <c r="K151" s="2025"/>
      <c r="L151" s="2025"/>
      <c r="M151" s="2025"/>
      <c r="N151" s="2025"/>
      <c r="O151" s="2025"/>
      <c r="P151" s="2025"/>
      <c r="Q151" s="2025"/>
      <c r="R151" s="2026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</row>
    <row r="152" spans="1:32" ht="25.5" x14ac:dyDescent="0.2">
      <c r="A152" s="484" t="s">
        <v>9</v>
      </c>
      <c r="B152" s="486" t="s">
        <v>53</v>
      </c>
      <c r="C152" s="498" t="s">
        <v>9</v>
      </c>
      <c r="D152" s="507" t="s">
        <v>166</v>
      </c>
      <c r="E152" s="513"/>
      <c r="F152" s="480"/>
      <c r="G152" s="481"/>
      <c r="H152" s="73"/>
      <c r="I152" s="274"/>
      <c r="J152" s="275"/>
      <c r="K152" s="276"/>
      <c r="L152" s="359"/>
      <c r="M152" s="378"/>
      <c r="N152" s="378"/>
      <c r="O152" s="74"/>
      <c r="P152" s="75"/>
      <c r="Q152" s="75"/>
      <c r="R152" s="490"/>
      <c r="S152" s="72"/>
      <c r="U152" s="13"/>
    </row>
    <row r="153" spans="1:32" ht="12.75" customHeight="1" x14ac:dyDescent="0.2">
      <c r="A153" s="2003"/>
      <c r="B153" s="2019"/>
      <c r="C153" s="2040"/>
      <c r="D153" s="2046" t="s">
        <v>134</v>
      </c>
      <c r="E153" s="2049" t="s">
        <v>91</v>
      </c>
      <c r="F153" s="2052" t="s">
        <v>54</v>
      </c>
      <c r="G153" s="2031" t="s">
        <v>90</v>
      </c>
      <c r="H153" s="519" t="s">
        <v>36</v>
      </c>
      <c r="I153" s="520">
        <v>200</v>
      </c>
      <c r="J153" s="521"/>
      <c r="K153" s="521"/>
      <c r="L153" s="538">
        <v>200</v>
      </c>
      <c r="M153" s="537">
        <v>100</v>
      </c>
      <c r="N153" s="522"/>
      <c r="O153" s="2034" t="s">
        <v>137</v>
      </c>
      <c r="P153" s="523"/>
      <c r="Q153" s="523"/>
      <c r="R153" s="131"/>
      <c r="U153" s="13"/>
    </row>
    <row r="154" spans="1:32" x14ac:dyDescent="0.2">
      <c r="A154" s="2003"/>
      <c r="B154" s="2019"/>
      <c r="C154" s="2040"/>
      <c r="D154" s="2047"/>
      <c r="E154" s="2050"/>
      <c r="F154" s="2053"/>
      <c r="G154" s="2032"/>
      <c r="H154" s="524"/>
      <c r="I154" s="525"/>
      <c r="J154" s="385"/>
      <c r="K154" s="385"/>
      <c r="L154" s="539"/>
      <c r="M154" s="526"/>
      <c r="N154" s="526"/>
      <c r="O154" s="2035"/>
      <c r="P154" s="527"/>
      <c r="Q154" s="528"/>
      <c r="R154" s="150"/>
      <c r="U154" s="13"/>
    </row>
    <row r="155" spans="1:32" ht="15.75" customHeight="1" thickBot="1" x14ac:dyDescent="0.25">
      <c r="A155" s="2004"/>
      <c r="B155" s="2020"/>
      <c r="C155" s="2045"/>
      <c r="D155" s="2048"/>
      <c r="E155" s="2051"/>
      <c r="F155" s="2054"/>
      <c r="G155" s="2033"/>
      <c r="H155" s="529"/>
      <c r="I155" s="530"/>
      <c r="J155" s="531"/>
      <c r="K155" s="531"/>
      <c r="L155" s="540"/>
      <c r="M155" s="532"/>
      <c r="N155" s="532"/>
      <c r="O155" s="2036"/>
      <c r="P155" s="533">
        <v>50</v>
      </c>
      <c r="Q155" s="534">
        <v>50</v>
      </c>
      <c r="R155" s="491"/>
      <c r="U155" s="13"/>
    </row>
    <row r="156" spans="1:32" ht="12.75" customHeight="1" x14ac:dyDescent="0.2">
      <c r="A156" s="2037"/>
      <c r="B156" s="2038"/>
      <c r="C156" s="2039"/>
      <c r="D156" s="2005" t="s">
        <v>83</v>
      </c>
      <c r="E156" s="2041"/>
      <c r="F156" s="2043" t="s">
        <v>54</v>
      </c>
      <c r="G156" s="2027" t="s">
        <v>40</v>
      </c>
      <c r="H156" s="429" t="s">
        <v>36</v>
      </c>
      <c r="I156" s="274">
        <f>J156+L156</f>
        <v>265.7</v>
      </c>
      <c r="J156" s="276">
        <v>265.7</v>
      </c>
      <c r="K156" s="276"/>
      <c r="L156" s="359"/>
      <c r="M156" s="378">
        <v>266</v>
      </c>
      <c r="N156" s="378">
        <v>266</v>
      </c>
      <c r="O156" s="2029" t="s">
        <v>84</v>
      </c>
      <c r="P156" s="409">
        <v>285</v>
      </c>
      <c r="Q156" s="409">
        <v>285</v>
      </c>
      <c r="R156" s="411">
        <v>285</v>
      </c>
      <c r="W156" s="518"/>
    </row>
    <row r="157" spans="1:32" x14ac:dyDescent="0.2">
      <c r="A157" s="2010"/>
      <c r="B157" s="2012"/>
      <c r="C157" s="2040"/>
      <c r="D157" s="2006"/>
      <c r="E157" s="2042"/>
      <c r="F157" s="2044"/>
      <c r="G157" s="2028"/>
      <c r="H157" s="380"/>
      <c r="I157" s="324"/>
      <c r="J157" s="226"/>
      <c r="K157" s="226"/>
      <c r="L157" s="251"/>
      <c r="M157" s="109"/>
      <c r="N157" s="109"/>
      <c r="O157" s="2030"/>
      <c r="P157" s="32"/>
      <c r="Q157" s="32"/>
      <c r="R157" s="150"/>
    </row>
    <row r="158" spans="1:32" ht="27" customHeight="1" thickBot="1" x14ac:dyDescent="0.25">
      <c r="A158" s="398"/>
      <c r="B158" s="404"/>
      <c r="C158" s="406"/>
      <c r="D158" s="407"/>
      <c r="E158" s="396"/>
      <c r="F158" s="392"/>
      <c r="G158" s="393"/>
      <c r="H158" s="291" t="s">
        <v>10</v>
      </c>
      <c r="I158" s="544" t="s">
        <v>208</v>
      </c>
      <c r="J158" s="536">
        <v>265.7</v>
      </c>
      <c r="K158" s="250">
        <f>K153+K156</f>
        <v>0</v>
      </c>
      <c r="L158" s="538">
        <v>200</v>
      </c>
      <c r="M158" s="543" t="s">
        <v>207</v>
      </c>
      <c r="N158" s="250">
        <f>N153+N156</f>
        <v>266</v>
      </c>
      <c r="O158" s="28"/>
      <c r="P158" s="410"/>
      <c r="Q158" s="34"/>
      <c r="R158" s="412"/>
      <c r="U158" s="13"/>
    </row>
    <row r="159" spans="1:32" ht="16.5" customHeight="1" x14ac:dyDescent="0.2">
      <c r="A159" s="2002" t="s">
        <v>9</v>
      </c>
      <c r="B159" s="2018" t="s">
        <v>53</v>
      </c>
      <c r="C159" s="2021" t="s">
        <v>11</v>
      </c>
      <c r="D159" s="2005" t="s">
        <v>125</v>
      </c>
      <c r="E159" s="1982"/>
      <c r="F159" s="1985" t="s">
        <v>41</v>
      </c>
      <c r="G159" s="1988" t="s">
        <v>40</v>
      </c>
      <c r="H159" s="15" t="s">
        <v>36</v>
      </c>
      <c r="I159" s="247">
        <f>J159+L159</f>
        <v>48.6</v>
      </c>
      <c r="J159" s="236">
        <v>48.6</v>
      </c>
      <c r="K159" s="236"/>
      <c r="L159" s="248"/>
      <c r="M159" s="127">
        <v>44.7</v>
      </c>
      <c r="N159" s="47">
        <v>52.9</v>
      </c>
      <c r="O159" s="394" t="s">
        <v>127</v>
      </c>
      <c r="P159" s="409">
        <v>49</v>
      </c>
      <c r="Q159" s="409">
        <v>50</v>
      </c>
      <c r="R159" s="411">
        <v>49</v>
      </c>
      <c r="U159" s="13"/>
    </row>
    <row r="160" spans="1:32" ht="16.5" customHeight="1" x14ac:dyDescent="0.2">
      <c r="A160" s="2003"/>
      <c r="B160" s="2019"/>
      <c r="C160" s="2014"/>
      <c r="D160" s="2006"/>
      <c r="E160" s="1983"/>
      <c r="F160" s="1986"/>
      <c r="G160" s="1989"/>
      <c r="H160" s="151"/>
      <c r="I160" s="238"/>
      <c r="J160" s="231"/>
      <c r="K160" s="231"/>
      <c r="L160" s="252"/>
      <c r="M160" s="83"/>
      <c r="N160" s="23"/>
      <c r="O160" s="27" t="s">
        <v>126</v>
      </c>
      <c r="P160" s="32">
        <v>12</v>
      </c>
      <c r="Q160" s="33">
        <v>10</v>
      </c>
      <c r="R160" s="150">
        <v>13</v>
      </c>
      <c r="U160" s="13"/>
    </row>
    <row r="161" spans="1:23" ht="13.5" customHeight="1" thickBot="1" x14ac:dyDescent="0.25">
      <c r="A161" s="2004"/>
      <c r="B161" s="2020"/>
      <c r="C161" s="2015"/>
      <c r="D161" s="2007"/>
      <c r="E161" s="1984"/>
      <c r="F161" s="1987"/>
      <c r="G161" s="1990"/>
      <c r="H161" s="291" t="s">
        <v>10</v>
      </c>
      <c r="I161" s="243">
        <f t="shared" ref="I161:N161" si="16">I159</f>
        <v>48.6</v>
      </c>
      <c r="J161" s="250">
        <f t="shared" si="16"/>
        <v>48.6</v>
      </c>
      <c r="K161" s="250">
        <f t="shared" si="16"/>
        <v>0</v>
      </c>
      <c r="L161" s="253">
        <f t="shared" si="16"/>
        <v>0</v>
      </c>
      <c r="M161" s="255">
        <f t="shared" si="16"/>
        <v>44.7</v>
      </c>
      <c r="N161" s="286">
        <f t="shared" si="16"/>
        <v>52.9</v>
      </c>
      <c r="O161" s="28"/>
      <c r="P161" s="410"/>
      <c r="Q161" s="34"/>
      <c r="R161" s="412"/>
      <c r="U161" s="13"/>
      <c r="W161" s="535"/>
    </row>
    <row r="162" spans="1:23" ht="27.75" customHeight="1" thickBot="1" x14ac:dyDescent="0.25">
      <c r="A162" s="398" t="s">
        <v>9</v>
      </c>
      <c r="B162" s="404" t="s">
        <v>53</v>
      </c>
      <c r="C162" s="2022" t="s">
        <v>12</v>
      </c>
      <c r="D162" s="2023"/>
      <c r="E162" s="2023"/>
      <c r="F162" s="2023"/>
      <c r="G162" s="2023"/>
      <c r="H162" s="1967"/>
      <c r="I162" s="545" t="s">
        <v>209</v>
      </c>
      <c r="J162" s="24">
        <f>J161+J158</f>
        <v>314.3</v>
      </c>
      <c r="K162" s="24">
        <f>K161+K158</f>
        <v>0</v>
      </c>
      <c r="L162" s="541">
        <v>200</v>
      </c>
      <c r="M162" s="542" t="s">
        <v>206</v>
      </c>
      <c r="N162" s="24">
        <f>N161+N158</f>
        <v>318.89999999999998</v>
      </c>
      <c r="O162" s="143"/>
      <c r="P162" s="144"/>
      <c r="Q162" s="145"/>
      <c r="R162" s="146"/>
    </row>
    <row r="163" spans="1:23" ht="13.5" thickBot="1" x14ac:dyDescent="0.25">
      <c r="A163" s="94" t="s">
        <v>9</v>
      </c>
      <c r="B163" s="11" t="s">
        <v>109</v>
      </c>
      <c r="C163" s="2024" t="s">
        <v>110</v>
      </c>
      <c r="D163" s="2025"/>
      <c r="E163" s="2025"/>
      <c r="F163" s="2025"/>
      <c r="G163" s="2025"/>
      <c r="H163" s="2025"/>
      <c r="I163" s="2025"/>
      <c r="J163" s="2025"/>
      <c r="K163" s="2025"/>
      <c r="L163" s="2025"/>
      <c r="M163" s="2025"/>
      <c r="N163" s="2025"/>
      <c r="O163" s="2025"/>
      <c r="P163" s="2025"/>
      <c r="Q163" s="2025"/>
      <c r="R163" s="2026"/>
    </row>
    <row r="164" spans="1:23" ht="14.25" customHeight="1" x14ac:dyDescent="0.2">
      <c r="A164" s="101" t="s">
        <v>9</v>
      </c>
      <c r="B164" s="90" t="s">
        <v>54</v>
      </c>
      <c r="C164" s="405" t="s">
        <v>9</v>
      </c>
      <c r="D164" s="125" t="s">
        <v>118</v>
      </c>
      <c r="E164" s="1993"/>
      <c r="F164" s="1996" t="s">
        <v>44</v>
      </c>
      <c r="G164" s="1999">
        <v>6</v>
      </c>
      <c r="H164" s="375" t="s">
        <v>36</v>
      </c>
      <c r="I164" s="348">
        <f>J164+L164</f>
        <v>12686.1</v>
      </c>
      <c r="J164" s="276">
        <v>12686.1</v>
      </c>
      <c r="K164" s="276"/>
      <c r="L164" s="359"/>
      <c r="M164" s="379">
        <v>13019</v>
      </c>
      <c r="N164" s="80">
        <v>13019</v>
      </c>
      <c r="O164" s="408" t="s">
        <v>124</v>
      </c>
      <c r="P164" s="130">
        <v>116</v>
      </c>
      <c r="Q164" s="130">
        <v>116</v>
      </c>
      <c r="R164" s="131">
        <v>116</v>
      </c>
    </row>
    <row r="165" spans="1:23" ht="15" customHeight="1" x14ac:dyDescent="0.2">
      <c r="A165" s="399"/>
      <c r="B165" s="400"/>
      <c r="C165" s="401"/>
      <c r="D165" s="126" t="s">
        <v>120</v>
      </c>
      <c r="E165" s="1994"/>
      <c r="F165" s="1997"/>
      <c r="G165" s="2000"/>
      <c r="H165" s="377"/>
      <c r="I165" s="254"/>
      <c r="J165" s="226"/>
      <c r="K165" s="226"/>
      <c r="L165" s="251"/>
      <c r="M165" s="383"/>
      <c r="N165" s="376"/>
      <c r="O165" s="395"/>
      <c r="P165" s="32"/>
      <c r="Q165" s="32"/>
      <c r="R165" s="150"/>
    </row>
    <row r="166" spans="1:23" ht="16.5" customHeight="1" x14ac:dyDescent="0.2">
      <c r="A166" s="399"/>
      <c r="B166" s="400"/>
      <c r="C166" s="401"/>
      <c r="D166" s="402" t="s">
        <v>121</v>
      </c>
      <c r="E166" s="1994"/>
      <c r="F166" s="1997"/>
      <c r="G166" s="2000"/>
      <c r="H166" s="377"/>
      <c r="I166" s="254"/>
      <c r="J166" s="226"/>
      <c r="K166" s="226"/>
      <c r="L166" s="251"/>
      <c r="M166" s="383"/>
      <c r="N166" s="376"/>
      <c r="O166" s="395"/>
      <c r="P166" s="32"/>
      <c r="Q166" s="32"/>
      <c r="R166" s="150"/>
    </row>
    <row r="167" spans="1:23" ht="15.75" customHeight="1" x14ac:dyDescent="0.2">
      <c r="A167" s="399"/>
      <c r="B167" s="400"/>
      <c r="C167" s="401"/>
      <c r="D167" s="126" t="s">
        <v>122</v>
      </c>
      <c r="E167" s="1994"/>
      <c r="F167" s="1997"/>
      <c r="G167" s="2000"/>
      <c r="H167" s="377"/>
      <c r="I167" s="254"/>
      <c r="J167" s="226"/>
      <c r="K167" s="226"/>
      <c r="L167" s="251"/>
      <c r="M167" s="383"/>
      <c r="N167" s="376"/>
      <c r="O167" s="395"/>
      <c r="P167" s="32"/>
      <c r="Q167" s="32"/>
      <c r="R167" s="150"/>
    </row>
    <row r="168" spans="1:23" s="53" customFormat="1" ht="15.75" customHeight="1" x14ac:dyDescent="0.2">
      <c r="A168" s="397"/>
      <c r="B168" s="403"/>
      <c r="C168" s="71"/>
      <c r="D168" s="126" t="s">
        <v>123</v>
      </c>
      <c r="E168" s="1994"/>
      <c r="F168" s="1997"/>
      <c r="G168" s="2000"/>
      <c r="H168" s="16"/>
      <c r="I168" s="384"/>
      <c r="J168" s="385"/>
      <c r="K168" s="386"/>
      <c r="L168" s="387"/>
      <c r="M168" s="383"/>
      <c r="N168" s="376"/>
      <c r="O168" s="395"/>
      <c r="P168" s="134"/>
      <c r="Q168" s="135"/>
      <c r="R168" s="138"/>
    </row>
    <row r="169" spans="1:23" x14ac:dyDescent="0.2">
      <c r="A169" s="2010"/>
      <c r="B169" s="2012"/>
      <c r="C169" s="2014"/>
      <c r="D169" s="2016" t="s">
        <v>119</v>
      </c>
      <c r="E169" s="1994"/>
      <c r="F169" s="1997"/>
      <c r="G169" s="2000"/>
      <c r="H169" s="380"/>
      <c r="I169" s="222"/>
      <c r="J169" s="223"/>
      <c r="K169" s="223"/>
      <c r="L169" s="239"/>
      <c r="M169" s="381"/>
      <c r="N169" s="382"/>
      <c r="O169" s="395"/>
      <c r="P169" s="32"/>
      <c r="Q169" s="32"/>
      <c r="R169" s="150"/>
    </row>
    <row r="170" spans="1:23" ht="13.5" thickBot="1" x14ac:dyDescent="0.25">
      <c r="A170" s="2011"/>
      <c r="B170" s="2013"/>
      <c r="C170" s="2015"/>
      <c r="D170" s="2017"/>
      <c r="E170" s="1995"/>
      <c r="F170" s="1998"/>
      <c r="G170" s="2001"/>
      <c r="H170" s="291" t="s">
        <v>10</v>
      </c>
      <c r="I170" s="278">
        <f t="shared" ref="I170:N170" si="17">SUM(I164:I169)</f>
        <v>12686.1</v>
      </c>
      <c r="J170" s="278">
        <f>SUM(J164:J169)</f>
        <v>12686.1</v>
      </c>
      <c r="K170" s="278">
        <f t="shared" si="17"/>
        <v>0</v>
      </c>
      <c r="L170" s="279">
        <f t="shared" si="17"/>
        <v>0</v>
      </c>
      <c r="M170" s="292">
        <f>SUM(M164:M169)</f>
        <v>13019</v>
      </c>
      <c r="N170" s="294">
        <f t="shared" si="17"/>
        <v>13019</v>
      </c>
      <c r="O170" s="28"/>
      <c r="P170" s="410"/>
      <c r="Q170" s="34"/>
      <c r="R170" s="412"/>
      <c r="U170" s="13"/>
    </row>
    <row r="171" spans="1:23" ht="12.75" customHeight="1" x14ac:dyDescent="0.2">
      <c r="A171" s="2002" t="s">
        <v>9</v>
      </c>
      <c r="B171" s="2018" t="s">
        <v>54</v>
      </c>
      <c r="C171" s="2021" t="s">
        <v>11</v>
      </c>
      <c r="D171" s="2005" t="s">
        <v>157</v>
      </c>
      <c r="E171" s="1982"/>
      <c r="F171" s="1985" t="s">
        <v>54</v>
      </c>
      <c r="G171" s="1988" t="s">
        <v>90</v>
      </c>
      <c r="H171" s="25" t="s">
        <v>36</v>
      </c>
      <c r="I171" s="240">
        <f>J171+L171</f>
        <v>39.299999999999997</v>
      </c>
      <c r="J171" s="229">
        <v>39.299999999999997</v>
      </c>
      <c r="K171" s="229"/>
      <c r="L171" s="241"/>
      <c r="M171" s="128">
        <v>56.9</v>
      </c>
      <c r="N171" s="52">
        <v>0</v>
      </c>
      <c r="O171" s="1991" t="s">
        <v>158</v>
      </c>
      <c r="P171" s="409">
        <v>1</v>
      </c>
      <c r="Q171" s="409"/>
      <c r="R171" s="411"/>
      <c r="U171" s="13"/>
    </row>
    <row r="172" spans="1:23" x14ac:dyDescent="0.2">
      <c r="A172" s="2003"/>
      <c r="B172" s="2019"/>
      <c r="C172" s="2014"/>
      <c r="D172" s="2006"/>
      <c r="E172" s="1983"/>
      <c r="F172" s="1986"/>
      <c r="G172" s="1989"/>
      <c r="H172" s="151"/>
      <c r="I172" s="238"/>
      <c r="J172" s="231"/>
      <c r="K172" s="231"/>
      <c r="L172" s="252"/>
      <c r="M172" s="83"/>
      <c r="N172" s="23"/>
      <c r="O172" s="1992"/>
      <c r="P172" s="32"/>
      <c r="Q172" s="33"/>
      <c r="R172" s="150"/>
      <c r="U172" s="13"/>
    </row>
    <row r="173" spans="1:23" ht="13.5" thickBot="1" x14ac:dyDescent="0.25">
      <c r="A173" s="2004"/>
      <c r="B173" s="2020"/>
      <c r="C173" s="2015"/>
      <c r="D173" s="2007"/>
      <c r="E173" s="1984"/>
      <c r="F173" s="1987"/>
      <c r="G173" s="1990"/>
      <c r="H173" s="291" t="s">
        <v>10</v>
      </c>
      <c r="I173" s="243">
        <f t="shared" ref="I173:N173" si="18">I171</f>
        <v>39.299999999999997</v>
      </c>
      <c r="J173" s="250">
        <f t="shared" si="18"/>
        <v>39.299999999999997</v>
      </c>
      <c r="K173" s="250">
        <f t="shared" si="18"/>
        <v>0</v>
      </c>
      <c r="L173" s="253">
        <f t="shared" si="18"/>
        <v>0</v>
      </c>
      <c r="M173" s="255">
        <f t="shared" si="18"/>
        <v>56.9</v>
      </c>
      <c r="N173" s="286">
        <f t="shared" si="18"/>
        <v>0</v>
      </c>
      <c r="O173" s="28"/>
      <c r="P173" s="410"/>
      <c r="Q173" s="34"/>
      <c r="R173" s="412"/>
      <c r="U173" s="13"/>
    </row>
    <row r="174" spans="1:23" s="53" customFormat="1" ht="12.75" customHeight="1" x14ac:dyDescent="0.2">
      <c r="A174" s="2002" t="s">
        <v>9</v>
      </c>
      <c r="B174" s="169" t="s">
        <v>54</v>
      </c>
      <c r="C174" s="170" t="s">
        <v>38</v>
      </c>
      <c r="D174" s="2005" t="s">
        <v>168</v>
      </c>
      <c r="E174" s="171"/>
      <c r="F174" s="172" t="s">
        <v>41</v>
      </c>
      <c r="G174" s="173">
        <v>6</v>
      </c>
      <c r="H174" s="157" t="s">
        <v>36</v>
      </c>
      <c r="I174" s="454">
        <f>J174</f>
        <v>3.5</v>
      </c>
      <c r="J174" s="455">
        <v>3.5</v>
      </c>
      <c r="K174" s="455"/>
      <c r="L174" s="456"/>
      <c r="M174" s="158"/>
      <c r="N174" s="159"/>
      <c r="O174" s="2008" t="s">
        <v>185</v>
      </c>
      <c r="P174" s="211">
        <v>100</v>
      </c>
      <c r="Q174" s="160"/>
      <c r="R174" s="161"/>
    </row>
    <row r="175" spans="1:23" s="53" customFormat="1" x14ac:dyDescent="0.2">
      <c r="A175" s="2003"/>
      <c r="B175" s="155"/>
      <c r="C175" s="156"/>
      <c r="D175" s="2006"/>
      <c r="E175" s="162"/>
      <c r="G175" s="163"/>
      <c r="H175" s="164"/>
      <c r="I175" s="457"/>
      <c r="J175" s="458"/>
      <c r="K175" s="458"/>
      <c r="L175" s="459"/>
      <c r="M175" s="158"/>
      <c r="N175" s="159"/>
      <c r="O175" s="2009"/>
      <c r="P175" s="165"/>
      <c r="Q175" s="165"/>
      <c r="R175" s="166"/>
    </row>
    <row r="176" spans="1:23" s="53" customFormat="1" ht="13.5" thickBot="1" x14ac:dyDescent="0.25">
      <c r="A176" s="2004"/>
      <c r="B176" s="174"/>
      <c r="C176" s="175"/>
      <c r="D176" s="2007"/>
      <c r="E176" s="176"/>
      <c r="F176" s="177"/>
      <c r="G176" s="178"/>
      <c r="H176" s="296" t="s">
        <v>10</v>
      </c>
      <c r="I176" s="460">
        <f>I174</f>
        <v>3.5</v>
      </c>
      <c r="J176" s="460">
        <f>J174</f>
        <v>3.5</v>
      </c>
      <c r="K176" s="461"/>
      <c r="L176" s="462">
        <f>SUM(L174:L175)</f>
        <v>0</v>
      </c>
      <c r="M176" s="297">
        <f>SUM(M174:M175)</f>
        <v>0</v>
      </c>
      <c r="N176" s="298">
        <f>SUM(N174:N175)</f>
        <v>0</v>
      </c>
      <c r="O176" s="2009"/>
      <c r="P176" s="212"/>
      <c r="Q176" s="167"/>
      <c r="R176" s="168"/>
    </row>
    <row r="177" spans="1:40" ht="13.5" thickBot="1" x14ac:dyDescent="0.25">
      <c r="A177" s="398" t="s">
        <v>9</v>
      </c>
      <c r="B177" s="404" t="s">
        <v>54</v>
      </c>
      <c r="C177" s="1965" t="s">
        <v>12</v>
      </c>
      <c r="D177" s="1966"/>
      <c r="E177" s="1966"/>
      <c r="F177" s="1966"/>
      <c r="G177" s="1966"/>
      <c r="H177" s="1967"/>
      <c r="I177" s="182">
        <f t="shared" ref="I177:N177" si="19">I173+I170+I176</f>
        <v>12728.9</v>
      </c>
      <c r="J177" s="24">
        <f t="shared" si="19"/>
        <v>12728.9</v>
      </c>
      <c r="K177" s="24">
        <f t="shared" si="19"/>
        <v>0</v>
      </c>
      <c r="L177" s="183">
        <f t="shared" si="19"/>
        <v>0</v>
      </c>
      <c r="M177" s="449">
        <f>M173+M170+M176</f>
        <v>13075.9</v>
      </c>
      <c r="N177" s="449">
        <f t="shared" si="19"/>
        <v>13019</v>
      </c>
      <c r="O177" s="1968"/>
      <c r="P177" s="1969"/>
      <c r="Q177" s="1969"/>
      <c r="R177" s="1970"/>
    </row>
    <row r="178" spans="1:40" ht="27.75" customHeight="1" thickBot="1" x14ac:dyDescent="0.25">
      <c r="A178" s="100" t="s">
        <v>9</v>
      </c>
      <c r="B178" s="1971" t="s">
        <v>13</v>
      </c>
      <c r="C178" s="1972"/>
      <c r="D178" s="1972"/>
      <c r="E178" s="1972"/>
      <c r="F178" s="1972"/>
      <c r="G178" s="1972"/>
      <c r="H178" s="1973"/>
      <c r="I178" s="451">
        <v>34965.800000000003</v>
      </c>
      <c r="J178" s="563" t="s">
        <v>217</v>
      </c>
      <c r="K178" s="450">
        <f>SUM(K110,K136,K150,K162,K177)</f>
        <v>742.7</v>
      </c>
      <c r="L178" s="564" t="s">
        <v>218</v>
      </c>
      <c r="M178" s="565" t="s">
        <v>219</v>
      </c>
      <c r="N178" s="102">
        <f>SUM(N110,N136,N150,N162,N177)</f>
        <v>37729.699999999997</v>
      </c>
      <c r="O178" s="1974"/>
      <c r="P178" s="1975"/>
      <c r="Q178" s="1975"/>
      <c r="R178" s="1976"/>
    </row>
    <row r="179" spans="1:40" ht="32.25" customHeight="1" thickBot="1" x14ac:dyDescent="0.25">
      <c r="A179" s="103" t="s">
        <v>55</v>
      </c>
      <c r="B179" s="1977" t="s">
        <v>128</v>
      </c>
      <c r="C179" s="1978"/>
      <c r="D179" s="1978"/>
      <c r="E179" s="1978"/>
      <c r="F179" s="1978"/>
      <c r="G179" s="1978"/>
      <c r="H179" s="1978"/>
      <c r="I179" s="295">
        <f>SUM(I178)</f>
        <v>34965.800000000003</v>
      </c>
      <c r="J179" s="569" t="s">
        <v>217</v>
      </c>
      <c r="K179" s="566">
        <f>SUM(K178)</f>
        <v>742.7</v>
      </c>
      <c r="L179" s="570" t="s">
        <v>218</v>
      </c>
      <c r="M179" s="567" t="s">
        <v>219</v>
      </c>
      <c r="N179" s="568">
        <f>SUM(N178)</f>
        <v>37729.699999999997</v>
      </c>
      <c r="O179" s="1979"/>
      <c r="P179" s="1980"/>
      <c r="Q179" s="1980"/>
      <c r="R179" s="1981"/>
    </row>
    <row r="180" spans="1:40" s="22" customFormat="1" ht="19.5" customHeight="1" x14ac:dyDescent="0.2">
      <c r="A180" s="1962"/>
      <c r="B180" s="1962"/>
      <c r="C180" s="1962"/>
      <c r="D180" s="1962"/>
      <c r="E180" s="1962"/>
      <c r="F180" s="1962"/>
      <c r="G180" s="1962"/>
      <c r="H180" s="1962"/>
      <c r="I180" s="1962"/>
      <c r="J180" s="1962"/>
      <c r="K180" s="1962"/>
      <c r="L180" s="1962"/>
      <c r="M180" s="1962"/>
      <c r="N180" s="1962"/>
      <c r="O180" s="1962"/>
      <c r="P180" s="1962"/>
      <c r="Q180" s="1962"/>
      <c r="R180" s="1962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</row>
    <row r="181" spans="1:40" s="22" customFormat="1" ht="14.25" customHeight="1" x14ac:dyDescent="0.2">
      <c r="A181" s="1962"/>
      <c r="B181" s="1962"/>
      <c r="C181" s="1962"/>
      <c r="D181" s="1962"/>
      <c r="E181" s="1962"/>
      <c r="F181" s="1962"/>
      <c r="G181" s="1962"/>
      <c r="H181" s="1962"/>
      <c r="I181" s="1962"/>
      <c r="J181" s="1962"/>
      <c r="K181" s="1962"/>
      <c r="L181" s="1962"/>
      <c r="M181" s="63"/>
      <c r="N181" s="63"/>
      <c r="O181" s="63"/>
      <c r="P181" s="63"/>
      <c r="Q181" s="63"/>
      <c r="R181" s="63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</row>
    <row r="182" spans="1:40" x14ac:dyDescent="0.2">
      <c r="I182" s="58"/>
      <c r="J182" s="299"/>
      <c r="K182" s="299"/>
      <c r="L182" s="299"/>
      <c r="M182" s="299"/>
      <c r="N182" s="58"/>
      <c r="O182" s="81"/>
      <c r="P182" s="5"/>
      <c r="Q182" s="5"/>
      <c r="R182" s="5"/>
    </row>
    <row r="183" spans="1:40" x14ac:dyDescent="0.2">
      <c r="I183" s="452"/>
      <c r="J183" s="453"/>
      <c r="K183" s="81"/>
      <c r="P183" s="5"/>
      <c r="Q183" s="5"/>
      <c r="R183" s="5"/>
    </row>
    <row r="184" spans="1:40" x14ac:dyDescent="0.2">
      <c r="J184" s="299"/>
      <c r="M184" s="388"/>
      <c r="P184" s="5"/>
      <c r="Q184" s="5"/>
      <c r="R184" s="5"/>
    </row>
  </sheetData>
  <mergeCells count="396">
    <mergeCell ref="D30:D31"/>
    <mergeCell ref="O30:O31"/>
    <mergeCell ref="E30:E31"/>
    <mergeCell ref="P13:P14"/>
    <mergeCell ref="Q13:Q14"/>
    <mergeCell ref="R13:R14"/>
    <mergeCell ref="A2:R2"/>
    <mergeCell ref="A3:R3"/>
    <mergeCell ref="A4:R4"/>
    <mergeCell ref="P5:R5"/>
    <mergeCell ref="A6:A8"/>
    <mergeCell ref="B6:B8"/>
    <mergeCell ref="C6:C8"/>
    <mergeCell ref="D6:D8"/>
    <mergeCell ref="E6:E8"/>
    <mergeCell ref="I7:I8"/>
    <mergeCell ref="J7:K7"/>
    <mergeCell ref="L7:L8"/>
    <mergeCell ref="O7:O8"/>
    <mergeCell ref="P7:R7"/>
    <mergeCell ref="E19:E25"/>
    <mergeCell ref="E15:E16"/>
    <mergeCell ref="E17:E18"/>
    <mergeCell ref="F17:F18"/>
    <mergeCell ref="G17:G18"/>
    <mergeCell ref="A9:R9"/>
    <mergeCell ref="I6:L6"/>
    <mergeCell ref="M6:M8"/>
    <mergeCell ref="N6:N8"/>
    <mergeCell ref="O6:R6"/>
    <mergeCell ref="F6:F8"/>
    <mergeCell ref="G6:G8"/>
    <mergeCell ref="H6:H8"/>
    <mergeCell ref="A10:R10"/>
    <mergeCell ref="B11:R11"/>
    <mergeCell ref="C12:R12"/>
    <mergeCell ref="A13:A14"/>
    <mergeCell ref="B13:B14"/>
    <mergeCell ref="C13:C14"/>
    <mergeCell ref="D13:D14"/>
    <mergeCell ref="E13:E14"/>
    <mergeCell ref="F13:F14"/>
    <mergeCell ref="G13:G14"/>
    <mergeCell ref="O13:O14"/>
    <mergeCell ref="F33:F34"/>
    <mergeCell ref="D26:D27"/>
    <mergeCell ref="E26:E27"/>
    <mergeCell ref="D28:D29"/>
    <mergeCell ref="E28:E29"/>
    <mergeCell ref="F15:F16"/>
    <mergeCell ref="G15:G16"/>
    <mergeCell ref="O15:O16"/>
    <mergeCell ref="A17:A18"/>
    <mergeCell ref="B17:B18"/>
    <mergeCell ref="C17:C18"/>
    <mergeCell ref="D17:D18"/>
    <mergeCell ref="O17:O18"/>
    <mergeCell ref="F19:F25"/>
    <mergeCell ref="G19:G25"/>
    <mergeCell ref="O19:O20"/>
    <mergeCell ref="A15:A16"/>
    <mergeCell ref="B15:B16"/>
    <mergeCell ref="C15:C16"/>
    <mergeCell ref="D15:D16"/>
    <mergeCell ref="A19:A25"/>
    <mergeCell ref="B19:B25"/>
    <mergeCell ref="C19:C25"/>
    <mergeCell ref="D19:D25"/>
    <mergeCell ref="O37:O38"/>
    <mergeCell ref="P37:P38"/>
    <mergeCell ref="Q37:Q38"/>
    <mergeCell ref="R37:R38"/>
    <mergeCell ref="A39:A41"/>
    <mergeCell ref="B39:B41"/>
    <mergeCell ref="C39:C41"/>
    <mergeCell ref="D39:D41"/>
    <mergeCell ref="G33:G34"/>
    <mergeCell ref="A35:A38"/>
    <mergeCell ref="B35:B38"/>
    <mergeCell ref="C35:C38"/>
    <mergeCell ref="D35:D38"/>
    <mergeCell ref="E35:E38"/>
    <mergeCell ref="F35:F38"/>
    <mergeCell ref="G35:G38"/>
    <mergeCell ref="P40:P41"/>
    <mergeCell ref="Q40:Q41"/>
    <mergeCell ref="R40:R41"/>
    <mergeCell ref="A33:A34"/>
    <mergeCell ref="B33:B34"/>
    <mergeCell ref="C33:C34"/>
    <mergeCell ref="D33:D34"/>
    <mergeCell ref="E33:E34"/>
    <mergeCell ref="D42:D44"/>
    <mergeCell ref="E42:E44"/>
    <mergeCell ref="F42:F44"/>
    <mergeCell ref="G42:G44"/>
    <mergeCell ref="O43:O44"/>
    <mergeCell ref="E39:E41"/>
    <mergeCell ref="F39:F41"/>
    <mergeCell ref="G39:G41"/>
    <mergeCell ref="O40:O41"/>
    <mergeCell ref="F45:F46"/>
    <mergeCell ref="G45:G46"/>
    <mergeCell ref="A47:A49"/>
    <mergeCell ref="B47:B49"/>
    <mergeCell ref="C47:C49"/>
    <mergeCell ref="D47:D49"/>
    <mergeCell ref="F47:F49"/>
    <mergeCell ref="A45:A46"/>
    <mergeCell ref="B45:B46"/>
    <mergeCell ref="C45:C46"/>
    <mergeCell ref="D45:D46"/>
    <mergeCell ref="E45:E49"/>
    <mergeCell ref="G47:G49"/>
    <mergeCell ref="O48:O49"/>
    <mergeCell ref="A50:A51"/>
    <mergeCell ref="B50:B51"/>
    <mergeCell ref="C50:C51"/>
    <mergeCell ref="D50:D51"/>
    <mergeCell ref="E50:E51"/>
    <mergeCell ref="F50:F51"/>
    <mergeCell ref="G50:G51"/>
    <mergeCell ref="O52:O53"/>
    <mergeCell ref="D54:D56"/>
    <mergeCell ref="O54:O55"/>
    <mergeCell ref="O59:O60"/>
    <mergeCell ref="D60:D61"/>
    <mergeCell ref="O50:O51"/>
    <mergeCell ref="A52:A53"/>
    <mergeCell ref="B52:B53"/>
    <mergeCell ref="C52:C53"/>
    <mergeCell ref="D52:D53"/>
    <mergeCell ref="E52:E53"/>
    <mergeCell ref="F52:F53"/>
    <mergeCell ref="G52:G53"/>
    <mergeCell ref="F62:F63"/>
    <mergeCell ref="G62:G63"/>
    <mergeCell ref="O62:O63"/>
    <mergeCell ref="P62:P63"/>
    <mergeCell ref="Q62:Q63"/>
    <mergeCell ref="R62:R63"/>
    <mergeCell ref="A62:A63"/>
    <mergeCell ref="B62:B63"/>
    <mergeCell ref="C62:C63"/>
    <mergeCell ref="D62:D63"/>
    <mergeCell ref="E62:E63"/>
    <mergeCell ref="R64:R65"/>
    <mergeCell ref="A67:A70"/>
    <mergeCell ref="B67:B70"/>
    <mergeCell ref="C67:C70"/>
    <mergeCell ref="D67:D70"/>
    <mergeCell ref="E67:E70"/>
    <mergeCell ref="F67:F70"/>
    <mergeCell ref="G67:G70"/>
    <mergeCell ref="F64:F66"/>
    <mergeCell ref="G64:G66"/>
    <mergeCell ref="O64:O65"/>
    <mergeCell ref="P64:P65"/>
    <mergeCell ref="Q64:Q65"/>
    <mergeCell ref="A64:A66"/>
    <mergeCell ref="B64:B66"/>
    <mergeCell ref="C64:C66"/>
    <mergeCell ref="D64:D66"/>
    <mergeCell ref="E64:E66"/>
    <mergeCell ref="O67:O68"/>
    <mergeCell ref="P67:P68"/>
    <mergeCell ref="Q67:Q68"/>
    <mergeCell ref="R67:R68"/>
    <mergeCell ref="A71:A72"/>
    <mergeCell ref="B71:B72"/>
    <mergeCell ref="C71:C72"/>
    <mergeCell ref="D71:D72"/>
    <mergeCell ref="E71:E72"/>
    <mergeCell ref="A76:A77"/>
    <mergeCell ref="F71:F72"/>
    <mergeCell ref="G71:G72"/>
    <mergeCell ref="A73:A74"/>
    <mergeCell ref="B73:B74"/>
    <mergeCell ref="C73:C74"/>
    <mergeCell ref="D73:D74"/>
    <mergeCell ref="E73:E74"/>
    <mergeCell ref="F73:F74"/>
    <mergeCell ref="G73:G74"/>
    <mergeCell ref="G76:G77"/>
    <mergeCell ref="O76:O77"/>
    <mergeCell ref="A78:A81"/>
    <mergeCell ref="B78:B81"/>
    <mergeCell ref="C78:C81"/>
    <mergeCell ref="D78:D81"/>
    <mergeCell ref="E78:E81"/>
    <mergeCell ref="B76:B77"/>
    <mergeCell ref="C76:C77"/>
    <mergeCell ref="D76:D77"/>
    <mergeCell ref="E76:E77"/>
    <mergeCell ref="F76:F77"/>
    <mergeCell ref="P82:P83"/>
    <mergeCell ref="Q82:Q83"/>
    <mergeCell ref="R82:R83"/>
    <mergeCell ref="O84:O85"/>
    <mergeCell ref="F78:F81"/>
    <mergeCell ref="G78:G81"/>
    <mergeCell ref="O78:O79"/>
    <mergeCell ref="A82:A87"/>
    <mergeCell ref="B82:B87"/>
    <mergeCell ref="C82:C87"/>
    <mergeCell ref="D82:D87"/>
    <mergeCell ref="E82:E83"/>
    <mergeCell ref="O86:O87"/>
    <mergeCell ref="A88:A90"/>
    <mergeCell ref="B88:B90"/>
    <mergeCell ref="C88:C90"/>
    <mergeCell ref="D88:D90"/>
    <mergeCell ref="E88:E90"/>
    <mergeCell ref="F88:F90"/>
    <mergeCell ref="G88:G89"/>
    <mergeCell ref="F82:F87"/>
    <mergeCell ref="O82:O83"/>
    <mergeCell ref="O91:O93"/>
    <mergeCell ref="D95:D96"/>
    <mergeCell ref="O95:O96"/>
    <mergeCell ref="A91:A94"/>
    <mergeCell ref="B91:B94"/>
    <mergeCell ref="C91:C94"/>
    <mergeCell ref="D91:D94"/>
    <mergeCell ref="E91:E94"/>
    <mergeCell ref="F91:F94"/>
    <mergeCell ref="G91:G94"/>
    <mergeCell ref="F102:F105"/>
    <mergeCell ref="G102:G105"/>
    <mergeCell ref="O102:O103"/>
    <mergeCell ref="O104:O105"/>
    <mergeCell ref="A106:A109"/>
    <mergeCell ref="B106:B109"/>
    <mergeCell ref="C106:C109"/>
    <mergeCell ref="D106:D109"/>
    <mergeCell ref="A102:A105"/>
    <mergeCell ref="B102:B105"/>
    <mergeCell ref="C102:C105"/>
    <mergeCell ref="D102:D105"/>
    <mergeCell ref="E102:E105"/>
    <mergeCell ref="C110:H110"/>
    <mergeCell ref="C111:R111"/>
    <mergeCell ref="A112:A115"/>
    <mergeCell ref="B112:B115"/>
    <mergeCell ref="C112:C115"/>
    <mergeCell ref="D112:D115"/>
    <mergeCell ref="E112:E115"/>
    <mergeCell ref="E106:E109"/>
    <mergeCell ref="F106:F109"/>
    <mergeCell ref="G106:G109"/>
    <mergeCell ref="O106:O107"/>
    <mergeCell ref="O108:O109"/>
    <mergeCell ref="F116:F118"/>
    <mergeCell ref="G116:G118"/>
    <mergeCell ref="O116:O118"/>
    <mergeCell ref="A119:A123"/>
    <mergeCell ref="B119:B123"/>
    <mergeCell ref="C119:C123"/>
    <mergeCell ref="D119:D123"/>
    <mergeCell ref="E119:E123"/>
    <mergeCell ref="F112:F115"/>
    <mergeCell ref="G112:G115"/>
    <mergeCell ref="O112:O114"/>
    <mergeCell ref="A116:A118"/>
    <mergeCell ref="B116:B118"/>
    <mergeCell ref="C116:C118"/>
    <mergeCell ref="D116:D118"/>
    <mergeCell ref="E116:E118"/>
    <mergeCell ref="F119:F123"/>
    <mergeCell ref="G119:G123"/>
    <mergeCell ref="O119:O120"/>
    <mergeCell ref="O121:O122"/>
    <mergeCell ref="A124:A126"/>
    <mergeCell ref="B124:B126"/>
    <mergeCell ref="C124:C126"/>
    <mergeCell ref="D124:D126"/>
    <mergeCell ref="E127:E129"/>
    <mergeCell ref="F127:F129"/>
    <mergeCell ref="G127:G129"/>
    <mergeCell ref="O127:O129"/>
    <mergeCell ref="P127:P128"/>
    <mergeCell ref="E124:E126"/>
    <mergeCell ref="F124:F126"/>
    <mergeCell ref="G124:G126"/>
    <mergeCell ref="O124:O125"/>
    <mergeCell ref="A127:A129"/>
    <mergeCell ref="B127:B129"/>
    <mergeCell ref="C127:C129"/>
    <mergeCell ref="D127:D129"/>
    <mergeCell ref="F130:F132"/>
    <mergeCell ref="G130:G132"/>
    <mergeCell ref="A133:A135"/>
    <mergeCell ref="B133:B135"/>
    <mergeCell ref="C133:C135"/>
    <mergeCell ref="D133:D135"/>
    <mergeCell ref="E133:E135"/>
    <mergeCell ref="F133:F135"/>
    <mergeCell ref="G133:G135"/>
    <mergeCell ref="A130:A132"/>
    <mergeCell ref="B130:B132"/>
    <mergeCell ref="C130:C132"/>
    <mergeCell ref="D130:D132"/>
    <mergeCell ref="E130:E132"/>
    <mergeCell ref="C136:H136"/>
    <mergeCell ref="O136:R136"/>
    <mergeCell ref="C137:R137"/>
    <mergeCell ref="A138:A141"/>
    <mergeCell ref="B138:B141"/>
    <mergeCell ref="C138:C141"/>
    <mergeCell ref="D138:D141"/>
    <mergeCell ref="E138:E141"/>
    <mergeCell ref="F138:F141"/>
    <mergeCell ref="G142:G144"/>
    <mergeCell ref="O142:O143"/>
    <mergeCell ref="A145:A147"/>
    <mergeCell ref="B145:B147"/>
    <mergeCell ref="C145:C147"/>
    <mergeCell ref="D145:D147"/>
    <mergeCell ref="E145:E147"/>
    <mergeCell ref="F145:F147"/>
    <mergeCell ref="G138:G141"/>
    <mergeCell ref="O138:O141"/>
    <mergeCell ref="A142:A144"/>
    <mergeCell ref="B142:B144"/>
    <mergeCell ref="C142:C144"/>
    <mergeCell ref="D142:D144"/>
    <mergeCell ref="E142:E144"/>
    <mergeCell ref="F142:F144"/>
    <mergeCell ref="G148:G149"/>
    <mergeCell ref="O148:O149"/>
    <mergeCell ref="P148:P149"/>
    <mergeCell ref="Q148:Q149"/>
    <mergeCell ref="R148:R149"/>
    <mergeCell ref="G145:G147"/>
    <mergeCell ref="O145:O146"/>
    <mergeCell ref="A148:A149"/>
    <mergeCell ref="B148:B149"/>
    <mergeCell ref="C148:C149"/>
    <mergeCell ref="D148:D149"/>
    <mergeCell ref="E148:E149"/>
    <mergeCell ref="F148:F149"/>
    <mergeCell ref="C150:H150"/>
    <mergeCell ref="O150:R150"/>
    <mergeCell ref="C151:R151"/>
    <mergeCell ref="A153:A155"/>
    <mergeCell ref="B153:B155"/>
    <mergeCell ref="C153:C155"/>
    <mergeCell ref="D153:D155"/>
    <mergeCell ref="E153:E155"/>
    <mergeCell ref="F153:F155"/>
    <mergeCell ref="G159:G161"/>
    <mergeCell ref="C162:H162"/>
    <mergeCell ref="C163:R163"/>
    <mergeCell ref="G156:G157"/>
    <mergeCell ref="O156:O157"/>
    <mergeCell ref="G153:G155"/>
    <mergeCell ref="O153:O155"/>
    <mergeCell ref="A156:A157"/>
    <mergeCell ref="B156:B157"/>
    <mergeCell ref="C156:C157"/>
    <mergeCell ref="D156:D157"/>
    <mergeCell ref="E156:E157"/>
    <mergeCell ref="F156:F157"/>
    <mergeCell ref="B171:B173"/>
    <mergeCell ref="C171:C173"/>
    <mergeCell ref="D171:D173"/>
    <mergeCell ref="A159:A161"/>
    <mergeCell ref="B159:B161"/>
    <mergeCell ref="C159:C161"/>
    <mergeCell ref="D159:D161"/>
    <mergeCell ref="E159:E161"/>
    <mergeCell ref="F159:F161"/>
    <mergeCell ref="A180:R180"/>
    <mergeCell ref="A181:L181"/>
    <mergeCell ref="O1:R1"/>
    <mergeCell ref="C177:H177"/>
    <mergeCell ref="O177:R177"/>
    <mergeCell ref="B178:H178"/>
    <mergeCell ref="O178:R178"/>
    <mergeCell ref="B179:H179"/>
    <mergeCell ref="O179:R179"/>
    <mergeCell ref="E171:E173"/>
    <mergeCell ref="F171:F173"/>
    <mergeCell ref="G171:G173"/>
    <mergeCell ref="O171:O172"/>
    <mergeCell ref="E164:E170"/>
    <mergeCell ref="F164:F170"/>
    <mergeCell ref="G164:G170"/>
    <mergeCell ref="A174:A176"/>
    <mergeCell ref="D174:D176"/>
    <mergeCell ref="O174:O176"/>
    <mergeCell ref="A169:A170"/>
    <mergeCell ref="B169:B170"/>
    <mergeCell ref="C169:C170"/>
    <mergeCell ref="D169:D170"/>
    <mergeCell ref="A171:A17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4" manualBreakCount="4">
    <brk id="27" max="17" man="1"/>
    <brk id="49" max="17" man="1"/>
    <brk id="110" max="17" man="1"/>
    <brk id="129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53"/>
  <sheetViews>
    <sheetView tabSelected="1" zoomScaleNormal="100" zoomScaleSheetLayoutView="100" workbookViewId="0">
      <selection activeCell="S20" sqref="S20"/>
    </sheetView>
  </sheetViews>
  <sheetFormatPr defaultRowHeight="12.75" x14ac:dyDescent="0.2"/>
  <cols>
    <col min="1" max="3" width="2.7109375" style="10" customWidth="1"/>
    <col min="4" max="4" width="32.140625" style="10" customWidth="1"/>
    <col min="5" max="5" width="2.7109375" style="48" customWidth="1"/>
    <col min="6" max="6" width="2.7109375" style="65" customWidth="1"/>
    <col min="7" max="7" width="6.85546875" style="91" customWidth="1"/>
    <col min="8" max="8" width="9.5703125" style="91" customWidth="1"/>
    <col min="9" max="9" width="10.140625" style="10" customWidth="1"/>
    <col min="10" max="10" width="9.85546875" style="10" customWidth="1"/>
    <col min="11" max="11" width="37.140625" style="10" customWidth="1"/>
    <col min="12" max="12" width="5.28515625" style="10" customWidth="1"/>
    <col min="13" max="13" width="4.85546875" style="10" customWidth="1"/>
    <col min="14" max="14" width="5.5703125" style="10" customWidth="1"/>
    <col min="15" max="16384" width="9.140625" style="5"/>
  </cols>
  <sheetData>
    <row r="1" spans="1:17" ht="15.75" x14ac:dyDescent="0.2">
      <c r="A1" s="2218" t="s">
        <v>347</v>
      </c>
      <c r="B1" s="2218"/>
      <c r="C1" s="2218"/>
      <c r="D1" s="2218"/>
      <c r="E1" s="2218"/>
      <c r="F1" s="2218"/>
      <c r="G1" s="2218"/>
      <c r="H1" s="2218"/>
      <c r="I1" s="2218"/>
      <c r="J1" s="2218"/>
      <c r="K1" s="2218"/>
      <c r="L1" s="2218"/>
      <c r="M1" s="2218"/>
      <c r="N1" s="2218"/>
    </row>
    <row r="2" spans="1:17" ht="15.75" x14ac:dyDescent="0.2">
      <c r="A2" s="2219" t="s">
        <v>37</v>
      </c>
      <c r="B2" s="2219"/>
      <c r="C2" s="2219"/>
      <c r="D2" s="2219"/>
      <c r="E2" s="2219"/>
      <c r="F2" s="2219"/>
      <c r="G2" s="2219"/>
      <c r="H2" s="2219"/>
      <c r="I2" s="2219"/>
      <c r="J2" s="2219"/>
      <c r="K2" s="2219"/>
      <c r="L2" s="2219"/>
      <c r="M2" s="2219"/>
      <c r="N2" s="2219"/>
    </row>
    <row r="3" spans="1:17" ht="15.75" x14ac:dyDescent="0.2">
      <c r="A3" s="2220" t="s">
        <v>23</v>
      </c>
      <c r="B3" s="2220"/>
      <c r="C3" s="2220"/>
      <c r="D3" s="2220"/>
      <c r="E3" s="2220"/>
      <c r="F3" s="2220"/>
      <c r="G3" s="2220"/>
      <c r="H3" s="2220"/>
      <c r="I3" s="2220"/>
      <c r="J3" s="2220"/>
      <c r="K3" s="2220"/>
      <c r="L3" s="2220"/>
      <c r="M3" s="2220"/>
      <c r="N3" s="2220"/>
      <c r="O3" s="1"/>
      <c r="P3" s="1"/>
      <c r="Q3" s="1"/>
    </row>
    <row r="4" spans="1:17" ht="13.5" thickBot="1" x14ac:dyDescent="0.25">
      <c r="L4" s="2221" t="s">
        <v>345</v>
      </c>
      <c r="M4" s="2221"/>
      <c r="N4" s="2221"/>
    </row>
    <row r="5" spans="1:17" ht="31.5" customHeight="1" x14ac:dyDescent="0.2">
      <c r="A5" s="2359" t="s">
        <v>24</v>
      </c>
      <c r="B5" s="2362" t="s">
        <v>1</v>
      </c>
      <c r="C5" s="2362" t="s">
        <v>2</v>
      </c>
      <c r="D5" s="2365" t="s">
        <v>16</v>
      </c>
      <c r="E5" s="2368" t="s">
        <v>3</v>
      </c>
      <c r="F5" s="2382" t="s">
        <v>4</v>
      </c>
      <c r="G5" s="2388" t="s">
        <v>5</v>
      </c>
      <c r="H5" s="2385" t="s">
        <v>241</v>
      </c>
      <c r="I5" s="2376" t="s">
        <v>142</v>
      </c>
      <c r="J5" s="2376" t="s">
        <v>242</v>
      </c>
      <c r="K5" s="2379" t="s">
        <v>15</v>
      </c>
      <c r="L5" s="2380"/>
      <c r="M5" s="2380"/>
      <c r="N5" s="2381"/>
    </row>
    <row r="6" spans="1:17" ht="15.75" customHeight="1" x14ac:dyDescent="0.2">
      <c r="A6" s="2360"/>
      <c r="B6" s="2363"/>
      <c r="C6" s="2363"/>
      <c r="D6" s="2366"/>
      <c r="E6" s="2369"/>
      <c r="F6" s="2383"/>
      <c r="G6" s="2389"/>
      <c r="H6" s="2386"/>
      <c r="I6" s="2377"/>
      <c r="J6" s="2377"/>
      <c r="K6" s="2371" t="s">
        <v>16</v>
      </c>
      <c r="L6" s="2373" t="s">
        <v>346</v>
      </c>
      <c r="M6" s="2374"/>
      <c r="N6" s="2375"/>
    </row>
    <row r="7" spans="1:17" ht="74.25" customHeight="1" thickBot="1" x14ac:dyDescent="0.25">
      <c r="A7" s="2361"/>
      <c r="B7" s="2364"/>
      <c r="C7" s="2364"/>
      <c r="D7" s="2367"/>
      <c r="E7" s="2370"/>
      <c r="F7" s="2384"/>
      <c r="G7" s="2390"/>
      <c r="H7" s="2387"/>
      <c r="I7" s="2378"/>
      <c r="J7" s="2378"/>
      <c r="K7" s="2372"/>
      <c r="L7" s="1071" t="s">
        <v>35</v>
      </c>
      <c r="M7" s="1071" t="s">
        <v>143</v>
      </c>
      <c r="N7" s="1072" t="s">
        <v>243</v>
      </c>
    </row>
    <row r="8" spans="1:17" s="31" customFormat="1" x14ac:dyDescent="0.2">
      <c r="A8" s="2178" t="s">
        <v>135</v>
      </c>
      <c r="B8" s="2179"/>
      <c r="C8" s="2179"/>
      <c r="D8" s="2179"/>
      <c r="E8" s="2179"/>
      <c r="F8" s="2179"/>
      <c r="G8" s="2179"/>
      <c r="H8" s="2179"/>
      <c r="I8" s="2179"/>
      <c r="J8" s="2179"/>
      <c r="K8" s="2179"/>
      <c r="L8" s="2179"/>
      <c r="M8" s="2179"/>
      <c r="N8" s="2180"/>
    </row>
    <row r="9" spans="1:17" s="31" customFormat="1" x14ac:dyDescent="0.2">
      <c r="A9" s="2199" t="s">
        <v>85</v>
      </c>
      <c r="B9" s="2200"/>
      <c r="C9" s="2200"/>
      <c r="D9" s="2200"/>
      <c r="E9" s="2200"/>
      <c r="F9" s="2200"/>
      <c r="G9" s="2200"/>
      <c r="H9" s="2200"/>
      <c r="I9" s="2200"/>
      <c r="J9" s="2200"/>
      <c r="K9" s="2200"/>
      <c r="L9" s="2200"/>
      <c r="M9" s="2200"/>
      <c r="N9" s="2201"/>
    </row>
    <row r="10" spans="1:17" ht="15.75" customHeight="1" x14ac:dyDescent="0.2">
      <c r="A10" s="813" t="s">
        <v>9</v>
      </c>
      <c r="B10" s="2391" t="s">
        <v>136</v>
      </c>
      <c r="C10" s="2392"/>
      <c r="D10" s="2392"/>
      <c r="E10" s="2392"/>
      <c r="F10" s="2392"/>
      <c r="G10" s="2392"/>
      <c r="H10" s="2392"/>
      <c r="I10" s="2392"/>
      <c r="J10" s="2392"/>
      <c r="K10" s="2392"/>
      <c r="L10" s="2392"/>
      <c r="M10" s="2392"/>
      <c r="N10" s="2393"/>
    </row>
    <row r="11" spans="1:17" ht="16.5" customHeight="1" x14ac:dyDescent="0.2">
      <c r="A11" s="1653" t="s">
        <v>9</v>
      </c>
      <c r="B11" s="1654" t="s">
        <v>9</v>
      </c>
      <c r="C11" s="2205" t="s">
        <v>70</v>
      </c>
      <c r="D11" s="2206"/>
      <c r="E11" s="2206"/>
      <c r="F11" s="2206"/>
      <c r="G11" s="2206"/>
      <c r="H11" s="2206"/>
      <c r="I11" s="2206"/>
      <c r="J11" s="2206"/>
      <c r="K11" s="2206"/>
      <c r="L11" s="2206"/>
      <c r="M11" s="2206"/>
      <c r="N11" s="2207"/>
    </row>
    <row r="12" spans="1:17" ht="26.25" customHeight="1" x14ac:dyDescent="0.2">
      <c r="A12" s="1651" t="s">
        <v>9</v>
      </c>
      <c r="B12" s="1646" t="s">
        <v>9</v>
      </c>
      <c r="C12" s="1647" t="s">
        <v>9</v>
      </c>
      <c r="D12" s="1648" t="s">
        <v>112</v>
      </c>
      <c r="E12" s="1645"/>
      <c r="F12" s="1650"/>
      <c r="G12" s="1652"/>
      <c r="H12" s="1790"/>
      <c r="I12" s="1655"/>
      <c r="J12" s="1655"/>
      <c r="K12" s="1649"/>
      <c r="L12" s="1643"/>
      <c r="M12" s="1643"/>
      <c r="N12" s="1644"/>
    </row>
    <row r="13" spans="1:17" ht="15.75" x14ac:dyDescent="0.2">
      <c r="A13" s="1420"/>
      <c r="B13" s="1412"/>
      <c r="C13" s="1413"/>
      <c r="D13" s="1885" t="s">
        <v>46</v>
      </c>
      <c r="E13" s="1887"/>
      <c r="F13" s="1881" t="s">
        <v>40</v>
      </c>
      <c r="G13" s="140" t="s">
        <v>36</v>
      </c>
      <c r="H13" s="1798">
        <f>632.1/3.4528*1000</f>
        <v>183068.81371640408</v>
      </c>
      <c r="I13" s="1670">
        <f>696/3.4528*1000</f>
        <v>201575.53290083411</v>
      </c>
      <c r="J13" s="1670">
        <f>727.4/3.4528*1000</f>
        <v>210669.60148285449</v>
      </c>
      <c r="K13" s="1892" t="s">
        <v>97</v>
      </c>
      <c r="L13" s="1912">
        <v>3.38</v>
      </c>
      <c r="M13" s="1912">
        <v>3.39</v>
      </c>
      <c r="N13" s="1913">
        <v>3.4</v>
      </c>
    </row>
    <row r="14" spans="1:17" ht="12.75" customHeight="1" x14ac:dyDescent="0.2">
      <c r="A14" s="2293"/>
      <c r="B14" s="2101"/>
      <c r="C14" s="2122"/>
      <c r="D14" s="2355" t="s">
        <v>47</v>
      </c>
      <c r="E14" s="2353" t="s">
        <v>284</v>
      </c>
      <c r="F14" s="2311"/>
      <c r="G14" s="320"/>
      <c r="H14" s="1792"/>
      <c r="I14" s="1657"/>
      <c r="J14" s="1657"/>
      <c r="K14" s="1914" t="s">
        <v>49</v>
      </c>
      <c r="L14" s="1548">
        <v>2</v>
      </c>
      <c r="M14" s="1548">
        <v>3</v>
      </c>
      <c r="N14" s="1577">
        <v>3</v>
      </c>
    </row>
    <row r="15" spans="1:17" x14ac:dyDescent="0.2">
      <c r="A15" s="2293"/>
      <c r="B15" s="2101"/>
      <c r="C15" s="2122"/>
      <c r="D15" s="2175"/>
      <c r="E15" s="2125"/>
      <c r="F15" s="1989"/>
      <c r="G15" s="16"/>
      <c r="H15" s="1792"/>
      <c r="I15" s="1658"/>
      <c r="J15" s="1658"/>
      <c r="K15" s="889" t="s">
        <v>313</v>
      </c>
      <c r="L15" s="890">
        <v>3</v>
      </c>
      <c r="M15" s="890">
        <v>3</v>
      </c>
      <c r="N15" s="891">
        <v>3</v>
      </c>
    </row>
    <row r="16" spans="1:17" ht="27.75" customHeight="1" x14ac:dyDescent="0.2">
      <c r="A16" s="1420"/>
      <c r="B16" s="1412"/>
      <c r="C16" s="1413"/>
      <c r="D16" s="1911"/>
      <c r="E16" s="2354"/>
      <c r="F16" s="1729"/>
      <c r="G16" s="141"/>
      <c r="H16" s="1792"/>
      <c r="I16" s="1658"/>
      <c r="J16" s="1658"/>
      <c r="K16" s="1915" t="s">
        <v>354</v>
      </c>
      <c r="L16" s="1085">
        <v>100</v>
      </c>
      <c r="M16" s="1085"/>
      <c r="N16" s="1086"/>
    </row>
    <row r="17" spans="1:14" ht="15" customHeight="1" x14ac:dyDescent="0.2">
      <c r="A17" s="2293"/>
      <c r="B17" s="2101"/>
      <c r="C17" s="2122"/>
      <c r="D17" s="2175" t="s">
        <v>48</v>
      </c>
      <c r="E17" s="2125"/>
      <c r="F17" s="1989"/>
      <c r="G17" s="141"/>
      <c r="H17" s="1792"/>
      <c r="I17" s="1656"/>
      <c r="J17" s="1656"/>
      <c r="K17" s="1961" t="s">
        <v>337</v>
      </c>
      <c r="L17" s="1896">
        <v>25</v>
      </c>
      <c r="M17" s="1896">
        <v>30</v>
      </c>
      <c r="N17" s="1897">
        <v>35</v>
      </c>
    </row>
    <row r="18" spans="1:14" ht="15.75" customHeight="1" x14ac:dyDescent="0.2">
      <c r="A18" s="2293"/>
      <c r="B18" s="2101"/>
      <c r="C18" s="2122"/>
      <c r="D18" s="2175"/>
      <c r="E18" s="2125"/>
      <c r="F18" s="1989"/>
      <c r="G18" s="141"/>
      <c r="H18" s="1792"/>
      <c r="I18" s="1659"/>
      <c r="J18" s="1659"/>
      <c r="K18" s="1007" t="s">
        <v>314</v>
      </c>
      <c r="L18" s="1186">
        <v>111</v>
      </c>
      <c r="M18" s="1186">
        <v>112</v>
      </c>
      <c r="N18" s="891">
        <v>112</v>
      </c>
    </row>
    <row r="19" spans="1:14" ht="29.25" customHeight="1" x14ac:dyDescent="0.2">
      <c r="A19" s="2293"/>
      <c r="B19" s="2101"/>
      <c r="C19" s="2122"/>
      <c r="D19" s="2175"/>
      <c r="E19" s="2125"/>
      <c r="F19" s="1989"/>
      <c r="G19" s="141"/>
      <c r="H19" s="1792"/>
      <c r="I19" s="1659"/>
      <c r="J19" s="1659"/>
      <c r="K19" s="929" t="s">
        <v>355</v>
      </c>
      <c r="L19" s="890">
        <v>1</v>
      </c>
      <c r="M19" s="890">
        <v>1</v>
      </c>
      <c r="N19" s="891">
        <v>1</v>
      </c>
    </row>
    <row r="20" spans="1:14" ht="15.75" customHeight="1" x14ac:dyDescent="0.2">
      <c r="A20" s="2293"/>
      <c r="B20" s="2101"/>
      <c r="C20" s="2122"/>
      <c r="D20" s="2175"/>
      <c r="E20" s="2125"/>
      <c r="F20" s="1989"/>
      <c r="G20" s="141"/>
      <c r="H20" s="1792"/>
      <c r="I20" s="1659"/>
      <c r="J20" s="1659"/>
      <c r="K20" s="929" t="s">
        <v>299</v>
      </c>
      <c r="L20" s="1187" t="s">
        <v>300</v>
      </c>
      <c r="M20" s="1187" t="s">
        <v>300</v>
      </c>
      <c r="N20" s="1188" t="s">
        <v>300</v>
      </c>
    </row>
    <row r="21" spans="1:14" ht="14.25" customHeight="1" x14ac:dyDescent="0.2">
      <c r="A21" s="2293"/>
      <c r="B21" s="2101"/>
      <c r="C21" s="2122"/>
      <c r="D21" s="2175"/>
      <c r="E21" s="2125"/>
      <c r="F21" s="1989"/>
      <c r="G21" s="141"/>
      <c r="H21" s="1792"/>
      <c r="I21" s="1658"/>
      <c r="J21" s="1658"/>
      <c r="K21" s="929" t="s">
        <v>293</v>
      </c>
      <c r="L21" s="1187" t="s">
        <v>289</v>
      </c>
      <c r="M21" s="1187" t="s">
        <v>290</v>
      </c>
      <c r="N21" s="1188" t="s">
        <v>290</v>
      </c>
    </row>
    <row r="22" spans="1:14" ht="15.75" customHeight="1" x14ac:dyDescent="0.2">
      <c r="A22" s="2293"/>
      <c r="B22" s="2101"/>
      <c r="C22" s="2122"/>
      <c r="D22" s="2175"/>
      <c r="E22" s="2125"/>
      <c r="F22" s="1989"/>
      <c r="G22" s="141"/>
      <c r="H22" s="1792"/>
      <c r="I22" s="1658"/>
      <c r="J22" s="1658"/>
      <c r="K22" s="929" t="s">
        <v>292</v>
      </c>
      <c r="L22" s="1187" t="s">
        <v>291</v>
      </c>
      <c r="M22" s="1187" t="s">
        <v>291</v>
      </c>
      <c r="N22" s="1188" t="s">
        <v>291</v>
      </c>
    </row>
    <row r="23" spans="1:14" ht="27" customHeight="1" x14ac:dyDescent="0.2">
      <c r="A23" s="2293"/>
      <c r="B23" s="2101"/>
      <c r="C23" s="2122"/>
      <c r="D23" s="2177"/>
      <c r="E23" s="2155"/>
      <c r="F23" s="2096"/>
      <c r="G23" s="141"/>
      <c r="H23" s="1792"/>
      <c r="I23" s="1658"/>
      <c r="J23" s="1658"/>
      <c r="K23" s="1419" t="s">
        <v>315</v>
      </c>
      <c r="L23" s="1838">
        <v>100</v>
      </c>
      <c r="M23" s="1838"/>
      <c r="N23" s="1839"/>
    </row>
    <row r="24" spans="1:14" ht="12.75" customHeight="1" x14ac:dyDescent="0.2">
      <c r="A24" s="814"/>
      <c r="B24" s="1412"/>
      <c r="C24" s="1413"/>
      <c r="D24" s="2321" t="s">
        <v>247</v>
      </c>
      <c r="E24" s="2350" t="s">
        <v>91</v>
      </c>
      <c r="F24" s="781" t="s">
        <v>40</v>
      </c>
      <c r="G24" s="900" t="s">
        <v>36</v>
      </c>
      <c r="H24" s="1793">
        <f>936.2/3.4528*1000</f>
        <v>271142.26135310472</v>
      </c>
      <c r="I24" s="1660">
        <f>943.3/3.4528*1000</f>
        <v>273198.56348470808</v>
      </c>
      <c r="J24" s="1661"/>
      <c r="K24" s="1193"/>
      <c r="L24" s="1840"/>
      <c r="M24" s="1840"/>
      <c r="N24" s="1841"/>
    </row>
    <row r="25" spans="1:14" ht="15" customHeight="1" x14ac:dyDescent="0.2">
      <c r="A25" s="814"/>
      <c r="B25" s="1412"/>
      <c r="C25" s="1413"/>
      <c r="D25" s="2349"/>
      <c r="E25" s="2351"/>
      <c r="F25" s="85"/>
      <c r="G25" s="846"/>
      <c r="H25" s="1791"/>
      <c r="I25" s="1662"/>
      <c r="J25" s="1663"/>
      <c r="K25" s="1189" t="s">
        <v>249</v>
      </c>
      <c r="L25" s="1190">
        <v>100</v>
      </c>
      <c r="M25" s="1085"/>
      <c r="N25" s="1086"/>
    </row>
    <row r="26" spans="1:14" ht="30" customHeight="1" x14ac:dyDescent="0.2">
      <c r="A26" s="814"/>
      <c r="B26" s="1412"/>
      <c r="C26" s="1413"/>
      <c r="D26" s="2349"/>
      <c r="E26" s="2351"/>
      <c r="F26" s="85"/>
      <c r="G26" s="846"/>
      <c r="H26" s="1791"/>
      <c r="I26" s="1662"/>
      <c r="J26" s="1663"/>
      <c r="K26" s="1003" t="s">
        <v>316</v>
      </c>
      <c r="L26" s="1004">
        <v>100</v>
      </c>
      <c r="M26" s="890"/>
      <c r="N26" s="891"/>
    </row>
    <row r="27" spans="1:14" ht="31.5" customHeight="1" x14ac:dyDescent="0.2">
      <c r="A27" s="814"/>
      <c r="B27" s="1412"/>
      <c r="C27" s="1413"/>
      <c r="D27" s="2349"/>
      <c r="E27" s="2334" t="s">
        <v>285</v>
      </c>
      <c r="F27" s="1423"/>
      <c r="G27" s="1232"/>
      <c r="H27" s="1791"/>
      <c r="I27" s="1662"/>
      <c r="J27" s="1663"/>
      <c r="K27" s="1007" t="s">
        <v>317</v>
      </c>
      <c r="L27" s="1008">
        <v>100</v>
      </c>
      <c r="M27" s="890"/>
      <c r="N27" s="891"/>
    </row>
    <row r="28" spans="1:14" ht="41.25" customHeight="1" x14ac:dyDescent="0.2">
      <c r="A28" s="814"/>
      <c r="B28" s="1412"/>
      <c r="C28" s="1413"/>
      <c r="D28" s="2349"/>
      <c r="E28" s="2334"/>
      <c r="F28" s="1423"/>
      <c r="G28" s="1379"/>
      <c r="H28" s="1794"/>
      <c r="I28" s="1664"/>
      <c r="J28" s="1665"/>
      <c r="K28" s="929" t="s">
        <v>318</v>
      </c>
      <c r="L28" s="1377"/>
      <c r="M28" s="890">
        <v>100</v>
      </c>
      <c r="N28" s="891"/>
    </row>
    <row r="29" spans="1:14" ht="27.75" customHeight="1" x14ac:dyDescent="0.2">
      <c r="A29" s="814"/>
      <c r="B29" s="1412"/>
      <c r="C29" s="1413"/>
      <c r="D29" s="2320"/>
      <c r="E29" s="2352"/>
      <c r="F29" s="1231"/>
      <c r="G29" s="1233" t="s">
        <v>181</v>
      </c>
      <c r="H29" s="1790">
        <f>205.1/3.4528*1000</f>
        <v>59401.065801668214</v>
      </c>
      <c r="I29" s="1666"/>
      <c r="J29" s="1667"/>
      <c r="K29" s="185" t="s">
        <v>304</v>
      </c>
      <c r="L29" s="1047">
        <v>100</v>
      </c>
      <c r="M29" s="1787"/>
      <c r="N29" s="1788"/>
    </row>
    <row r="30" spans="1:14" ht="26.25" customHeight="1" x14ac:dyDescent="0.2">
      <c r="A30" s="814"/>
      <c r="B30" s="1412"/>
      <c r="C30" s="1413"/>
      <c r="D30" s="126" t="s">
        <v>190</v>
      </c>
      <c r="E30" s="2338" t="s">
        <v>171</v>
      </c>
      <c r="F30" s="2161" t="s">
        <v>40</v>
      </c>
      <c r="G30" s="1234" t="s">
        <v>94</v>
      </c>
      <c r="H30" s="1795"/>
      <c r="I30" s="1668">
        <f>100/3.4528*1000</f>
        <v>28962.001853568119</v>
      </c>
      <c r="J30" s="1796"/>
      <c r="K30" s="1012" t="s">
        <v>391</v>
      </c>
      <c r="L30" s="1518"/>
      <c r="M30" s="68">
        <v>1</v>
      </c>
      <c r="N30" s="69"/>
    </row>
    <row r="31" spans="1:14" ht="17.25" customHeight="1" x14ac:dyDescent="0.2">
      <c r="A31" s="814"/>
      <c r="B31" s="1412"/>
      <c r="C31" s="1413"/>
      <c r="D31" s="1513" t="s">
        <v>327</v>
      </c>
      <c r="E31" s="2339"/>
      <c r="F31" s="2348"/>
      <c r="G31" s="1235" t="s">
        <v>36</v>
      </c>
      <c r="H31" s="1792">
        <f>118.2/3.4528*1000</f>
        <v>34233.086190917522</v>
      </c>
      <c r="I31" s="1669"/>
      <c r="J31" s="1796"/>
      <c r="K31" s="1555" t="s">
        <v>392</v>
      </c>
      <c r="L31" s="1635">
        <v>1280</v>
      </c>
      <c r="M31" s="1636"/>
      <c r="N31" s="1842"/>
    </row>
    <row r="32" spans="1:14" ht="38.25" x14ac:dyDescent="0.2">
      <c r="A32" s="814"/>
      <c r="B32" s="1412"/>
      <c r="C32" s="1413"/>
      <c r="D32" s="1513" t="s">
        <v>308</v>
      </c>
      <c r="E32" s="2340" t="s">
        <v>285</v>
      </c>
      <c r="F32" s="2161" t="s">
        <v>40</v>
      </c>
      <c r="G32" s="1234" t="s">
        <v>36</v>
      </c>
      <c r="H32" s="1797">
        <f>20/3.4528*1000</f>
        <v>5792.4003707136244</v>
      </c>
      <c r="I32" s="1668"/>
      <c r="J32" s="1796"/>
      <c r="K32" s="1552" t="s">
        <v>309</v>
      </c>
      <c r="L32" s="1553">
        <v>1</v>
      </c>
      <c r="M32" s="1307"/>
      <c r="N32" s="1843"/>
    </row>
    <row r="33" spans="1:25" ht="15.75" customHeight="1" x14ac:dyDescent="0.2">
      <c r="A33" s="814"/>
      <c r="B33" s="1412"/>
      <c r="C33" s="1413"/>
      <c r="D33" s="1460" t="s">
        <v>248</v>
      </c>
      <c r="E33" s="2341"/>
      <c r="F33" s="2348"/>
      <c r="G33" s="1233" t="s">
        <v>36</v>
      </c>
      <c r="H33" s="1792"/>
      <c r="I33" s="1668"/>
      <c r="J33" s="1669">
        <f>250/3.4528*1000</f>
        <v>72405.004633920296</v>
      </c>
      <c r="K33" s="1460" t="s">
        <v>288</v>
      </c>
      <c r="L33" s="1378"/>
      <c r="M33" s="1473"/>
      <c r="N33" s="1844">
        <v>50</v>
      </c>
      <c r="U33" s="14"/>
      <c r="V33" s="14"/>
      <c r="W33" s="14"/>
      <c r="X33" s="14"/>
      <c r="Y33" s="14"/>
    </row>
    <row r="34" spans="1:25" ht="16.5" customHeight="1" x14ac:dyDescent="0.2">
      <c r="A34" s="814"/>
      <c r="B34" s="1412"/>
      <c r="C34" s="1426"/>
      <c r="D34" s="2342" t="s">
        <v>282</v>
      </c>
      <c r="E34" s="2345" t="s">
        <v>283</v>
      </c>
      <c r="F34" s="2161" t="s">
        <v>90</v>
      </c>
      <c r="G34" s="12" t="s">
        <v>93</v>
      </c>
      <c r="H34" s="1798"/>
      <c r="I34" s="1670">
        <f>11.3/3.4528*1000</f>
        <v>3272.706209453198</v>
      </c>
      <c r="J34" s="1670">
        <f>15/3.4528*1000</f>
        <v>4344.3002780352172</v>
      </c>
      <c r="K34" s="2356" t="s">
        <v>393</v>
      </c>
      <c r="L34" s="1073"/>
      <c r="M34" s="1073">
        <v>1</v>
      </c>
      <c r="N34" s="1074"/>
      <c r="O34" s="825"/>
      <c r="U34" s="14"/>
      <c r="V34" s="14"/>
      <c r="W34" s="14"/>
      <c r="X34" s="14"/>
      <c r="Y34" s="14"/>
    </row>
    <row r="35" spans="1:25" ht="13.5" customHeight="1" x14ac:dyDescent="0.2">
      <c r="A35" s="814"/>
      <c r="B35" s="1412"/>
      <c r="C35" s="1426"/>
      <c r="D35" s="2343"/>
      <c r="E35" s="2346"/>
      <c r="F35" s="1989"/>
      <c r="G35" s="866" t="s">
        <v>88</v>
      </c>
      <c r="H35" s="1799"/>
      <c r="I35" s="1800">
        <f>11.3/3.4528*1000</f>
        <v>3272.706209453198</v>
      </c>
      <c r="J35" s="1800">
        <f>15/3.4528*1000</f>
        <v>4344.3002780352172</v>
      </c>
      <c r="K35" s="2357"/>
      <c r="L35" s="1085"/>
      <c r="M35" s="1085"/>
      <c r="N35" s="1086"/>
      <c r="O35" s="825"/>
      <c r="U35" s="14"/>
      <c r="V35" s="14"/>
      <c r="W35" s="14"/>
      <c r="X35" s="14"/>
      <c r="Y35" s="14"/>
    </row>
    <row r="36" spans="1:25" ht="14.25" customHeight="1" x14ac:dyDescent="0.2">
      <c r="A36" s="814"/>
      <c r="B36" s="1412"/>
      <c r="C36" s="1426"/>
      <c r="D36" s="2344"/>
      <c r="E36" s="2347"/>
      <c r="F36" s="1989"/>
      <c r="G36" s="151" t="s">
        <v>92</v>
      </c>
      <c r="H36" s="1801"/>
      <c r="I36" s="1671">
        <f>127.4/3.4528*1000</f>
        <v>36897.590361445786</v>
      </c>
      <c r="J36" s="1672">
        <f>170/3.4528*1000</f>
        <v>49235.403151065802</v>
      </c>
      <c r="K36" s="1547" t="s">
        <v>288</v>
      </c>
      <c r="L36" s="1548"/>
      <c r="M36" s="1548"/>
      <c r="N36" s="1549">
        <v>10</v>
      </c>
      <c r="O36" s="825"/>
      <c r="U36" s="14"/>
      <c r="V36" s="14"/>
      <c r="W36" s="14"/>
      <c r="X36" s="14"/>
      <c r="Y36" s="14"/>
    </row>
    <row r="37" spans="1:25" ht="13.5" thickBot="1" x14ac:dyDescent="0.25">
      <c r="A37" s="815"/>
      <c r="B37" s="1414"/>
      <c r="C37" s="1225"/>
      <c r="D37" s="1477"/>
      <c r="E37" s="1498"/>
      <c r="F37" s="1545"/>
      <c r="G37" s="288" t="s">
        <v>10</v>
      </c>
      <c r="H37" s="1698">
        <f>SUM(H12:H36)</f>
        <v>553637.62743280816</v>
      </c>
      <c r="I37" s="1710">
        <f>SUM(I12:I36)</f>
        <v>547179.10101946245</v>
      </c>
      <c r="J37" s="1802">
        <f>SUM(J1:J36)</f>
        <v>340998.60982391104</v>
      </c>
      <c r="K37" s="1546"/>
      <c r="L37" s="1845"/>
      <c r="M37" s="1846"/>
      <c r="N37" s="1847"/>
      <c r="U37" s="14"/>
      <c r="V37" s="14"/>
      <c r="W37" s="14"/>
      <c r="X37" s="14"/>
      <c r="Y37" s="14"/>
    </row>
    <row r="38" spans="1:25" ht="12.75" customHeight="1" x14ac:dyDescent="0.2">
      <c r="A38" s="2297" t="s">
        <v>9</v>
      </c>
      <c r="B38" s="2018" t="s">
        <v>9</v>
      </c>
      <c r="C38" s="2121" t="s">
        <v>11</v>
      </c>
      <c r="D38" s="2335" t="s">
        <v>114</v>
      </c>
      <c r="E38" s="2124"/>
      <c r="F38" s="1988" t="s">
        <v>40</v>
      </c>
      <c r="G38" s="15" t="s">
        <v>36</v>
      </c>
      <c r="H38" s="1824">
        <f>7153.9/3.4528*1000</f>
        <v>2071912.6506024094</v>
      </c>
      <c r="I38" s="1837">
        <f>7190/3.4528*1000</f>
        <v>2082367.9332715478</v>
      </c>
      <c r="J38" s="1923">
        <f>7190/3.4528*1000</f>
        <v>2082367.9332715478</v>
      </c>
      <c r="K38" s="712"/>
      <c r="L38" s="132"/>
      <c r="M38" s="132"/>
      <c r="N38" s="38"/>
      <c r="P38" s="89"/>
      <c r="U38" s="14"/>
      <c r="V38" s="14"/>
      <c r="W38" s="14"/>
      <c r="X38" s="14"/>
      <c r="Y38" s="14"/>
    </row>
    <row r="39" spans="1:25" x14ac:dyDescent="0.2">
      <c r="A39" s="2293"/>
      <c r="B39" s="2019"/>
      <c r="C39" s="2122"/>
      <c r="D39" s="2336"/>
      <c r="E39" s="2125"/>
      <c r="F39" s="1989"/>
      <c r="G39" s="25" t="s">
        <v>61</v>
      </c>
      <c r="H39" s="1797">
        <f>3/3.4528*1000</f>
        <v>868.86005560704359</v>
      </c>
      <c r="I39" s="1699">
        <f>3/3.4528*1000</f>
        <v>868.86005560704359</v>
      </c>
      <c r="J39" s="1697">
        <f>3/3.4528*1000</f>
        <v>868.86005560704359</v>
      </c>
      <c r="K39" s="17"/>
      <c r="L39" s="1899"/>
      <c r="M39" s="1899"/>
      <c r="N39" s="1898"/>
    </row>
    <row r="40" spans="1:25" x14ac:dyDescent="0.2">
      <c r="A40" s="1244"/>
      <c r="B40" s="1242"/>
      <c r="C40" s="1243"/>
      <c r="D40" s="2337"/>
      <c r="E40" s="1894"/>
      <c r="F40" s="1881"/>
      <c r="G40" s="16" t="s">
        <v>36</v>
      </c>
      <c r="H40" s="1792">
        <f>15/3.4528*1000</f>
        <v>4344.3002780352172</v>
      </c>
      <c r="I40" s="1659">
        <f>15/3.4528*1000</f>
        <v>4344.3002780352172</v>
      </c>
      <c r="J40" s="1693">
        <f>15/3.4528*1000</f>
        <v>4344.3002780352172</v>
      </c>
      <c r="K40" s="1920"/>
      <c r="L40" s="1921"/>
      <c r="M40" s="1921"/>
      <c r="N40" s="1922"/>
    </row>
    <row r="41" spans="1:25" ht="14.25" customHeight="1" x14ac:dyDescent="0.2">
      <c r="A41" s="2293"/>
      <c r="B41" s="2101"/>
      <c r="C41" s="2122"/>
      <c r="D41" s="2175" t="s">
        <v>191</v>
      </c>
      <c r="E41" s="2125"/>
      <c r="F41" s="1989"/>
      <c r="G41" s="16"/>
      <c r="H41" s="1792"/>
      <c r="I41" s="1656"/>
      <c r="J41" s="1675"/>
      <c r="K41" s="1920" t="s">
        <v>319</v>
      </c>
      <c r="L41" s="1921">
        <v>3.8</v>
      </c>
      <c r="M41" s="1921">
        <v>3.8</v>
      </c>
      <c r="N41" s="1922">
        <v>3.8</v>
      </c>
    </row>
    <row r="42" spans="1:25" ht="15.75" customHeight="1" x14ac:dyDescent="0.2">
      <c r="A42" s="2293"/>
      <c r="B42" s="2101"/>
      <c r="C42" s="2122"/>
      <c r="D42" s="2175"/>
      <c r="E42" s="2125"/>
      <c r="F42" s="1989"/>
      <c r="G42" s="16"/>
      <c r="H42" s="1792"/>
      <c r="I42" s="1659"/>
      <c r="J42" s="1693"/>
      <c r="K42" s="1919" t="s">
        <v>227</v>
      </c>
      <c r="L42" s="1044">
        <v>3.4</v>
      </c>
      <c r="M42" s="1044">
        <v>3.4</v>
      </c>
      <c r="N42" s="1045">
        <v>3.4</v>
      </c>
    </row>
    <row r="43" spans="1:25" ht="15.75" customHeight="1" x14ac:dyDescent="0.2">
      <c r="A43" s="2293"/>
      <c r="B43" s="2101"/>
      <c r="C43" s="2122"/>
      <c r="D43" s="2322"/>
      <c r="E43" s="2323"/>
      <c r="F43" s="2310"/>
      <c r="G43" s="16"/>
      <c r="H43" s="1792"/>
      <c r="I43" s="1658"/>
      <c r="J43" s="1917"/>
      <c r="K43" s="889" t="s">
        <v>320</v>
      </c>
      <c r="L43" s="890">
        <v>24</v>
      </c>
      <c r="M43" s="890">
        <v>24</v>
      </c>
      <c r="N43" s="891">
        <v>24</v>
      </c>
    </row>
    <row r="44" spans="1:25" ht="17.25" customHeight="1" x14ac:dyDescent="0.2">
      <c r="A44" s="2293"/>
      <c r="B44" s="2101"/>
      <c r="C44" s="2122"/>
      <c r="D44" s="2325" t="s">
        <v>56</v>
      </c>
      <c r="E44" s="1727"/>
      <c r="F44" s="1578"/>
      <c r="G44" s="16"/>
      <c r="H44" s="1792"/>
      <c r="I44" s="1656"/>
      <c r="J44" s="1675"/>
      <c r="K44" s="889" t="s">
        <v>58</v>
      </c>
      <c r="L44" s="890">
        <v>36</v>
      </c>
      <c r="M44" s="890">
        <v>38</v>
      </c>
      <c r="N44" s="891">
        <v>38</v>
      </c>
    </row>
    <row r="45" spans="1:25" ht="29.25" customHeight="1" x14ac:dyDescent="0.2">
      <c r="A45" s="2293"/>
      <c r="B45" s="2101"/>
      <c r="C45" s="2122"/>
      <c r="D45" s="2326"/>
      <c r="E45" s="1728"/>
      <c r="F45" s="1729"/>
      <c r="G45" s="16"/>
      <c r="H45" s="1792"/>
      <c r="I45" s="1659"/>
      <c r="J45" s="1693"/>
      <c r="K45" s="889" t="s">
        <v>194</v>
      </c>
      <c r="L45" s="890">
        <v>895</v>
      </c>
      <c r="M45" s="890">
        <v>890</v>
      </c>
      <c r="N45" s="891">
        <v>890</v>
      </c>
    </row>
    <row r="46" spans="1:25" ht="18" customHeight="1" x14ac:dyDescent="0.2">
      <c r="A46" s="1217"/>
      <c r="B46" s="1211"/>
      <c r="C46" s="1212"/>
      <c r="D46" s="2006" t="s">
        <v>395</v>
      </c>
      <c r="E46" s="1894"/>
      <c r="F46" s="1881"/>
      <c r="G46" s="16"/>
      <c r="H46" s="1792"/>
      <c r="I46" s="1656"/>
      <c r="J46" s="1675"/>
      <c r="K46" s="1064" t="s">
        <v>330</v>
      </c>
      <c r="L46" s="1016" t="s">
        <v>331</v>
      </c>
      <c r="M46" s="1016" t="s">
        <v>331</v>
      </c>
      <c r="N46" s="1918" t="s">
        <v>335</v>
      </c>
    </row>
    <row r="47" spans="1:25" ht="18" customHeight="1" x14ac:dyDescent="0.2">
      <c r="A47" s="1628"/>
      <c r="B47" s="1624"/>
      <c r="C47" s="1625"/>
      <c r="D47" s="2006"/>
      <c r="E47" s="1621"/>
      <c r="F47" s="1623"/>
      <c r="G47" s="16"/>
      <c r="H47" s="1792"/>
      <c r="I47" s="1656"/>
      <c r="J47" s="1675"/>
      <c r="K47" s="929" t="s">
        <v>336</v>
      </c>
      <c r="L47" s="1633" t="s">
        <v>333</v>
      </c>
      <c r="M47" s="1633" t="s">
        <v>333</v>
      </c>
      <c r="N47" s="1634" t="s">
        <v>334</v>
      </c>
    </row>
    <row r="48" spans="1:25" ht="27" customHeight="1" x14ac:dyDescent="0.2">
      <c r="A48" s="1217"/>
      <c r="B48" s="1211"/>
      <c r="C48" s="1212"/>
      <c r="D48" s="2324"/>
      <c r="E48" s="1213"/>
      <c r="F48" s="1197"/>
      <c r="G48" s="151"/>
      <c r="H48" s="1803"/>
      <c r="I48" s="1655"/>
      <c r="J48" s="1916"/>
      <c r="K48" s="929" t="s">
        <v>397</v>
      </c>
      <c r="L48" s="1632" t="s">
        <v>332</v>
      </c>
      <c r="M48" s="1632" t="s">
        <v>332</v>
      </c>
      <c r="N48" s="1638" t="s">
        <v>332</v>
      </c>
    </row>
    <row r="49" spans="1:14" ht="26.25" thickBot="1" x14ac:dyDescent="0.25">
      <c r="A49" s="1217"/>
      <c r="B49" s="1211"/>
      <c r="C49" s="1212"/>
      <c r="D49" s="2324"/>
      <c r="E49" s="1289"/>
      <c r="F49" s="1286"/>
      <c r="G49" s="1303" t="s">
        <v>10</v>
      </c>
      <c r="H49" s="1805">
        <f>H38+H39+H40</f>
        <v>2077125.8109360517</v>
      </c>
      <c r="I49" s="1806">
        <f>I38+I39+I40</f>
        <v>2087581.09360519</v>
      </c>
      <c r="J49" s="1805">
        <f>J38+J39+J40</f>
        <v>2087581.09360519</v>
      </c>
      <c r="K49" s="1637" t="s">
        <v>101</v>
      </c>
      <c r="L49" s="1639">
        <v>1</v>
      </c>
      <c r="M49" s="1001">
        <v>1</v>
      </c>
      <c r="N49" s="1002">
        <v>1</v>
      </c>
    </row>
    <row r="50" spans="1:14" ht="16.5" customHeight="1" x14ac:dyDescent="0.2">
      <c r="A50" s="2297" t="s">
        <v>9</v>
      </c>
      <c r="B50" s="2112" t="s">
        <v>9</v>
      </c>
      <c r="C50" s="2329" t="s">
        <v>38</v>
      </c>
      <c r="D50" s="2331" t="s">
        <v>115</v>
      </c>
      <c r="E50" s="2333" t="s">
        <v>170</v>
      </c>
      <c r="F50" s="1988" t="s">
        <v>40</v>
      </c>
      <c r="G50" s="347" t="s">
        <v>36</v>
      </c>
      <c r="H50" s="1807">
        <f>2038.5/3.4528*1000</f>
        <v>590390.40778498608</v>
      </c>
      <c r="I50" s="1808">
        <f>(2153+0.9)/3.4528*1000</f>
        <v>623812.55792400369</v>
      </c>
      <c r="J50" s="1809">
        <f>1665.8/3.4528*1000</f>
        <v>482449.02687673771</v>
      </c>
      <c r="K50" s="1883"/>
      <c r="L50" s="132"/>
      <c r="M50" s="132"/>
      <c r="N50" s="38"/>
    </row>
    <row r="51" spans="1:14" ht="15.75" customHeight="1" x14ac:dyDescent="0.2">
      <c r="A51" s="2293"/>
      <c r="B51" s="2101"/>
      <c r="C51" s="2330"/>
      <c r="D51" s="2332"/>
      <c r="E51" s="2334"/>
      <c r="F51" s="1989"/>
      <c r="G51" s="12" t="s">
        <v>61</v>
      </c>
      <c r="H51" s="1810">
        <f>116.2/3.4528*1000</f>
        <v>33653.846153846156</v>
      </c>
      <c r="I51" s="1811">
        <f>116.3/3.4528*1000</f>
        <v>33682.808155699728</v>
      </c>
      <c r="J51" s="1812">
        <f>116.3/3.4528*1000</f>
        <v>33682.808155699728</v>
      </c>
      <c r="K51" s="1886"/>
      <c r="L51" s="1899"/>
      <c r="M51" s="1899"/>
      <c r="N51" s="1898"/>
    </row>
    <row r="52" spans="1:14" ht="28.5" customHeight="1" thickBot="1" x14ac:dyDescent="0.25">
      <c r="A52" s="1874"/>
      <c r="B52" s="1871"/>
      <c r="C52" s="1225"/>
      <c r="D52" s="1924" t="s">
        <v>261</v>
      </c>
      <c r="E52" s="1895"/>
      <c r="F52" s="1882"/>
      <c r="G52" s="1875"/>
      <c r="H52" s="1876"/>
      <c r="I52" s="1877"/>
      <c r="J52" s="1878"/>
      <c r="K52" s="339" t="s">
        <v>356</v>
      </c>
      <c r="L52" s="1925">
        <v>2</v>
      </c>
      <c r="M52" s="1926"/>
      <c r="N52" s="1002"/>
    </row>
    <row r="53" spans="1:14" ht="27" customHeight="1" x14ac:dyDescent="0.2">
      <c r="A53" s="1420"/>
      <c r="B53" s="1415"/>
      <c r="C53" s="1426"/>
      <c r="D53" s="1929" t="s">
        <v>296</v>
      </c>
      <c r="E53" s="1894"/>
      <c r="F53" s="1881"/>
      <c r="G53" s="373"/>
      <c r="H53" s="1832"/>
      <c r="I53" s="1701"/>
      <c r="J53" s="1930"/>
      <c r="K53" s="1890" t="s">
        <v>297</v>
      </c>
      <c r="L53" s="1931"/>
      <c r="M53" s="1932">
        <v>100</v>
      </c>
      <c r="N53" s="1897">
        <v>100</v>
      </c>
    </row>
    <row r="54" spans="1:14" ht="13.5" customHeight="1" x14ac:dyDescent="0.2">
      <c r="A54" s="1420"/>
      <c r="B54" s="1412"/>
      <c r="C54" s="1426"/>
      <c r="D54" s="2327" t="s">
        <v>310</v>
      </c>
      <c r="E54" s="1727"/>
      <c r="F54" s="1578"/>
      <c r="G54" s="1046"/>
      <c r="H54" s="1933"/>
      <c r="I54" s="1934"/>
      <c r="J54" s="1934"/>
      <c r="K54" s="1007" t="s">
        <v>357</v>
      </c>
      <c r="L54" s="1186">
        <v>2</v>
      </c>
      <c r="M54" s="1186">
        <v>2</v>
      </c>
      <c r="N54" s="1935">
        <v>2</v>
      </c>
    </row>
    <row r="55" spans="1:14" ht="16.5" customHeight="1" x14ac:dyDescent="0.2">
      <c r="A55" s="1420"/>
      <c r="B55" s="1412"/>
      <c r="C55" s="1426"/>
      <c r="D55" s="2328"/>
      <c r="E55" s="1728"/>
      <c r="F55" s="1729"/>
      <c r="G55" s="1567"/>
      <c r="H55" s="1927"/>
      <c r="I55" s="1928"/>
      <c r="J55" s="1928"/>
      <c r="K55" s="1936" t="s">
        <v>358</v>
      </c>
      <c r="L55" s="1937">
        <v>5</v>
      </c>
      <c r="M55" s="1937">
        <v>5</v>
      </c>
      <c r="N55" s="1938">
        <v>5</v>
      </c>
    </row>
    <row r="56" spans="1:14" ht="25.5" customHeight="1" x14ac:dyDescent="0.2">
      <c r="A56" s="1420"/>
      <c r="B56" s="1412"/>
      <c r="C56" s="1426"/>
      <c r="D56" s="1939" t="s">
        <v>144</v>
      </c>
      <c r="E56" s="1908"/>
      <c r="F56" s="1907"/>
      <c r="G56" s="923"/>
      <c r="H56" s="1940"/>
      <c r="I56" s="1671"/>
      <c r="J56" s="1941"/>
      <c r="K56" s="1942" t="s">
        <v>195</v>
      </c>
      <c r="L56" s="1584">
        <v>2</v>
      </c>
      <c r="M56" s="1943">
        <v>2</v>
      </c>
      <c r="N56" s="1585">
        <v>2</v>
      </c>
    </row>
    <row r="57" spans="1:14" ht="12.75" customHeight="1" x14ac:dyDescent="0.2">
      <c r="A57" s="1420"/>
      <c r="B57" s="1412"/>
      <c r="C57" s="1426"/>
      <c r="D57" s="2320" t="s">
        <v>348</v>
      </c>
      <c r="E57" s="1719"/>
      <c r="F57" s="1716"/>
      <c r="G57" s="16"/>
      <c r="H57" s="1815"/>
      <c r="I57" s="1656"/>
      <c r="J57" s="1676"/>
      <c r="K57" s="1024" t="s">
        <v>63</v>
      </c>
      <c r="L57" s="1025">
        <v>19.5</v>
      </c>
      <c r="M57" s="1025">
        <v>19.5</v>
      </c>
      <c r="N57" s="1023">
        <v>19.5</v>
      </c>
    </row>
    <row r="58" spans="1:14" x14ac:dyDescent="0.2">
      <c r="A58" s="1420"/>
      <c r="B58" s="1412"/>
      <c r="C58" s="1426"/>
      <c r="D58" s="2321"/>
      <c r="E58" s="1719"/>
      <c r="F58" s="1716"/>
      <c r="G58" s="16"/>
      <c r="H58" s="1815"/>
      <c r="I58" s="1658"/>
      <c r="J58" s="1677"/>
      <c r="K58" s="1566" t="s">
        <v>62</v>
      </c>
      <c r="L58" s="1298">
        <v>108.8</v>
      </c>
      <c r="M58" s="1298">
        <v>108.8</v>
      </c>
      <c r="N58" s="1299">
        <v>108.8</v>
      </c>
    </row>
    <row r="59" spans="1:14" ht="29.25" customHeight="1" x14ac:dyDescent="0.2">
      <c r="A59" s="814"/>
      <c r="B59" s="1412"/>
      <c r="C59" s="1426"/>
      <c r="D59" s="1721" t="s">
        <v>160</v>
      </c>
      <c r="E59" s="1725"/>
      <c r="F59" s="1726"/>
      <c r="G59" s="866"/>
      <c r="H59" s="1816"/>
      <c r="I59" s="1678"/>
      <c r="J59" s="1679"/>
      <c r="K59" s="1325" t="s">
        <v>359</v>
      </c>
      <c r="L59" s="1326">
        <v>1</v>
      </c>
      <c r="M59" s="1327">
        <v>1</v>
      </c>
      <c r="N59" s="1328">
        <v>1</v>
      </c>
    </row>
    <row r="60" spans="1:14" ht="18" customHeight="1" x14ac:dyDescent="0.2">
      <c r="A60" s="814"/>
      <c r="B60" s="1412"/>
      <c r="C60" s="1426"/>
      <c r="D60" s="2358" t="s">
        <v>312</v>
      </c>
      <c r="E60" s="1727"/>
      <c r="F60" s="1578"/>
      <c r="G60" s="1046"/>
      <c r="H60" s="1817"/>
      <c r="I60" s="1680"/>
      <c r="J60" s="1681"/>
      <c r="K60" s="889" t="s">
        <v>360</v>
      </c>
      <c r="L60" s="1041">
        <v>1</v>
      </c>
      <c r="M60" s="1047"/>
      <c r="N60" s="1297"/>
    </row>
    <row r="61" spans="1:14" ht="15" customHeight="1" x14ac:dyDescent="0.2">
      <c r="A61" s="814"/>
      <c r="B61" s="1412"/>
      <c r="C61" s="1426"/>
      <c r="D61" s="2327"/>
      <c r="E61" s="1719"/>
      <c r="F61" s="1716"/>
      <c r="G61" s="16"/>
      <c r="H61" s="1818"/>
      <c r="I61" s="1658"/>
      <c r="J61" s="1677"/>
      <c r="K61" s="1007" t="s">
        <v>361</v>
      </c>
      <c r="L61" s="1568"/>
      <c r="M61" s="1569">
        <v>2</v>
      </c>
      <c r="N61" s="1570">
        <v>1</v>
      </c>
    </row>
    <row r="62" spans="1:14" ht="17.25" customHeight="1" x14ac:dyDescent="0.2">
      <c r="A62" s="814"/>
      <c r="B62" s="1412"/>
      <c r="C62" s="1426"/>
      <c r="D62" s="1722"/>
      <c r="E62" s="1728"/>
      <c r="F62" s="1729"/>
      <c r="G62" s="1567"/>
      <c r="H62" s="1819"/>
      <c r="I62" s="1682"/>
      <c r="J62" s="1683"/>
      <c r="K62" s="1189" t="s">
        <v>362</v>
      </c>
      <c r="L62" s="1571"/>
      <c r="M62" s="1572">
        <v>1</v>
      </c>
      <c r="N62" s="1573"/>
    </row>
    <row r="63" spans="1:14" ht="27" customHeight="1" x14ac:dyDescent="0.2">
      <c r="A63" s="814"/>
      <c r="B63" s="1412"/>
      <c r="C63" s="1426"/>
      <c r="D63" s="1723" t="s">
        <v>349</v>
      </c>
      <c r="E63" s="1725"/>
      <c r="F63" s="1726"/>
      <c r="G63" s="866"/>
      <c r="H63" s="1816"/>
      <c r="I63" s="1678"/>
      <c r="J63" s="1684"/>
      <c r="K63" s="889" t="s">
        <v>268</v>
      </c>
      <c r="L63" s="1041">
        <v>60</v>
      </c>
      <c r="M63" s="1041">
        <v>40</v>
      </c>
      <c r="N63" s="891"/>
    </row>
    <row r="64" spans="1:14" ht="15" customHeight="1" x14ac:dyDescent="0.2">
      <c r="A64" s="814"/>
      <c r="B64" s="1412"/>
      <c r="C64" s="1426"/>
      <c r="D64" s="1724" t="s">
        <v>311</v>
      </c>
      <c r="E64" s="1727"/>
      <c r="F64" s="1578"/>
      <c r="G64" s="923"/>
      <c r="H64" s="1820"/>
      <c r="I64" s="1672"/>
      <c r="J64" s="1685"/>
      <c r="K64" s="1576" t="s">
        <v>363</v>
      </c>
      <c r="L64" s="1548">
        <v>8</v>
      </c>
      <c r="M64" s="1548">
        <v>24</v>
      </c>
      <c r="N64" s="1577">
        <v>24</v>
      </c>
    </row>
    <row r="65" spans="1:14" ht="14.25" customHeight="1" thickBot="1" x14ac:dyDescent="0.25">
      <c r="A65" s="1422"/>
      <c r="B65" s="1414"/>
      <c r="C65" s="1225"/>
      <c r="D65" s="1718"/>
      <c r="E65" s="1720"/>
      <c r="F65" s="1717"/>
      <c r="G65" s="291" t="s">
        <v>10</v>
      </c>
      <c r="H65" s="1710">
        <f>H50+H51</f>
        <v>624044.2539388322</v>
      </c>
      <c r="I65" s="1710">
        <f t="shared" ref="I65:J65" si="0">I50+I51</f>
        <v>657495.36607970344</v>
      </c>
      <c r="J65" s="1710">
        <f t="shared" si="0"/>
        <v>516131.83503243746</v>
      </c>
      <c r="K65" s="18"/>
      <c r="L65" s="1001"/>
      <c r="M65" s="1001"/>
      <c r="N65" s="1002"/>
    </row>
    <row r="66" spans="1:14" ht="16.5" customHeight="1" x14ac:dyDescent="0.2">
      <c r="A66" s="2293" t="s">
        <v>9</v>
      </c>
      <c r="B66" s="2101" t="s">
        <v>9</v>
      </c>
      <c r="C66" s="2122" t="s">
        <v>53</v>
      </c>
      <c r="D66" s="2318" t="s">
        <v>116</v>
      </c>
      <c r="E66" s="2319" t="s">
        <v>339</v>
      </c>
      <c r="F66" s="1989" t="s">
        <v>40</v>
      </c>
      <c r="G66" s="347" t="s">
        <v>36</v>
      </c>
      <c r="H66" s="1807">
        <f>7031.6/3.4528*1000</f>
        <v>2036492.1223354961</v>
      </c>
      <c r="I66" s="1944">
        <f>7314.2/3.4528*1000</f>
        <v>2118338.7395736794</v>
      </c>
      <c r="J66" s="1945">
        <f>7487.4/3.4528*1000</f>
        <v>2168500.926784059</v>
      </c>
      <c r="K66" s="2030"/>
      <c r="L66" s="2132"/>
      <c r="M66" s="2132"/>
      <c r="N66" s="2134"/>
    </row>
    <row r="67" spans="1:14" ht="15.75" customHeight="1" x14ac:dyDescent="0.2">
      <c r="A67" s="2293"/>
      <c r="B67" s="2101"/>
      <c r="C67" s="2122"/>
      <c r="D67" s="2151"/>
      <c r="E67" s="2319"/>
      <c r="F67" s="1989"/>
      <c r="G67" s="16"/>
      <c r="H67" s="1815"/>
      <c r="I67" s="1686"/>
      <c r="J67" s="1659"/>
      <c r="K67" s="2030"/>
      <c r="L67" s="2132"/>
      <c r="M67" s="2132"/>
      <c r="N67" s="2134"/>
    </row>
    <row r="68" spans="1:14" ht="12.75" customHeight="1" x14ac:dyDescent="0.2">
      <c r="A68" s="2293"/>
      <c r="B68" s="2101"/>
      <c r="C68" s="2122"/>
      <c r="D68" s="2313" t="s">
        <v>65</v>
      </c>
      <c r="E68" s="2315"/>
      <c r="F68" s="2310"/>
      <c r="G68" s="16"/>
      <c r="H68" s="1815"/>
      <c r="I68" s="1656"/>
      <c r="J68" s="1675"/>
      <c r="K68" s="2145" t="s">
        <v>100</v>
      </c>
      <c r="L68" s="2146">
        <v>8.1</v>
      </c>
      <c r="M68" s="2146">
        <v>8.1999999999999993</v>
      </c>
      <c r="N68" s="2141">
        <v>8.1999999999999993</v>
      </c>
    </row>
    <row r="69" spans="1:14" ht="25.5" customHeight="1" x14ac:dyDescent="0.2">
      <c r="A69" s="2293"/>
      <c r="B69" s="2101"/>
      <c r="C69" s="2122"/>
      <c r="D69" s="2314"/>
      <c r="E69" s="2316"/>
      <c r="F69" s="2311"/>
      <c r="G69" s="16"/>
      <c r="H69" s="1815"/>
      <c r="I69" s="1659"/>
      <c r="J69" s="1693"/>
      <c r="K69" s="2154"/>
      <c r="L69" s="2312"/>
      <c r="M69" s="2312"/>
      <c r="N69" s="2307"/>
    </row>
    <row r="70" spans="1:14" ht="21.75" customHeight="1" x14ac:dyDescent="0.2">
      <c r="A70" s="2293"/>
      <c r="B70" s="2101"/>
      <c r="C70" s="2122"/>
      <c r="D70" s="2143" t="s">
        <v>64</v>
      </c>
      <c r="E70" s="2308" t="s">
        <v>184</v>
      </c>
      <c r="F70" s="2064"/>
      <c r="G70" s="16"/>
      <c r="H70" s="1815"/>
      <c r="I70" s="1656"/>
      <c r="J70" s="1675"/>
      <c r="K70" s="977" t="s">
        <v>196</v>
      </c>
      <c r="L70" s="1051">
        <v>14.5</v>
      </c>
      <c r="M70" s="1051">
        <v>14.6</v>
      </c>
      <c r="N70" s="1052">
        <v>14.7</v>
      </c>
    </row>
    <row r="71" spans="1:14" ht="27.75" customHeight="1" x14ac:dyDescent="0.2">
      <c r="A71" s="2293"/>
      <c r="B71" s="2101"/>
      <c r="C71" s="2122"/>
      <c r="D71" s="2140"/>
      <c r="E71" s="2309"/>
      <c r="F71" s="2064"/>
      <c r="G71" s="16"/>
      <c r="H71" s="1815"/>
      <c r="I71" s="1659"/>
      <c r="J71" s="1693"/>
      <c r="K71" s="62" t="s">
        <v>197</v>
      </c>
      <c r="L71" s="1787">
        <v>150</v>
      </c>
      <c r="M71" s="1787">
        <v>80</v>
      </c>
      <c r="N71" s="1788">
        <v>80</v>
      </c>
    </row>
    <row r="72" spans="1:14" ht="38.25" x14ac:dyDescent="0.2">
      <c r="A72" s="1217"/>
      <c r="B72" s="1053"/>
      <c r="C72" s="1212"/>
      <c r="D72" s="1404" t="s">
        <v>270</v>
      </c>
      <c r="E72" s="930"/>
      <c r="F72" s="1891"/>
      <c r="G72" s="151"/>
      <c r="H72" s="1813"/>
      <c r="I72" s="1687"/>
      <c r="J72" s="1688"/>
      <c r="K72" s="67" t="s">
        <v>271</v>
      </c>
      <c r="L72" s="68">
        <v>1</v>
      </c>
      <c r="M72" s="1473"/>
      <c r="N72" s="69"/>
    </row>
    <row r="73" spans="1:14" ht="27.75" customHeight="1" x14ac:dyDescent="0.2">
      <c r="A73" s="1375"/>
      <c r="B73" s="1053"/>
      <c r="C73" s="1369"/>
      <c r="D73" s="1376" t="s">
        <v>146</v>
      </c>
      <c r="E73" s="1730" t="s">
        <v>340</v>
      </c>
      <c r="F73" s="1367"/>
      <c r="G73" s="151" t="s">
        <v>92</v>
      </c>
      <c r="H73" s="1813"/>
      <c r="I73" s="1687">
        <f>50/3.4528*1000</f>
        <v>14481.00092678406</v>
      </c>
      <c r="J73" s="1688">
        <f>50/3.4528*1000</f>
        <v>14481.00092678406</v>
      </c>
      <c r="K73" s="1403" t="s">
        <v>280</v>
      </c>
      <c r="L73" s="1785"/>
      <c r="M73" s="1785"/>
      <c r="N73" s="1786">
        <v>1</v>
      </c>
    </row>
    <row r="74" spans="1:14" ht="16.5" customHeight="1" x14ac:dyDescent="0.2">
      <c r="A74" s="1217"/>
      <c r="B74" s="1211"/>
      <c r="C74" s="1212"/>
      <c r="D74" s="2143" t="s">
        <v>67</v>
      </c>
      <c r="E74" s="1290"/>
      <c r="F74" s="1291"/>
      <c r="G74" s="25" t="s">
        <v>94</v>
      </c>
      <c r="H74" s="1813">
        <f>2038/3.4528*1000</f>
        <v>590245.5977757182</v>
      </c>
      <c r="I74" s="1689"/>
      <c r="J74" s="1690"/>
      <c r="K74" s="61" t="s">
        <v>68</v>
      </c>
      <c r="L74" s="1301">
        <v>94</v>
      </c>
      <c r="M74" s="1073"/>
      <c r="N74" s="1300"/>
    </row>
    <row r="75" spans="1:14" ht="13.5" thickBot="1" x14ac:dyDescent="0.25">
      <c r="A75" s="1217"/>
      <c r="B75" s="1211"/>
      <c r="C75" s="1212"/>
      <c r="D75" s="2007"/>
      <c r="E75" s="1215"/>
      <c r="F75" s="1210"/>
      <c r="G75" s="1226" t="s">
        <v>10</v>
      </c>
      <c r="H75" s="1694">
        <f>SUM(H66:H74)</f>
        <v>2626737.7201112146</v>
      </c>
      <c r="I75" s="1694">
        <f>SUM(I66:I74)</f>
        <v>2132819.7405004636</v>
      </c>
      <c r="J75" s="1694">
        <f t="shared" ref="J75" si="1">SUM(J66:J74)</f>
        <v>2182981.9277108433</v>
      </c>
      <c r="K75" s="1241"/>
      <c r="L75" s="1001"/>
      <c r="M75" s="1001"/>
      <c r="N75" s="1848"/>
    </row>
    <row r="76" spans="1:14" ht="40.5" customHeight="1" x14ac:dyDescent="0.2">
      <c r="A76" s="2297" t="s">
        <v>9</v>
      </c>
      <c r="B76" s="2112" t="s">
        <v>9</v>
      </c>
      <c r="C76" s="2121" t="s">
        <v>54</v>
      </c>
      <c r="D76" s="1496" t="s">
        <v>305</v>
      </c>
      <c r="E76" s="2124"/>
      <c r="F76" s="2063" t="s">
        <v>95</v>
      </c>
      <c r="G76" s="347" t="s">
        <v>36</v>
      </c>
      <c r="H76" s="1822">
        <f>704/3.4528*1000</f>
        <v>203892.49304911957</v>
      </c>
      <c r="I76" s="1691">
        <f>(50+577)/3.4528*1000</f>
        <v>181591.7516218721</v>
      </c>
      <c r="J76" s="1692">
        <f>(50+577)/3.4528*1000</f>
        <v>181591.7516218721</v>
      </c>
      <c r="K76" s="1240" t="s">
        <v>364</v>
      </c>
      <c r="L76" s="1785">
        <v>65</v>
      </c>
      <c r="M76" s="1785">
        <v>65</v>
      </c>
      <c r="N76" s="1786">
        <v>65</v>
      </c>
    </row>
    <row r="77" spans="1:14" ht="14.25" customHeight="1" x14ac:dyDescent="0.2">
      <c r="A77" s="2293"/>
      <c r="B77" s="2101"/>
      <c r="C77" s="2122"/>
      <c r="D77" s="2317" t="s">
        <v>306</v>
      </c>
      <c r="E77" s="2125"/>
      <c r="F77" s="2064"/>
      <c r="G77" s="151"/>
      <c r="H77" s="1823"/>
      <c r="I77" s="1659"/>
      <c r="J77" s="1693"/>
      <c r="K77" s="1370" t="s">
        <v>307</v>
      </c>
      <c r="L77" s="1785">
        <v>5</v>
      </c>
      <c r="M77" s="1785"/>
      <c r="N77" s="1786"/>
    </row>
    <row r="78" spans="1:14" ht="16.5" customHeight="1" thickBot="1" x14ac:dyDescent="0.25">
      <c r="A78" s="2294"/>
      <c r="B78" s="2113"/>
      <c r="C78" s="2123"/>
      <c r="D78" s="2296"/>
      <c r="E78" s="2126"/>
      <c r="F78" s="2065"/>
      <c r="G78" s="288" t="s">
        <v>10</v>
      </c>
      <c r="H78" s="1698">
        <f>H76</f>
        <v>203892.49304911957</v>
      </c>
      <c r="I78" s="1694">
        <f>SUM(I76:I77)</f>
        <v>181591.7516218721</v>
      </c>
      <c r="J78" s="1695">
        <f>SUM(J76:J77)</f>
        <v>181591.7516218721</v>
      </c>
      <c r="K78" s="18"/>
      <c r="L78" s="1001"/>
      <c r="M78" s="1001"/>
      <c r="N78" s="1002"/>
    </row>
    <row r="79" spans="1:14" ht="16.5" customHeight="1" x14ac:dyDescent="0.2">
      <c r="A79" s="2297" t="s">
        <v>9</v>
      </c>
      <c r="B79" s="2112" t="s">
        <v>9</v>
      </c>
      <c r="C79" s="2121" t="s">
        <v>41</v>
      </c>
      <c r="D79" s="2108" t="s">
        <v>295</v>
      </c>
      <c r="E79" s="2118" t="s">
        <v>169</v>
      </c>
      <c r="F79" s="2063" t="s">
        <v>90</v>
      </c>
      <c r="G79" s="347" t="s">
        <v>92</v>
      </c>
      <c r="H79" s="1946">
        <f>366.4/3.4528*1000</f>
        <v>106116.7747914736</v>
      </c>
      <c r="I79" s="1947"/>
      <c r="J79" s="1696"/>
      <c r="K79" s="2057" t="s">
        <v>251</v>
      </c>
      <c r="L79" s="152">
        <v>100</v>
      </c>
      <c r="M79" s="152"/>
      <c r="N79" s="153"/>
    </row>
    <row r="80" spans="1:14" ht="21" customHeight="1" x14ac:dyDescent="0.2">
      <c r="A80" s="2293"/>
      <c r="B80" s="2101"/>
      <c r="C80" s="2122"/>
      <c r="D80" s="2116"/>
      <c r="E80" s="2119"/>
      <c r="F80" s="2064"/>
      <c r="G80" s="866" t="s">
        <v>36</v>
      </c>
      <c r="H80" s="1804">
        <f>0.1/3.4528*1000</f>
        <v>28.962001853568118</v>
      </c>
      <c r="I80" s="1948"/>
      <c r="J80" s="1673"/>
      <c r="K80" s="2306"/>
      <c r="L80" s="1950"/>
      <c r="M80" s="1950"/>
      <c r="N80" s="1951"/>
    </row>
    <row r="81" spans="1:16" ht="15" customHeight="1" x14ac:dyDescent="0.2">
      <c r="A81" s="2293"/>
      <c r="B81" s="2101"/>
      <c r="C81" s="2122"/>
      <c r="D81" s="2116"/>
      <c r="E81" s="2119"/>
      <c r="F81" s="2064"/>
      <c r="G81" s="16" t="s">
        <v>93</v>
      </c>
      <c r="H81" s="1792">
        <f>77/3.4528*1000</f>
        <v>22300.741427247453</v>
      </c>
      <c r="I81" s="1662"/>
      <c r="J81" s="1686"/>
      <c r="K81" s="1949" t="s">
        <v>321</v>
      </c>
      <c r="L81" s="32">
        <v>100</v>
      </c>
      <c r="M81" s="32"/>
      <c r="N81" s="150"/>
    </row>
    <row r="82" spans="1:16" ht="15" customHeight="1" thickBot="1" x14ac:dyDescent="0.25">
      <c r="A82" s="2294"/>
      <c r="B82" s="2113"/>
      <c r="C82" s="2123"/>
      <c r="D82" s="2117"/>
      <c r="E82" s="2120"/>
      <c r="F82" s="2065"/>
      <c r="G82" s="288" t="s">
        <v>10</v>
      </c>
      <c r="H82" s="1825">
        <f>SUM(H79:H81)</f>
        <v>128446.47822057462</v>
      </c>
      <c r="I82" s="1694">
        <f>SUM(I79:I81)</f>
        <v>0</v>
      </c>
      <c r="J82" s="1698">
        <f t="shared" ref="J82" si="2">SUM(J79:J81)</f>
        <v>0</v>
      </c>
      <c r="K82" s="935"/>
      <c r="L82" s="1849"/>
      <c r="M82" s="1850"/>
      <c r="N82" s="1848"/>
      <c r="O82" s="14"/>
      <c r="P82" s="13"/>
    </row>
    <row r="83" spans="1:16" ht="14.25" customHeight="1" x14ac:dyDescent="0.2">
      <c r="A83" s="2297" t="s">
        <v>9</v>
      </c>
      <c r="B83" s="2112" t="s">
        <v>9</v>
      </c>
      <c r="C83" s="2121" t="s">
        <v>55</v>
      </c>
      <c r="D83" s="2108" t="s">
        <v>179</v>
      </c>
      <c r="E83" s="1893"/>
      <c r="F83" s="1087"/>
      <c r="G83" s="746" t="s">
        <v>36</v>
      </c>
      <c r="H83" s="1826">
        <f>22/3.4528*1000</f>
        <v>6371.6404077849866</v>
      </c>
      <c r="I83" s="1827">
        <f>75/3.4528*1000</f>
        <v>21721.50139017609</v>
      </c>
      <c r="J83" s="1828">
        <f>125/3.4528*1000</f>
        <v>36202.502316960148</v>
      </c>
      <c r="K83" s="2110" t="s">
        <v>394</v>
      </c>
      <c r="L83" s="190">
        <f>L85+L86+L88+L89</f>
        <v>3</v>
      </c>
      <c r="M83" s="190">
        <f t="shared" ref="M83:N83" si="3">M85+M86+M88+M89</f>
        <v>0</v>
      </c>
      <c r="N83" s="1620">
        <f t="shared" si="3"/>
        <v>1</v>
      </c>
    </row>
    <row r="84" spans="1:16" ht="27.75" customHeight="1" x14ac:dyDescent="0.2">
      <c r="A84" s="2293"/>
      <c r="B84" s="2101"/>
      <c r="C84" s="2122"/>
      <c r="D84" s="2109"/>
      <c r="E84" s="1900"/>
      <c r="F84" s="1227"/>
      <c r="G84" s="1237" t="s">
        <v>92</v>
      </c>
      <c r="H84" s="1814">
        <f>53.5/3.4528*1000</f>
        <v>15494.670991658944</v>
      </c>
      <c r="I84" s="1674"/>
      <c r="J84" s="1829"/>
      <c r="K84" s="2111"/>
      <c r="L84" s="189"/>
      <c r="M84" s="1902"/>
      <c r="N84" s="1903"/>
    </row>
    <row r="85" spans="1:16" ht="41.25" customHeight="1" x14ac:dyDescent="0.2">
      <c r="A85" s="2293"/>
      <c r="B85" s="2101"/>
      <c r="C85" s="2122"/>
      <c r="D85" s="940" t="s">
        <v>322</v>
      </c>
      <c r="E85" s="1390" t="s">
        <v>338</v>
      </c>
      <c r="F85" s="1901" t="s">
        <v>90</v>
      </c>
      <c r="G85" s="946"/>
      <c r="H85" s="1799"/>
      <c r="I85" s="1678"/>
      <c r="J85" s="1830"/>
      <c r="K85" s="1611" t="s">
        <v>365</v>
      </c>
      <c r="L85" s="1612">
        <v>1</v>
      </c>
      <c r="M85" s="1613"/>
      <c r="N85" s="1582"/>
    </row>
    <row r="86" spans="1:16" ht="40.5" customHeight="1" x14ac:dyDescent="0.2">
      <c r="A86" s="2293"/>
      <c r="B86" s="2101"/>
      <c r="C86" s="2122"/>
      <c r="D86" s="1766" t="s">
        <v>371</v>
      </c>
      <c r="E86" s="1767" t="s">
        <v>183</v>
      </c>
      <c r="F86" s="1768"/>
      <c r="G86" s="1769" t="s">
        <v>94</v>
      </c>
      <c r="H86" s="1831"/>
      <c r="I86" s="1672"/>
      <c r="J86" s="1829"/>
      <c r="K86" s="136" t="s">
        <v>365</v>
      </c>
      <c r="L86" s="1902">
        <v>1</v>
      </c>
      <c r="M86" s="137"/>
      <c r="N86" s="133"/>
    </row>
    <row r="87" spans="1:16" ht="40.5" customHeight="1" x14ac:dyDescent="0.2">
      <c r="A87" s="2293"/>
      <c r="B87" s="2101"/>
      <c r="C87" s="2122"/>
      <c r="D87" s="1909" t="s">
        <v>323</v>
      </c>
      <c r="E87" s="1756"/>
      <c r="F87" s="1228"/>
      <c r="G87" s="1757"/>
      <c r="H87" s="1832"/>
      <c r="I87" s="1658"/>
      <c r="J87" s="1833"/>
      <c r="K87" s="1763" t="s">
        <v>366</v>
      </c>
      <c r="L87" s="1764"/>
      <c r="M87" s="1765"/>
      <c r="N87" s="133">
        <v>1</v>
      </c>
    </row>
    <row r="88" spans="1:16" ht="39" customHeight="1" x14ac:dyDescent="0.2">
      <c r="A88" s="2293"/>
      <c r="B88" s="2101"/>
      <c r="C88" s="2122"/>
      <c r="D88" s="1758" t="s">
        <v>324</v>
      </c>
      <c r="E88" s="1619"/>
      <c r="F88" s="1910" t="s">
        <v>90</v>
      </c>
      <c r="G88" s="26"/>
      <c r="H88" s="1834"/>
      <c r="I88" s="1699"/>
      <c r="J88" s="1697"/>
      <c r="K88" s="1012" t="s">
        <v>366</v>
      </c>
      <c r="L88" s="68"/>
      <c r="M88" s="68"/>
      <c r="N88" s="69">
        <v>1</v>
      </c>
      <c r="P88" s="13"/>
    </row>
    <row r="89" spans="1:16" ht="32.25" customHeight="1" x14ac:dyDescent="0.2">
      <c r="A89" s="2293"/>
      <c r="B89" s="2101"/>
      <c r="C89" s="2122"/>
      <c r="D89" s="2166" t="s">
        <v>341</v>
      </c>
      <c r="E89" s="1983"/>
      <c r="F89" s="2064" t="s">
        <v>90</v>
      </c>
      <c r="G89" s="25"/>
      <c r="H89" s="1835"/>
      <c r="I89" s="1690"/>
      <c r="J89" s="1700"/>
      <c r="K89" s="27" t="s">
        <v>343</v>
      </c>
      <c r="L89" s="1896">
        <v>1</v>
      </c>
      <c r="M89" s="1896"/>
      <c r="N89" s="1897"/>
    </row>
    <row r="90" spans="1:16" ht="20.25" customHeight="1" thickBot="1" x14ac:dyDescent="0.25">
      <c r="A90" s="2294"/>
      <c r="B90" s="2113"/>
      <c r="C90" s="2123"/>
      <c r="D90" s="2305"/>
      <c r="E90" s="1984"/>
      <c r="F90" s="2065"/>
      <c r="G90" s="291" t="s">
        <v>10</v>
      </c>
      <c r="H90" s="1710">
        <f>H83+H84</f>
        <v>21866.31139944393</v>
      </c>
      <c r="I90" s="1710">
        <f>I83+I84</f>
        <v>21721.50139017609</v>
      </c>
      <c r="J90" s="1710">
        <f>J83+J84</f>
        <v>36202.502316960148</v>
      </c>
      <c r="K90" s="1889" t="s">
        <v>344</v>
      </c>
      <c r="L90" s="1001">
        <v>2</v>
      </c>
      <c r="M90" s="1001"/>
      <c r="N90" s="1002"/>
    </row>
    <row r="91" spans="1:16" ht="17.25" customHeight="1" x14ac:dyDescent="0.2">
      <c r="A91" s="1217" t="s">
        <v>9</v>
      </c>
      <c r="B91" s="1203" t="s">
        <v>9</v>
      </c>
      <c r="C91" s="2122" t="s">
        <v>44</v>
      </c>
      <c r="D91" s="2304" t="s">
        <v>350</v>
      </c>
      <c r="E91" s="1287"/>
      <c r="F91" s="1286" t="s">
        <v>40</v>
      </c>
      <c r="G91" s="373" t="s">
        <v>36</v>
      </c>
      <c r="H91" s="1832">
        <f>145.2/3.4528*1000</f>
        <v>42052.826691380906</v>
      </c>
      <c r="I91" s="1701"/>
      <c r="J91" s="1702"/>
      <c r="K91" s="1209" t="s">
        <v>325</v>
      </c>
      <c r="L91" s="1642">
        <v>210</v>
      </c>
      <c r="M91" s="1785"/>
      <c r="N91" s="1786"/>
    </row>
    <row r="92" spans="1:16" ht="13.5" thickBot="1" x14ac:dyDescent="0.25">
      <c r="A92" s="814"/>
      <c r="B92" s="1211"/>
      <c r="C92" s="2123"/>
      <c r="D92" s="2305"/>
      <c r="E92" s="1015"/>
      <c r="F92" s="1014"/>
      <c r="G92" s="288" t="s">
        <v>10</v>
      </c>
      <c r="H92" s="1694">
        <f>H91</f>
        <v>42052.826691380906</v>
      </c>
      <c r="I92" s="1694">
        <f t="shared" ref="I92:J94" si="4">SUM(I91:I91)</f>
        <v>0</v>
      </c>
      <c r="J92" s="1694">
        <f t="shared" si="4"/>
        <v>0</v>
      </c>
      <c r="K92" s="18"/>
      <c r="L92" s="1001"/>
      <c r="M92" s="1001"/>
      <c r="N92" s="1002"/>
    </row>
    <row r="93" spans="1:16" ht="14.25" customHeight="1" x14ac:dyDescent="0.2">
      <c r="A93" s="2297" t="s">
        <v>9</v>
      </c>
      <c r="B93" s="2112" t="s">
        <v>9</v>
      </c>
      <c r="C93" s="2121" t="s">
        <v>161</v>
      </c>
      <c r="D93" s="2169" t="s">
        <v>129</v>
      </c>
      <c r="E93" s="2041"/>
      <c r="F93" s="1868" t="s">
        <v>40</v>
      </c>
      <c r="G93" s="15" t="s">
        <v>36</v>
      </c>
      <c r="H93" s="1836">
        <f>300/3.4528*1000</f>
        <v>86886.005560704361</v>
      </c>
      <c r="I93" s="1837">
        <f>200/3.4528*1000</f>
        <v>57924.003707136239</v>
      </c>
      <c r="J93" s="1837">
        <f>200/3.4528*1000</f>
        <v>57924.003707136239</v>
      </c>
      <c r="K93" s="1870" t="s">
        <v>57</v>
      </c>
      <c r="L93" s="1879">
        <v>7</v>
      </c>
      <c r="M93" s="1872">
        <v>4</v>
      </c>
      <c r="N93" s="1873">
        <v>4</v>
      </c>
    </row>
    <row r="94" spans="1:16" ht="13.5" customHeight="1" thickBot="1" x14ac:dyDescent="0.25">
      <c r="A94" s="2294"/>
      <c r="B94" s="2113"/>
      <c r="C94" s="2123"/>
      <c r="D94" s="2017"/>
      <c r="E94" s="2068"/>
      <c r="F94" s="1869"/>
      <c r="G94" s="288" t="s">
        <v>10</v>
      </c>
      <c r="H94" s="1694">
        <f>H93</f>
        <v>86886.005560704361</v>
      </c>
      <c r="I94" s="1694">
        <f t="shared" si="4"/>
        <v>57924.003707136239</v>
      </c>
      <c r="J94" s="1694">
        <f t="shared" si="4"/>
        <v>57924.003707136239</v>
      </c>
      <c r="K94" s="18"/>
      <c r="L94" s="1001"/>
      <c r="M94" s="1001"/>
      <c r="N94" s="1002"/>
    </row>
    <row r="95" spans="1:16" ht="13.5" thickBot="1" x14ac:dyDescent="0.25">
      <c r="A95" s="816" t="s">
        <v>9</v>
      </c>
      <c r="B95" s="11" t="s">
        <v>9</v>
      </c>
      <c r="C95" s="2023" t="s">
        <v>12</v>
      </c>
      <c r="D95" s="2023"/>
      <c r="E95" s="2023"/>
      <c r="F95" s="2023"/>
      <c r="G95" s="1967"/>
      <c r="H95" s="1703">
        <f>H94+H92+H90+H82+H78+H75+H65+H49+H37</f>
        <v>6364689.5273401299</v>
      </c>
      <c r="I95" s="1703">
        <f>I94+I92+I90+I82+I78+I75+I65+I49+I37</f>
        <v>5686312.5579240043</v>
      </c>
      <c r="J95" s="1703">
        <f>J94+J92+J90+J82+J78+J75+J65+J49+J37</f>
        <v>5403411.7238183506</v>
      </c>
      <c r="K95" s="39"/>
      <c r="L95" s="40"/>
      <c r="M95" s="40"/>
      <c r="N95" s="41"/>
    </row>
    <row r="96" spans="1:16" ht="13.5" thickBot="1" x14ac:dyDescent="0.25">
      <c r="A96" s="816" t="s">
        <v>9</v>
      </c>
      <c r="B96" s="11" t="s">
        <v>11</v>
      </c>
      <c r="C96" s="2077" t="s">
        <v>71</v>
      </c>
      <c r="D96" s="2078"/>
      <c r="E96" s="2078"/>
      <c r="F96" s="2078"/>
      <c r="G96" s="2078"/>
      <c r="H96" s="2078"/>
      <c r="I96" s="2078"/>
      <c r="J96" s="2078"/>
      <c r="K96" s="2078"/>
      <c r="L96" s="2078"/>
      <c r="M96" s="2078"/>
      <c r="N96" s="2079"/>
    </row>
    <row r="97" spans="1:26" x14ac:dyDescent="0.2">
      <c r="A97" s="2297" t="s">
        <v>9</v>
      </c>
      <c r="B97" s="2018" t="s">
        <v>11</v>
      </c>
      <c r="C97" s="2121" t="s">
        <v>9</v>
      </c>
      <c r="D97" s="2300" t="s">
        <v>281</v>
      </c>
      <c r="E97" s="1486"/>
      <c r="F97" s="1483" t="s">
        <v>40</v>
      </c>
      <c r="G97" s="1320" t="s">
        <v>36</v>
      </c>
      <c r="H97" s="1851">
        <f>(966.4+113)/3.4528*1000</f>
        <v>312615.84800741426</v>
      </c>
      <c r="I97" s="1705">
        <f>981/3.4528*1000</f>
        <v>284117.23818350327</v>
      </c>
      <c r="J97" s="1705">
        <f>1131/3.4528*1000</f>
        <v>327560.24096385547</v>
      </c>
      <c r="K97" s="1322"/>
      <c r="L97" s="1205"/>
      <c r="M97" s="1205"/>
      <c r="N97" s="1207"/>
      <c r="P97" s="13"/>
    </row>
    <row r="98" spans="1:26" x14ac:dyDescent="0.2">
      <c r="A98" s="2293"/>
      <c r="B98" s="2019"/>
      <c r="C98" s="2122"/>
      <c r="D98" s="2301"/>
      <c r="E98" s="1487"/>
      <c r="F98" s="1476"/>
      <c r="G98" s="469"/>
      <c r="H98" s="1852"/>
      <c r="I98" s="1706"/>
      <c r="J98" s="1706"/>
      <c r="K98" s="1308"/>
      <c r="L98" s="32"/>
      <c r="M98" s="32"/>
      <c r="N98" s="150"/>
      <c r="P98" s="13"/>
    </row>
    <row r="99" spans="1:26" ht="12.75" customHeight="1" x14ac:dyDescent="0.2">
      <c r="A99" s="2293"/>
      <c r="B99" s="2019"/>
      <c r="C99" s="2122"/>
      <c r="D99" s="2302" t="s">
        <v>104</v>
      </c>
      <c r="E99" s="1487"/>
      <c r="F99" s="1476"/>
      <c r="G99" s="469"/>
      <c r="H99" s="1852"/>
      <c r="I99" s="1706"/>
      <c r="J99" s="1706"/>
      <c r="K99" s="1314" t="s">
        <v>76</v>
      </c>
      <c r="L99" s="130">
        <v>350</v>
      </c>
      <c r="M99" s="130">
        <v>350</v>
      </c>
      <c r="N99" s="131">
        <v>350</v>
      </c>
      <c r="P99" s="13"/>
    </row>
    <row r="100" spans="1:26" ht="41.25" customHeight="1" x14ac:dyDescent="0.2">
      <c r="A100" s="2293"/>
      <c r="B100" s="2019"/>
      <c r="C100" s="2122"/>
      <c r="D100" s="2302"/>
      <c r="E100" s="1487"/>
      <c r="F100" s="1476"/>
      <c r="G100" s="469"/>
      <c r="H100" s="1852"/>
      <c r="I100" s="1707"/>
      <c r="J100" s="1707"/>
      <c r="K100" s="1309" t="s">
        <v>77</v>
      </c>
      <c r="L100" s="960">
        <v>300</v>
      </c>
      <c r="M100" s="960">
        <v>300</v>
      </c>
      <c r="N100" s="961">
        <v>300</v>
      </c>
      <c r="P100" s="13"/>
    </row>
    <row r="101" spans="1:26" ht="39.75" customHeight="1" x14ac:dyDescent="0.2">
      <c r="A101" s="2293"/>
      <c r="B101" s="2019"/>
      <c r="C101" s="2122"/>
      <c r="D101" s="2303"/>
      <c r="E101" s="1487"/>
      <c r="F101" s="1476"/>
      <c r="G101" s="469"/>
      <c r="H101" s="1852"/>
      <c r="I101" s="1707"/>
      <c r="J101" s="1707"/>
      <c r="K101" s="1315" t="s">
        <v>367</v>
      </c>
      <c r="L101" s="969">
        <v>36</v>
      </c>
      <c r="M101" s="969">
        <v>36</v>
      </c>
      <c r="N101" s="970">
        <v>36</v>
      </c>
      <c r="P101" s="13"/>
    </row>
    <row r="102" spans="1:26" ht="25.5" customHeight="1" x14ac:dyDescent="0.2">
      <c r="A102" s="2293"/>
      <c r="B102" s="2019"/>
      <c r="C102" s="2122"/>
      <c r="D102" s="2302" t="s">
        <v>108</v>
      </c>
      <c r="E102" s="1487"/>
      <c r="F102" s="1476"/>
      <c r="G102" s="469"/>
      <c r="H102" s="1852"/>
      <c r="I102" s="1706"/>
      <c r="J102" s="1706"/>
      <c r="K102" s="1316" t="s">
        <v>272</v>
      </c>
      <c r="L102" s="978">
        <v>18</v>
      </c>
      <c r="M102" s="978">
        <v>18</v>
      </c>
      <c r="N102" s="979">
        <v>18</v>
      </c>
      <c r="P102" s="13"/>
    </row>
    <row r="103" spans="1:26" ht="40.5" customHeight="1" x14ac:dyDescent="0.2">
      <c r="A103" s="2293"/>
      <c r="B103" s="2019"/>
      <c r="C103" s="2122"/>
      <c r="D103" s="2299"/>
      <c r="E103" s="1487"/>
      <c r="F103" s="1476"/>
      <c r="G103" s="469"/>
      <c r="H103" s="1852"/>
      <c r="I103" s="1707"/>
      <c r="J103" s="1707"/>
      <c r="K103" s="1317"/>
      <c r="L103" s="60"/>
      <c r="M103" s="60"/>
      <c r="N103" s="149"/>
      <c r="P103" s="13"/>
    </row>
    <row r="104" spans="1:26" ht="13.5" customHeight="1" x14ac:dyDescent="0.2">
      <c r="A104" s="1217"/>
      <c r="B104" s="1203"/>
      <c r="C104" s="1220"/>
      <c r="D104" s="2298" t="s">
        <v>75</v>
      </c>
      <c r="E104" s="1487"/>
      <c r="F104" s="1476"/>
      <c r="G104" s="469"/>
      <c r="H104" s="1852"/>
      <c r="I104" s="1706"/>
      <c r="J104" s="1706"/>
      <c r="K104" s="1316" t="s">
        <v>105</v>
      </c>
      <c r="L104" s="978">
        <v>2</v>
      </c>
      <c r="M104" s="978">
        <v>2</v>
      </c>
      <c r="N104" s="979">
        <v>2</v>
      </c>
      <c r="P104" s="13"/>
    </row>
    <row r="105" spans="1:26" ht="13.5" customHeight="1" x14ac:dyDescent="0.2">
      <c r="A105" s="1217"/>
      <c r="B105" s="1203"/>
      <c r="C105" s="1220"/>
      <c r="D105" s="2299"/>
      <c r="E105" s="1487"/>
      <c r="F105" s="1476"/>
      <c r="G105" s="469"/>
      <c r="H105" s="1852"/>
      <c r="I105" s="1706"/>
      <c r="J105" s="1706"/>
      <c r="K105" s="1318" t="s">
        <v>273</v>
      </c>
      <c r="L105" s="60">
        <v>100</v>
      </c>
      <c r="M105" s="60"/>
      <c r="N105" s="149"/>
      <c r="P105" s="13"/>
    </row>
    <row r="106" spans="1:26" ht="15.75" customHeight="1" x14ac:dyDescent="0.2">
      <c r="A106" s="1217"/>
      <c r="B106" s="1203"/>
      <c r="C106" s="1220"/>
      <c r="D106" s="1311" t="s">
        <v>80</v>
      </c>
      <c r="E106" s="1487"/>
      <c r="F106" s="1476"/>
      <c r="G106" s="469"/>
      <c r="H106" s="1832"/>
      <c r="I106" s="1656"/>
      <c r="J106" s="1656"/>
      <c r="K106" s="1314" t="s">
        <v>81</v>
      </c>
      <c r="L106" s="130">
        <v>20</v>
      </c>
      <c r="M106" s="130">
        <v>20</v>
      </c>
      <c r="N106" s="131">
        <v>20</v>
      </c>
      <c r="P106" s="13"/>
    </row>
    <row r="107" spans="1:26" ht="21.75" customHeight="1" x14ac:dyDescent="0.2">
      <c r="A107" s="1217"/>
      <c r="B107" s="1203"/>
      <c r="C107" s="1220"/>
      <c r="D107" s="1312" t="s">
        <v>351</v>
      </c>
      <c r="E107" s="1487"/>
      <c r="F107" s="1489"/>
      <c r="G107" s="469"/>
      <c r="H107" s="1832"/>
      <c r="I107" s="1656"/>
      <c r="J107" s="1656"/>
      <c r="K107" s="1319" t="s">
        <v>368</v>
      </c>
      <c r="L107" s="130">
        <v>150</v>
      </c>
      <c r="M107" s="130">
        <v>150</v>
      </c>
      <c r="N107" s="131">
        <v>150</v>
      </c>
      <c r="P107" s="13"/>
      <c r="Q107" s="766"/>
      <c r="R107" s="766"/>
      <c r="S107" s="766"/>
      <c r="T107" s="766"/>
      <c r="U107" s="766"/>
      <c r="V107" s="766"/>
      <c r="W107" s="766"/>
      <c r="X107" s="766"/>
      <c r="Y107" s="766"/>
      <c r="Z107" s="766"/>
    </row>
    <row r="108" spans="1:26" ht="16.5" customHeight="1" x14ac:dyDescent="0.2">
      <c r="A108" s="1249"/>
      <c r="B108" s="1245"/>
      <c r="C108" s="1247"/>
      <c r="D108" s="2248" t="s">
        <v>328</v>
      </c>
      <c r="E108" s="1487"/>
      <c r="F108" s="1489"/>
      <c r="G108" s="1313"/>
      <c r="H108" s="1814"/>
      <c r="I108" s="1655"/>
      <c r="J108" s="1655"/>
      <c r="K108" s="1319" t="s">
        <v>287</v>
      </c>
      <c r="L108" s="130">
        <v>100</v>
      </c>
      <c r="M108" s="130"/>
      <c r="N108" s="131"/>
      <c r="P108" s="13"/>
      <c r="Q108" s="766"/>
      <c r="R108" s="766"/>
      <c r="S108" s="766"/>
      <c r="T108" s="766"/>
      <c r="U108" s="766"/>
      <c r="V108" s="766"/>
      <c r="W108" s="766"/>
      <c r="X108" s="766"/>
      <c r="Y108" s="766"/>
      <c r="Z108" s="766"/>
    </row>
    <row r="109" spans="1:26" ht="23.25" customHeight="1" thickBot="1" x14ac:dyDescent="0.25">
      <c r="A109" s="1217"/>
      <c r="B109" s="1203"/>
      <c r="C109" s="1220"/>
      <c r="D109" s="2249"/>
      <c r="E109" s="1488"/>
      <c r="F109" s="1484"/>
      <c r="G109" s="1321" t="s">
        <v>10</v>
      </c>
      <c r="H109" s="1710">
        <f>H97+H98</f>
        <v>312615.84800741426</v>
      </c>
      <c r="I109" s="1710">
        <f>I97</f>
        <v>284117.23818350327</v>
      </c>
      <c r="J109" s="1710">
        <f>J97</f>
        <v>327560.24096385547</v>
      </c>
      <c r="K109" s="1318"/>
      <c r="L109" s="60"/>
      <c r="M109" s="60"/>
      <c r="N109" s="149"/>
      <c r="P109" s="13"/>
      <c r="Q109" s="766"/>
      <c r="R109" s="766"/>
      <c r="S109" s="766"/>
      <c r="T109" s="766"/>
      <c r="U109" s="766"/>
      <c r="V109" s="766"/>
      <c r="W109" s="766"/>
      <c r="X109" s="766"/>
      <c r="Y109" s="766"/>
      <c r="Z109" s="766"/>
    </row>
    <row r="110" spans="1:26" ht="13.5" thickBot="1" x14ac:dyDescent="0.25">
      <c r="A110" s="817" t="s">
        <v>9</v>
      </c>
      <c r="B110" s="11" t="s">
        <v>11</v>
      </c>
      <c r="C110" s="2023" t="s">
        <v>12</v>
      </c>
      <c r="D110" s="2023"/>
      <c r="E110" s="1966"/>
      <c r="F110" s="1966"/>
      <c r="G110" s="1967"/>
      <c r="H110" s="1853">
        <f>H109</f>
        <v>312615.84800741426</v>
      </c>
      <c r="I110" s="1854">
        <f>I109</f>
        <v>284117.23818350327</v>
      </c>
      <c r="J110" s="1853">
        <f t="shared" ref="J110" si="5">J109</f>
        <v>327560.24096385547</v>
      </c>
      <c r="K110" s="1968"/>
      <c r="L110" s="1969"/>
      <c r="M110" s="1969"/>
      <c r="N110" s="1970"/>
      <c r="O110" s="89"/>
      <c r="Q110" s="766"/>
      <c r="R110" s="766"/>
      <c r="S110" s="766"/>
      <c r="T110" s="766"/>
      <c r="U110" s="766"/>
      <c r="V110" s="766"/>
      <c r="W110" s="766"/>
      <c r="X110" s="766"/>
      <c r="Y110" s="766"/>
      <c r="Z110" s="766"/>
    </row>
    <row r="111" spans="1:26" ht="13.5" thickBot="1" x14ac:dyDescent="0.25">
      <c r="A111" s="816" t="s">
        <v>9</v>
      </c>
      <c r="B111" s="11" t="s">
        <v>38</v>
      </c>
      <c r="C111" s="2077" t="s">
        <v>72</v>
      </c>
      <c r="D111" s="2078"/>
      <c r="E111" s="2078"/>
      <c r="F111" s="2078"/>
      <c r="G111" s="2078"/>
      <c r="H111" s="2078"/>
      <c r="I111" s="2078"/>
      <c r="J111" s="2078"/>
      <c r="K111" s="2078"/>
      <c r="L111" s="2078"/>
      <c r="M111" s="2078"/>
      <c r="N111" s="2079"/>
      <c r="Q111" s="766"/>
      <c r="R111" s="766"/>
      <c r="S111" s="766"/>
      <c r="T111" s="766"/>
      <c r="U111" s="766"/>
      <c r="V111" s="766"/>
      <c r="W111" s="766"/>
      <c r="X111" s="766"/>
      <c r="Y111" s="766"/>
      <c r="Z111" s="766"/>
    </row>
    <row r="112" spans="1:26" ht="18" customHeight="1" x14ac:dyDescent="0.2">
      <c r="A112" s="2297" t="s">
        <v>9</v>
      </c>
      <c r="B112" s="2018" t="s">
        <v>38</v>
      </c>
      <c r="C112" s="2066" t="s">
        <v>9</v>
      </c>
      <c r="D112" s="2072" t="s">
        <v>82</v>
      </c>
      <c r="E112" s="2041"/>
      <c r="F112" s="1988" t="s">
        <v>40</v>
      </c>
      <c r="G112" s="1953" t="s">
        <v>36</v>
      </c>
      <c r="H112" s="1954">
        <f>(2297.3-102.7-48.2)/3.4528*1000</f>
        <v>621640.40778498619</v>
      </c>
      <c r="I112" s="1955">
        <f>2527.1/3.4528*1000</f>
        <v>731898.74884151993</v>
      </c>
      <c r="J112" s="1955">
        <f>2527.1/3.4528*1000</f>
        <v>731898.74884151993</v>
      </c>
      <c r="K112" s="2029" t="s">
        <v>326</v>
      </c>
      <c r="L112" s="1860">
        <v>3.7</v>
      </c>
      <c r="M112" s="1860">
        <v>3.7</v>
      </c>
      <c r="N112" s="1861">
        <v>3.7</v>
      </c>
      <c r="P112" s="13"/>
      <c r="Q112" s="766"/>
      <c r="R112" s="766"/>
      <c r="S112" s="766"/>
      <c r="T112" s="766"/>
      <c r="U112" s="766"/>
      <c r="V112" s="766"/>
      <c r="W112" s="766"/>
      <c r="X112" s="766"/>
      <c r="Y112" s="766"/>
      <c r="Z112" s="766"/>
    </row>
    <row r="113" spans="1:26" ht="15.75" customHeight="1" x14ac:dyDescent="0.2">
      <c r="A113" s="2293"/>
      <c r="B113" s="2019"/>
      <c r="C113" s="2071"/>
      <c r="D113" s="2073"/>
      <c r="E113" s="2042"/>
      <c r="F113" s="1989"/>
      <c r="G113" s="1565"/>
      <c r="H113" s="1952"/>
      <c r="I113" s="1659"/>
      <c r="J113" s="1693"/>
      <c r="K113" s="2030"/>
      <c r="L113" s="1862"/>
      <c r="M113" s="32"/>
      <c r="N113" s="150"/>
      <c r="P113" s="13"/>
      <c r="Q113" s="766"/>
      <c r="R113" s="766"/>
      <c r="S113" s="766"/>
      <c r="T113" s="766"/>
      <c r="U113" s="766"/>
      <c r="V113" s="766"/>
      <c r="W113" s="766"/>
      <c r="X113" s="766"/>
      <c r="Y113" s="766"/>
      <c r="Z113" s="766"/>
    </row>
    <row r="114" spans="1:26" ht="18.75" customHeight="1" thickBot="1" x14ac:dyDescent="0.25">
      <c r="A114" s="2294"/>
      <c r="B114" s="2020"/>
      <c r="C114" s="2067"/>
      <c r="D114" s="2074"/>
      <c r="E114" s="2068"/>
      <c r="F114" s="1990"/>
      <c r="G114" s="1704" t="s">
        <v>10</v>
      </c>
      <c r="H114" s="1855">
        <f>H112</f>
        <v>621640.40778498619</v>
      </c>
      <c r="I114" s="1856">
        <f>SUM(I112:I113)</f>
        <v>731898.74884151993</v>
      </c>
      <c r="J114" s="1857">
        <f>SUM(J112:J113)</f>
        <v>731898.74884151993</v>
      </c>
      <c r="K114" s="2076"/>
      <c r="L114" s="1206"/>
      <c r="M114" s="1206"/>
      <c r="N114" s="1208"/>
      <c r="P114" s="13"/>
      <c r="Q114" s="766"/>
      <c r="R114" s="766"/>
      <c r="S114" s="766"/>
      <c r="T114" s="766"/>
      <c r="U114" s="766"/>
      <c r="V114" s="766"/>
      <c r="W114" s="766"/>
      <c r="X114" s="766"/>
      <c r="Y114" s="766"/>
      <c r="Z114" s="766"/>
    </row>
    <row r="115" spans="1:26" ht="13.5" thickBot="1" x14ac:dyDescent="0.25">
      <c r="A115" s="817" t="s">
        <v>9</v>
      </c>
      <c r="B115" s="11" t="s">
        <v>38</v>
      </c>
      <c r="C115" s="2023" t="s">
        <v>12</v>
      </c>
      <c r="D115" s="2023"/>
      <c r="E115" s="2023"/>
      <c r="F115" s="2023"/>
      <c r="G115" s="1967"/>
      <c r="H115" s="1858">
        <f>H114</f>
        <v>621640.40778498619</v>
      </c>
      <c r="I115" s="1859">
        <f>I114</f>
        <v>731898.74884151993</v>
      </c>
      <c r="J115" s="1858">
        <f t="shared" ref="J115" si="6">J114</f>
        <v>731898.74884151993</v>
      </c>
      <c r="K115" s="1968"/>
      <c r="L115" s="1969"/>
      <c r="M115" s="1969"/>
      <c r="N115" s="1970"/>
    </row>
    <row r="116" spans="1:26" ht="14.25" customHeight="1" thickBot="1" x14ac:dyDescent="0.25">
      <c r="A116" s="816" t="s">
        <v>9</v>
      </c>
      <c r="B116" s="11" t="s">
        <v>53</v>
      </c>
      <c r="C116" s="2024" t="s">
        <v>73</v>
      </c>
      <c r="D116" s="2025"/>
      <c r="E116" s="2025"/>
      <c r="F116" s="2025"/>
      <c r="G116" s="2025"/>
      <c r="H116" s="2025"/>
      <c r="I116" s="2025"/>
      <c r="J116" s="2025"/>
      <c r="K116" s="2025"/>
      <c r="L116" s="2025"/>
      <c r="M116" s="2025"/>
      <c r="N116" s="2026"/>
    </row>
    <row r="117" spans="1:26" ht="17.25" customHeight="1" x14ac:dyDescent="0.2">
      <c r="A117" s="1216" t="s">
        <v>9</v>
      </c>
      <c r="B117" s="1202" t="s">
        <v>53</v>
      </c>
      <c r="C117" s="1087" t="s">
        <v>9</v>
      </c>
      <c r="D117" s="2295" t="s">
        <v>83</v>
      </c>
      <c r="E117" s="810"/>
      <c r="F117" s="1196" t="s">
        <v>40</v>
      </c>
      <c r="G117" s="15" t="s">
        <v>36</v>
      </c>
      <c r="H117" s="1824">
        <f>300/3.4528*1000</f>
        <v>86886.005560704361</v>
      </c>
      <c r="I117" s="1863">
        <f t="shared" ref="I117:J117" si="7">300/3.4528*1000</f>
        <v>86886.005560704361</v>
      </c>
      <c r="J117" s="1863">
        <f t="shared" si="7"/>
        <v>86886.005560704361</v>
      </c>
      <c r="K117" s="2029" t="s">
        <v>84</v>
      </c>
      <c r="L117" s="75">
        <v>285</v>
      </c>
      <c r="M117" s="75">
        <v>285</v>
      </c>
      <c r="N117" s="1780">
        <v>285</v>
      </c>
      <c r="O117" s="72"/>
      <c r="P117" s="13"/>
    </row>
    <row r="118" spans="1:26" ht="15.75" customHeight="1" thickBot="1" x14ac:dyDescent="0.25">
      <c r="A118" s="1904"/>
      <c r="B118" s="1884"/>
      <c r="C118" s="1905"/>
      <c r="D118" s="2296"/>
      <c r="E118" s="1888"/>
      <c r="F118" s="1906"/>
      <c r="G118" s="291" t="s">
        <v>10</v>
      </c>
      <c r="H118" s="1821">
        <f>H117</f>
        <v>86886.005560704361</v>
      </c>
      <c r="I118" s="1821">
        <f t="shared" ref="I118:J118" si="8">I117</f>
        <v>86886.005560704361</v>
      </c>
      <c r="J118" s="1821">
        <f t="shared" si="8"/>
        <v>86886.005560704361</v>
      </c>
      <c r="K118" s="2290"/>
      <c r="L118" s="60"/>
      <c r="M118" s="60"/>
      <c r="N118" s="149"/>
      <c r="Q118" s="89"/>
      <c r="R118" s="89"/>
    </row>
    <row r="119" spans="1:26" ht="12.75" customHeight="1" x14ac:dyDescent="0.2">
      <c r="A119" s="2293" t="s">
        <v>9</v>
      </c>
      <c r="B119" s="2019" t="s">
        <v>53</v>
      </c>
      <c r="C119" s="2014" t="s">
        <v>11</v>
      </c>
      <c r="D119" s="2006" t="s">
        <v>125</v>
      </c>
      <c r="E119" s="1983"/>
      <c r="F119" s="1989" t="s">
        <v>40</v>
      </c>
      <c r="G119" s="347" t="s">
        <v>36</v>
      </c>
      <c r="H119" s="1946">
        <f>20.3/3.4528*1000</f>
        <v>5879.2863762743282</v>
      </c>
      <c r="I119" s="1691">
        <f>21/3.4528*1000</f>
        <v>6082.0203892493046</v>
      </c>
      <c r="J119" s="1691">
        <f>21/3.4528*1000</f>
        <v>6082.0203892493046</v>
      </c>
      <c r="K119" s="1198" t="s">
        <v>127</v>
      </c>
      <c r="L119" s="1778">
        <v>44</v>
      </c>
      <c r="M119" s="1778">
        <v>45</v>
      </c>
      <c r="N119" s="1780">
        <v>45</v>
      </c>
      <c r="P119" s="13"/>
      <c r="Q119" s="89"/>
      <c r="R119" s="89"/>
    </row>
    <row r="120" spans="1:26" x14ac:dyDescent="0.2">
      <c r="A120" s="2293"/>
      <c r="B120" s="2019"/>
      <c r="C120" s="2014"/>
      <c r="D120" s="2006"/>
      <c r="E120" s="1983"/>
      <c r="F120" s="1989"/>
      <c r="G120" s="151"/>
      <c r="H120" s="1803"/>
      <c r="I120" s="1658"/>
      <c r="J120" s="1917"/>
      <c r="K120" s="27" t="s">
        <v>126</v>
      </c>
      <c r="L120" s="32">
        <v>3</v>
      </c>
      <c r="M120" s="33">
        <v>4</v>
      </c>
      <c r="N120" s="150">
        <v>4</v>
      </c>
      <c r="P120" s="13"/>
      <c r="Q120" s="89"/>
      <c r="R120" s="89"/>
    </row>
    <row r="121" spans="1:26" ht="13.5" thickBot="1" x14ac:dyDescent="0.25">
      <c r="A121" s="2294"/>
      <c r="B121" s="2020"/>
      <c r="C121" s="2015"/>
      <c r="D121" s="2007"/>
      <c r="E121" s="1984"/>
      <c r="F121" s="1990"/>
      <c r="G121" s="291" t="s">
        <v>10</v>
      </c>
      <c r="H121" s="1821">
        <f>H119</f>
        <v>5879.2863762743282</v>
      </c>
      <c r="I121" s="1694">
        <f>I119</f>
        <v>6082.0203892493046</v>
      </c>
      <c r="J121" s="1708">
        <f t="shared" ref="J121" si="9">J119</f>
        <v>6082.0203892493046</v>
      </c>
      <c r="K121" s="28" t="s">
        <v>238</v>
      </c>
      <c r="L121" s="1779">
        <v>230</v>
      </c>
      <c r="M121" s="34">
        <v>240</v>
      </c>
      <c r="N121" s="1781">
        <v>240</v>
      </c>
      <c r="P121" s="13"/>
      <c r="Q121" s="89"/>
      <c r="R121" s="89"/>
    </row>
    <row r="122" spans="1:26" ht="13.5" thickBot="1" x14ac:dyDescent="0.25">
      <c r="A122" s="1218" t="s">
        <v>9</v>
      </c>
      <c r="B122" s="1204" t="s">
        <v>53</v>
      </c>
      <c r="C122" s="2022" t="s">
        <v>12</v>
      </c>
      <c r="D122" s="2023"/>
      <c r="E122" s="2023"/>
      <c r="F122" s="2023"/>
      <c r="G122" s="1967"/>
      <c r="H122" s="1864">
        <f>H121+H118</f>
        <v>92765.291936978683</v>
      </c>
      <c r="I122" s="1703">
        <f t="shared" ref="I122:J122" si="10">I121+I118</f>
        <v>92968.025949953662</v>
      </c>
      <c r="J122" s="1709">
        <f t="shared" si="10"/>
        <v>92968.025949953662</v>
      </c>
      <c r="K122" s="996"/>
      <c r="L122" s="997"/>
      <c r="M122" s="998"/>
      <c r="N122" s="999"/>
    </row>
    <row r="123" spans="1:26" ht="13.5" thickBot="1" x14ac:dyDescent="0.25">
      <c r="A123" s="816" t="s">
        <v>9</v>
      </c>
      <c r="B123" s="11" t="s">
        <v>109</v>
      </c>
      <c r="C123" s="2024" t="s">
        <v>110</v>
      </c>
      <c r="D123" s="2025"/>
      <c r="E123" s="2025"/>
      <c r="F123" s="2025"/>
      <c r="G123" s="2025"/>
      <c r="H123" s="2025"/>
      <c r="I123" s="2025"/>
      <c r="J123" s="2025"/>
      <c r="K123" s="2025"/>
      <c r="L123" s="2025"/>
      <c r="M123" s="2025"/>
      <c r="N123" s="2026"/>
    </row>
    <row r="124" spans="1:26" ht="14.25" customHeight="1" x14ac:dyDescent="0.2">
      <c r="A124" s="1224" t="s">
        <v>9</v>
      </c>
      <c r="B124" s="1222" t="s">
        <v>54</v>
      </c>
      <c r="C124" s="1223" t="s">
        <v>9</v>
      </c>
      <c r="D124" s="1960" t="s">
        <v>118</v>
      </c>
      <c r="E124" s="1994"/>
      <c r="F124" s="2275">
        <v>6</v>
      </c>
      <c r="G124" s="429" t="s">
        <v>36</v>
      </c>
      <c r="H124" s="1946">
        <f>12076.5/3.4528*1000</f>
        <v>3497596.153846154</v>
      </c>
      <c r="I124" s="1809">
        <f>12076.5/3.4528*1000</f>
        <v>3497596.153846154</v>
      </c>
      <c r="J124" s="1808">
        <f t="shared" ref="J124" si="11">12076.5/3.4528*1000</f>
        <v>3497596.153846154</v>
      </c>
      <c r="K124" s="1221"/>
      <c r="L124" s="32"/>
      <c r="M124" s="32"/>
      <c r="N124" s="150"/>
    </row>
    <row r="125" spans="1:26" ht="12.75" customHeight="1" x14ac:dyDescent="0.2">
      <c r="A125" s="1219"/>
      <c r="B125" s="1199"/>
      <c r="C125" s="1200"/>
      <c r="D125" s="126" t="s">
        <v>120</v>
      </c>
      <c r="E125" s="1994"/>
      <c r="F125" s="2276"/>
      <c r="G125" s="377"/>
      <c r="H125" s="1792"/>
      <c r="I125" s="1958"/>
      <c r="J125" s="1959"/>
      <c r="K125" s="67" t="s">
        <v>352</v>
      </c>
      <c r="L125" s="130">
        <v>7</v>
      </c>
      <c r="M125" s="130">
        <v>7</v>
      </c>
      <c r="N125" s="131">
        <v>7</v>
      </c>
    </row>
    <row r="126" spans="1:26" x14ac:dyDescent="0.2">
      <c r="A126" s="1219"/>
      <c r="B126" s="1199"/>
      <c r="C126" s="1200"/>
      <c r="D126" s="1201" t="s">
        <v>121</v>
      </c>
      <c r="E126" s="1994"/>
      <c r="F126" s="2276"/>
      <c r="G126" s="377"/>
      <c r="H126" s="1792"/>
      <c r="I126" s="1958"/>
      <c r="J126" s="1959"/>
      <c r="K126" s="67" t="s">
        <v>353</v>
      </c>
      <c r="L126" s="130">
        <v>6</v>
      </c>
      <c r="M126" s="130">
        <v>6</v>
      </c>
      <c r="N126" s="131">
        <v>6</v>
      </c>
    </row>
    <row r="127" spans="1:26" x14ac:dyDescent="0.2">
      <c r="A127" s="1219"/>
      <c r="B127" s="1199"/>
      <c r="C127" s="1200"/>
      <c r="D127" s="126" t="s">
        <v>122</v>
      </c>
      <c r="E127" s="1994"/>
      <c r="F127" s="2276"/>
      <c r="G127" s="377"/>
      <c r="H127" s="1792"/>
      <c r="I127" s="1958"/>
      <c r="J127" s="1959"/>
      <c r="K127" s="67" t="s">
        <v>353</v>
      </c>
      <c r="L127" s="130">
        <v>5</v>
      </c>
      <c r="M127" s="130">
        <v>5</v>
      </c>
      <c r="N127" s="131">
        <v>5</v>
      </c>
    </row>
    <row r="128" spans="1:26" s="53" customFormat="1" x14ac:dyDescent="0.2">
      <c r="A128" s="1217"/>
      <c r="B128" s="1203"/>
      <c r="C128" s="71"/>
      <c r="D128" s="126" t="s">
        <v>123</v>
      </c>
      <c r="E128" s="1994"/>
      <c r="F128" s="2276"/>
      <c r="G128" s="16"/>
      <c r="H128" s="1792"/>
      <c r="I128" s="1958"/>
      <c r="J128" s="1959"/>
      <c r="K128" s="67" t="s">
        <v>353</v>
      </c>
      <c r="L128" s="55">
        <v>97</v>
      </c>
      <c r="M128" s="54">
        <v>97</v>
      </c>
      <c r="N128" s="179">
        <v>97</v>
      </c>
    </row>
    <row r="129" spans="1:35" x14ac:dyDescent="0.2">
      <c r="A129" s="2291"/>
      <c r="B129" s="2012"/>
      <c r="C129" s="2014"/>
      <c r="D129" s="2016" t="s">
        <v>119</v>
      </c>
      <c r="E129" s="1994"/>
      <c r="F129" s="2276"/>
      <c r="G129" s="380"/>
      <c r="H129" s="1803"/>
      <c r="I129" s="1956"/>
      <c r="J129" s="1957"/>
      <c r="K129" s="1214" t="s">
        <v>353</v>
      </c>
      <c r="L129" s="130">
        <v>1</v>
      </c>
      <c r="M129" s="130">
        <v>1</v>
      </c>
      <c r="N129" s="131">
        <v>1</v>
      </c>
    </row>
    <row r="130" spans="1:35" ht="13.5" thickBot="1" x14ac:dyDescent="0.25">
      <c r="A130" s="2292"/>
      <c r="B130" s="2013"/>
      <c r="C130" s="2015"/>
      <c r="D130" s="2017"/>
      <c r="E130" s="1995"/>
      <c r="F130" s="2277"/>
      <c r="G130" s="291" t="s">
        <v>10</v>
      </c>
      <c r="H130" s="1821">
        <f>H124</f>
        <v>3497596.153846154</v>
      </c>
      <c r="I130" s="1710">
        <f>SUM(I124:I129)</f>
        <v>3497596.153846154</v>
      </c>
      <c r="J130" s="1711">
        <f>SUM(J124:J129)</f>
        <v>3497596.153846154</v>
      </c>
      <c r="K130" s="28"/>
      <c r="L130" s="1779"/>
      <c r="M130" s="34"/>
      <c r="N130" s="1781"/>
      <c r="P130" s="13"/>
    </row>
    <row r="131" spans="1:35" ht="14.25" customHeight="1" thickBot="1" x14ac:dyDescent="0.25">
      <c r="A131" s="1218" t="s">
        <v>9</v>
      </c>
      <c r="B131" s="1204" t="s">
        <v>54</v>
      </c>
      <c r="C131" s="1965" t="s">
        <v>12</v>
      </c>
      <c r="D131" s="1966"/>
      <c r="E131" s="1966"/>
      <c r="F131" s="1966"/>
      <c r="G131" s="1967"/>
      <c r="H131" s="1703">
        <f>H130</f>
        <v>3497596.153846154</v>
      </c>
      <c r="I131" s="1703">
        <f>I130</f>
        <v>3497596.153846154</v>
      </c>
      <c r="J131" s="1703">
        <f>J130</f>
        <v>3497596.153846154</v>
      </c>
      <c r="K131" s="1968"/>
      <c r="L131" s="1969"/>
      <c r="M131" s="1969"/>
      <c r="N131" s="1970"/>
    </row>
    <row r="132" spans="1:35" ht="14.25" customHeight="1" thickBot="1" x14ac:dyDescent="0.25">
      <c r="A132" s="817" t="s">
        <v>9</v>
      </c>
      <c r="B132" s="2278" t="s">
        <v>13</v>
      </c>
      <c r="C132" s="2279"/>
      <c r="D132" s="2279"/>
      <c r="E132" s="2279"/>
      <c r="F132" s="2279"/>
      <c r="G132" s="2280"/>
      <c r="H132" s="1865">
        <f>H131+H122+H115+H110+H95</f>
        <v>10889307.228915663</v>
      </c>
      <c r="I132" s="1865">
        <f>I131+I122+I115+I110+I95</f>
        <v>10292892.724745136</v>
      </c>
      <c r="J132" s="1865">
        <f>J131+J122+J115+J110+J95</f>
        <v>10053434.893419834</v>
      </c>
      <c r="K132" s="2281"/>
      <c r="L132" s="2282"/>
      <c r="M132" s="2282"/>
      <c r="N132" s="2283"/>
    </row>
    <row r="133" spans="1:35" ht="14.25" customHeight="1" thickBot="1" x14ac:dyDescent="0.25">
      <c r="A133" s="103" t="s">
        <v>55</v>
      </c>
      <c r="B133" s="2284" t="s">
        <v>128</v>
      </c>
      <c r="C133" s="2285"/>
      <c r="D133" s="2285"/>
      <c r="E133" s="2285"/>
      <c r="F133" s="2285"/>
      <c r="G133" s="2286"/>
      <c r="H133" s="1866">
        <f>H132</f>
        <v>10889307.228915663</v>
      </c>
      <c r="I133" s="1866">
        <f t="shared" ref="I133:J133" si="12">I132</f>
        <v>10292892.724745136</v>
      </c>
      <c r="J133" s="1866">
        <f t="shared" si="12"/>
        <v>10053434.893419834</v>
      </c>
      <c r="K133" s="2287"/>
      <c r="L133" s="2288"/>
      <c r="M133" s="2288"/>
      <c r="N133" s="2289"/>
    </row>
    <row r="134" spans="1:35" s="22" customFormat="1" ht="14.25" customHeight="1" x14ac:dyDescent="0.2">
      <c r="A134" s="2270"/>
      <c r="B134" s="2270"/>
      <c r="C134" s="2270"/>
      <c r="D134" s="2270"/>
      <c r="E134" s="2270"/>
      <c r="F134" s="2270"/>
      <c r="G134" s="2270"/>
      <c r="H134" s="2270"/>
      <c r="I134" s="2270"/>
      <c r="J134" s="2270"/>
      <c r="K134" s="2270"/>
      <c r="L134" s="2270"/>
      <c r="M134" s="2270"/>
      <c r="N134" s="2270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pans="1:35" s="22" customFormat="1" ht="14.25" customHeight="1" thickBot="1" x14ac:dyDescent="0.25">
      <c r="A135" s="2271" t="s">
        <v>18</v>
      </c>
      <c r="B135" s="2271"/>
      <c r="C135" s="2271"/>
      <c r="D135" s="2271"/>
      <c r="E135" s="2271"/>
      <c r="F135" s="2271"/>
      <c r="G135" s="2271"/>
      <c r="H135" s="2271"/>
      <c r="I135" s="2"/>
      <c r="J135" s="3"/>
      <c r="K135" s="4"/>
      <c r="L135" s="4"/>
      <c r="M135" s="4"/>
      <c r="N135" s="4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pans="1:35" ht="45" customHeight="1" thickBot="1" x14ac:dyDescent="0.25">
      <c r="A136" s="2272" t="s">
        <v>14</v>
      </c>
      <c r="B136" s="2273"/>
      <c r="C136" s="2273"/>
      <c r="D136" s="2273"/>
      <c r="E136" s="2273"/>
      <c r="F136" s="2273"/>
      <c r="G136" s="2274"/>
      <c r="H136" s="1239" t="s">
        <v>241</v>
      </c>
      <c r="I136" s="29" t="s">
        <v>245</v>
      </c>
      <c r="J136" s="29" t="s">
        <v>246</v>
      </c>
    </row>
    <row r="137" spans="1:35" ht="14.25" customHeight="1" x14ac:dyDescent="0.2">
      <c r="A137" s="2264" t="s">
        <v>19</v>
      </c>
      <c r="B137" s="2265"/>
      <c r="C137" s="2265"/>
      <c r="D137" s="2265"/>
      <c r="E137" s="2265"/>
      <c r="F137" s="2265"/>
      <c r="G137" s="2266"/>
      <c r="H137" s="1712">
        <f ca="1">SUM(H138:H143)</f>
        <v>10155149.443929566</v>
      </c>
      <c r="I137" s="1712">
        <f t="shared" ref="I137:J137" si="13">SUM(I138:I143)</f>
        <v>10209279.425393885</v>
      </c>
      <c r="J137" s="1712">
        <f t="shared" si="13"/>
        <v>9985374.1890639495</v>
      </c>
      <c r="K137" s="57"/>
    </row>
    <row r="138" spans="1:35" ht="14.25" customHeight="1" x14ac:dyDescent="0.2">
      <c r="A138" s="2267" t="s">
        <v>25</v>
      </c>
      <c r="B138" s="2268"/>
      <c r="C138" s="2268"/>
      <c r="D138" s="2268"/>
      <c r="E138" s="2268"/>
      <c r="F138" s="2268"/>
      <c r="G138" s="2269"/>
      <c r="H138" s="1713">
        <f>SUMIF(G12:G133,"SB",H12:H133)</f>
        <v>10061225.671918444</v>
      </c>
      <c r="I138" s="1713">
        <f>SUMIF(G12:G133,"SB",I12:I133)</f>
        <v>10171455.050973125</v>
      </c>
      <c r="J138" s="1713">
        <f>SUMIF(G12:G133,"SB",J12:J133)</f>
        <v>9946478.2205746062</v>
      </c>
      <c r="K138" s="81"/>
    </row>
    <row r="139" spans="1:35" ht="25.5" customHeight="1" x14ac:dyDescent="0.2">
      <c r="A139" s="2245" t="s">
        <v>26</v>
      </c>
      <c r="B139" s="2246"/>
      <c r="C139" s="2246"/>
      <c r="D139" s="2246"/>
      <c r="E139" s="2246"/>
      <c r="F139" s="2246"/>
      <c r="G139" s="2247"/>
      <c r="H139" s="1713">
        <f>SUMIF(G13:G133,"SB(SP)",H13:H133)</f>
        <v>34522.706209453201</v>
      </c>
      <c r="I139" s="1713">
        <f>SUMIF(G13:G133,"SB(SP)",I13:I133)</f>
        <v>34551.668211306773</v>
      </c>
      <c r="J139" s="1713">
        <f>SUMIF(G13:G133,"SB(SP)",J13:J133)</f>
        <v>34551.668211306773</v>
      </c>
    </row>
    <row r="140" spans="1:35" ht="14.25" customHeight="1" x14ac:dyDescent="0.2">
      <c r="A140" s="2245" t="s">
        <v>27</v>
      </c>
      <c r="B140" s="2246"/>
      <c r="C140" s="2246"/>
      <c r="D140" s="2246"/>
      <c r="E140" s="2246"/>
      <c r="F140" s="2246"/>
      <c r="G140" s="2247"/>
      <c r="H140" s="1713">
        <f>SUMIF(G13:G133,"SB(F)",H13:H133)</f>
        <v>0</v>
      </c>
      <c r="I140" s="1713">
        <f>SUMIF(G13:G133,"SB(F)",I13:I133)</f>
        <v>0</v>
      </c>
      <c r="J140" s="1713">
        <f>SUMIF(G13:G133,"SB(F)",J13:J133)</f>
        <v>0</v>
      </c>
      <c r="K140" s="59"/>
      <c r="L140" s="1"/>
      <c r="M140" s="1"/>
      <c r="N140" s="1"/>
      <c r="O140" s="1"/>
      <c r="P140" s="1"/>
    </row>
    <row r="141" spans="1:35" ht="14.25" customHeight="1" x14ac:dyDescent="0.2">
      <c r="A141" s="2245" t="s">
        <v>131</v>
      </c>
      <c r="B141" s="2246"/>
      <c r="C141" s="2246"/>
      <c r="D141" s="2246"/>
      <c r="E141" s="2246"/>
      <c r="F141" s="2246"/>
      <c r="G141" s="2247"/>
      <c r="H141" s="1713">
        <f ca="1">SUMIF(G13:G133,"SB(L)",H13:H132)</f>
        <v>0</v>
      </c>
      <c r="I141" s="1713">
        <f>SUMIF(G12:G133,"SB(L)",I12:I133)</f>
        <v>0</v>
      </c>
      <c r="J141" s="1713">
        <f>SUMIF(G12:G133,"SB(L)",J12:J133)</f>
        <v>0</v>
      </c>
      <c r="K141" s="59"/>
      <c r="L141" s="1"/>
      <c r="M141" s="1"/>
      <c r="N141" s="1"/>
      <c r="O141" s="1"/>
      <c r="P141" s="1"/>
    </row>
    <row r="142" spans="1:35" x14ac:dyDescent="0.2">
      <c r="A142" s="2245" t="s">
        <v>180</v>
      </c>
      <c r="B142" s="2262"/>
      <c r="C142" s="2262"/>
      <c r="D142" s="2262"/>
      <c r="E142" s="2262"/>
      <c r="F142" s="2262"/>
      <c r="G142" s="2263"/>
      <c r="H142" s="1713">
        <f>SUMIF(G13:G133,"SB(VR)",H13:H133)</f>
        <v>59401.065801668214</v>
      </c>
      <c r="I142" s="1713">
        <f>SUMIF(G13:G133,"SB(VR)",I13:I133)</f>
        <v>0</v>
      </c>
      <c r="J142" s="1713">
        <f>SUMIF(G13:G133,"SB(VR)",J13:J133)</f>
        <v>0</v>
      </c>
      <c r="K142" s="59"/>
      <c r="L142" s="1"/>
      <c r="M142" s="1"/>
      <c r="N142" s="1"/>
      <c r="O142" s="1"/>
      <c r="P142" s="1"/>
    </row>
    <row r="143" spans="1:35" x14ac:dyDescent="0.2">
      <c r="A143" s="2245" t="s">
        <v>28</v>
      </c>
      <c r="B143" s="2246"/>
      <c r="C143" s="2246"/>
      <c r="D143" s="2246"/>
      <c r="E143" s="2246"/>
      <c r="F143" s="2246"/>
      <c r="G143" s="2247"/>
      <c r="H143" s="1713">
        <f>SUMIF(G13:G133,"SB(P)",H13:H133)</f>
        <v>0</v>
      </c>
      <c r="I143" s="1713">
        <f>SUMIF(G13:G133,"SB(P)",I13:I133)</f>
        <v>3272.706209453198</v>
      </c>
      <c r="J143" s="1713">
        <f>SUMIF(G13:G133,"SB(P)",J13:J133)</f>
        <v>4344.3002780352172</v>
      </c>
    </row>
    <row r="144" spans="1:35" x14ac:dyDescent="0.2">
      <c r="A144" s="2259" t="s">
        <v>20</v>
      </c>
      <c r="B144" s="2260"/>
      <c r="C144" s="2260"/>
      <c r="D144" s="2260"/>
      <c r="E144" s="2260"/>
      <c r="F144" s="2260"/>
      <c r="G144" s="2261"/>
      <c r="H144" s="1714">
        <f>SUM(H145:H148)</f>
        <v>734157.78498609818</v>
      </c>
      <c r="I144" s="1714">
        <f>SUM(I145:I148)</f>
        <v>83613.29935125116</v>
      </c>
      <c r="J144" s="1714">
        <f>SUM(J145:J148)</f>
        <v>68060.704355885071</v>
      </c>
    </row>
    <row r="145" spans="1:14" x14ac:dyDescent="0.2">
      <c r="A145" s="2253" t="s">
        <v>29</v>
      </c>
      <c r="B145" s="2254"/>
      <c r="C145" s="2254"/>
      <c r="D145" s="2254"/>
      <c r="E145" s="2254"/>
      <c r="F145" s="2254"/>
      <c r="G145" s="2255"/>
      <c r="H145" s="1713">
        <f>SUMIF(G13:G133,"ES",H13:H133)</f>
        <v>121611.44578313254</v>
      </c>
      <c r="I145" s="1713">
        <f>SUMIF(G13:G133,"ES",I13:I133)</f>
        <v>51378.591288229843</v>
      </c>
      <c r="J145" s="1713">
        <f>SUMIF(G13:G133,"ES",J13:J133)</f>
        <v>63716.40407784986</v>
      </c>
    </row>
    <row r="146" spans="1:14" x14ac:dyDescent="0.2">
      <c r="A146" s="2256" t="s">
        <v>30</v>
      </c>
      <c r="B146" s="2257"/>
      <c r="C146" s="2257"/>
      <c r="D146" s="2257"/>
      <c r="E146" s="2257"/>
      <c r="F146" s="2257"/>
      <c r="G146" s="2258"/>
      <c r="H146" s="1713">
        <f>SUMIF(G13:G133,"KPP",H13:H133)</f>
        <v>0</v>
      </c>
      <c r="I146" s="1713">
        <f>SUMIF(G13:G133,"KPP",I13:I133)</f>
        <v>0</v>
      </c>
      <c r="J146" s="1713">
        <f>SUMIF(G13:G133,"KPP",J13:J133)</f>
        <v>0</v>
      </c>
    </row>
    <row r="147" spans="1:14" x14ac:dyDescent="0.2">
      <c r="A147" s="2245" t="s">
        <v>31</v>
      </c>
      <c r="B147" s="2246"/>
      <c r="C147" s="2246"/>
      <c r="D147" s="2246"/>
      <c r="E147" s="2246"/>
      <c r="F147" s="2246"/>
      <c r="G147" s="2247"/>
      <c r="H147" s="1713">
        <f>SUMIF(G13:G133,"LRVB",H13:H133)</f>
        <v>22300.741427247453</v>
      </c>
      <c r="I147" s="1713">
        <f>SUMIF(G13:G133,"LRVB",I13:I133)</f>
        <v>3272.706209453198</v>
      </c>
      <c r="J147" s="1713">
        <f>SUMIF(G13:G133,"LRVB",J13:J133)</f>
        <v>4344.3002780352172</v>
      </c>
    </row>
    <row r="148" spans="1:14" x14ac:dyDescent="0.2">
      <c r="A148" s="2245" t="s">
        <v>32</v>
      </c>
      <c r="B148" s="2246"/>
      <c r="C148" s="2246"/>
      <c r="D148" s="2246"/>
      <c r="E148" s="2246"/>
      <c r="F148" s="2246"/>
      <c r="G148" s="2247"/>
      <c r="H148" s="1713">
        <f>SUMIF(G13:G133,"Kt",H13:H133)</f>
        <v>590245.5977757182</v>
      </c>
      <c r="I148" s="1713">
        <f>SUMIF(G13:G133,"Kt",I13:I133)</f>
        <v>28962.001853568119</v>
      </c>
      <c r="J148" s="1713">
        <f>SUMIF(G13:G133,"Kt",J13:J133)</f>
        <v>0</v>
      </c>
      <c r="L148" s="5"/>
      <c r="M148" s="5"/>
      <c r="N148" s="5"/>
    </row>
    <row r="149" spans="1:14" ht="13.5" thickBot="1" x14ac:dyDescent="0.25">
      <c r="A149" s="2250" t="s">
        <v>21</v>
      </c>
      <c r="B149" s="2251"/>
      <c r="C149" s="2251"/>
      <c r="D149" s="2251"/>
      <c r="E149" s="2251"/>
      <c r="F149" s="2251"/>
      <c r="G149" s="2252"/>
      <c r="H149" s="1715">
        <f ca="1">SUM(H137,H144)</f>
        <v>10889307.228915663</v>
      </c>
      <c r="I149" s="1715">
        <f t="shared" ref="I149:J149" si="14">SUM(I137,I144)</f>
        <v>10292892.724745136</v>
      </c>
      <c r="J149" s="1715">
        <f t="shared" si="14"/>
        <v>10053434.893419834</v>
      </c>
      <c r="L149" s="5"/>
      <c r="M149" s="5"/>
      <c r="N149" s="5"/>
    </row>
    <row r="150" spans="1:14" x14ac:dyDescent="0.2">
      <c r="I150" s="81"/>
      <c r="K150" s="58"/>
      <c r="L150" s="5"/>
      <c r="M150" s="5"/>
      <c r="N150" s="5"/>
    </row>
    <row r="151" spans="1:14" x14ac:dyDescent="0.2">
      <c r="H151" s="1238"/>
      <c r="I151" s="299"/>
      <c r="J151" s="299"/>
      <c r="K151" s="81"/>
      <c r="L151" s="5"/>
      <c r="M151" s="5"/>
      <c r="N151" s="5"/>
    </row>
    <row r="152" spans="1:14" x14ac:dyDescent="0.2">
      <c r="H152" s="1880"/>
      <c r="L152" s="5"/>
      <c r="M152" s="5"/>
      <c r="N152" s="5"/>
    </row>
    <row r="153" spans="1:14" x14ac:dyDescent="0.2">
      <c r="L153" s="5"/>
      <c r="M153" s="5"/>
      <c r="N153" s="5"/>
    </row>
  </sheetData>
  <mergeCells count="186">
    <mergeCell ref="K34:K35"/>
    <mergeCell ref="D60:D61"/>
    <mergeCell ref="C11:N11"/>
    <mergeCell ref="A1:N1"/>
    <mergeCell ref="A2:N2"/>
    <mergeCell ref="A3:N3"/>
    <mergeCell ref="L4:N4"/>
    <mergeCell ref="A5:A7"/>
    <mergeCell ref="B5:B7"/>
    <mergeCell ref="C5:C7"/>
    <mergeCell ref="D5:D7"/>
    <mergeCell ref="E5:E7"/>
    <mergeCell ref="K6:K7"/>
    <mergeCell ref="L6:N6"/>
    <mergeCell ref="A8:N8"/>
    <mergeCell ref="I5:I7"/>
    <mergeCell ref="J5:J7"/>
    <mergeCell ref="K5:N5"/>
    <mergeCell ref="F5:F7"/>
    <mergeCell ref="H5:H7"/>
    <mergeCell ref="G5:G7"/>
    <mergeCell ref="A9:N9"/>
    <mergeCell ref="B10:N10"/>
    <mergeCell ref="F17:F23"/>
    <mergeCell ref="D24:D29"/>
    <mergeCell ref="E24:E26"/>
    <mergeCell ref="E27:E29"/>
    <mergeCell ref="E14:E16"/>
    <mergeCell ref="F14:F15"/>
    <mergeCell ref="A17:A23"/>
    <mergeCell ref="B17:B23"/>
    <mergeCell ref="C17:C23"/>
    <mergeCell ref="D17:D23"/>
    <mergeCell ref="E17:E23"/>
    <mergeCell ref="B14:B15"/>
    <mergeCell ref="C14:C15"/>
    <mergeCell ref="D14:D15"/>
    <mergeCell ref="A14:A15"/>
    <mergeCell ref="A38:A39"/>
    <mergeCell ref="B38:B39"/>
    <mergeCell ref="C38:C39"/>
    <mergeCell ref="E38:E39"/>
    <mergeCell ref="F38:F39"/>
    <mergeCell ref="D38:D40"/>
    <mergeCell ref="E30:E31"/>
    <mergeCell ref="E32:E33"/>
    <mergeCell ref="D34:D36"/>
    <mergeCell ref="E34:E36"/>
    <mergeCell ref="F34:F36"/>
    <mergeCell ref="F30:F31"/>
    <mergeCell ref="F32:F33"/>
    <mergeCell ref="D57:D58"/>
    <mergeCell ref="F41:F43"/>
    <mergeCell ref="A44:A45"/>
    <mergeCell ref="B44:B45"/>
    <mergeCell ref="C44:C45"/>
    <mergeCell ref="A41:A43"/>
    <mergeCell ref="B41:B43"/>
    <mergeCell ref="C41:C43"/>
    <mergeCell ref="D41:D43"/>
    <mergeCell ref="E41:E43"/>
    <mergeCell ref="D46:D49"/>
    <mergeCell ref="D44:D45"/>
    <mergeCell ref="F50:F51"/>
    <mergeCell ref="D54:D55"/>
    <mergeCell ref="A50:A51"/>
    <mergeCell ref="B50:B51"/>
    <mergeCell ref="C50:C51"/>
    <mergeCell ref="D50:D51"/>
    <mergeCell ref="E50:E51"/>
    <mergeCell ref="F66:F67"/>
    <mergeCell ref="K66:K67"/>
    <mergeCell ref="L66:L67"/>
    <mergeCell ref="M66:M67"/>
    <mergeCell ref="N66:N67"/>
    <mergeCell ref="A66:A67"/>
    <mergeCell ref="B66:B67"/>
    <mergeCell ref="C66:C67"/>
    <mergeCell ref="D66:D67"/>
    <mergeCell ref="E66:E67"/>
    <mergeCell ref="A76:A78"/>
    <mergeCell ref="B76:B78"/>
    <mergeCell ref="C76:C78"/>
    <mergeCell ref="E76:E78"/>
    <mergeCell ref="F76:F78"/>
    <mergeCell ref="N68:N69"/>
    <mergeCell ref="A70:A71"/>
    <mergeCell ref="B70:B71"/>
    <mergeCell ref="C70:C71"/>
    <mergeCell ref="D70:D71"/>
    <mergeCell ref="E70:E71"/>
    <mergeCell ref="F70:F71"/>
    <mergeCell ref="F68:F69"/>
    <mergeCell ref="K68:K69"/>
    <mergeCell ref="L68:L69"/>
    <mergeCell ref="M68:M69"/>
    <mergeCell ref="A68:A69"/>
    <mergeCell ref="B68:B69"/>
    <mergeCell ref="C68:C69"/>
    <mergeCell ref="D68:D69"/>
    <mergeCell ref="E68:E69"/>
    <mergeCell ref="D77:D78"/>
    <mergeCell ref="D74:D75"/>
    <mergeCell ref="K79:K80"/>
    <mergeCell ref="D83:D84"/>
    <mergeCell ref="K83:K84"/>
    <mergeCell ref="A79:A82"/>
    <mergeCell ref="B79:B82"/>
    <mergeCell ref="C79:C82"/>
    <mergeCell ref="D79:D82"/>
    <mergeCell ref="E79:E82"/>
    <mergeCell ref="F79:F82"/>
    <mergeCell ref="F89:F90"/>
    <mergeCell ref="D104:D105"/>
    <mergeCell ref="C95:G95"/>
    <mergeCell ref="C96:N96"/>
    <mergeCell ref="A97:A103"/>
    <mergeCell ref="B97:B103"/>
    <mergeCell ref="C97:C103"/>
    <mergeCell ref="D97:D98"/>
    <mergeCell ref="D99:D101"/>
    <mergeCell ref="D102:D103"/>
    <mergeCell ref="A93:A94"/>
    <mergeCell ref="B93:B94"/>
    <mergeCell ref="C93:C94"/>
    <mergeCell ref="D93:D94"/>
    <mergeCell ref="E93:E94"/>
    <mergeCell ref="C91:C92"/>
    <mergeCell ref="D91:D92"/>
    <mergeCell ref="A83:A90"/>
    <mergeCell ref="B83:B90"/>
    <mergeCell ref="C83:C90"/>
    <mergeCell ref="D89:D90"/>
    <mergeCell ref="E89:E90"/>
    <mergeCell ref="C115:G115"/>
    <mergeCell ref="K115:N115"/>
    <mergeCell ref="C116:N116"/>
    <mergeCell ref="F112:F114"/>
    <mergeCell ref="K112:K114"/>
    <mergeCell ref="C110:G110"/>
    <mergeCell ref="K110:N110"/>
    <mergeCell ref="C111:N111"/>
    <mergeCell ref="A112:A114"/>
    <mergeCell ref="B112:B114"/>
    <mergeCell ref="C112:C114"/>
    <mergeCell ref="D112:D114"/>
    <mergeCell ref="E112:E114"/>
    <mergeCell ref="B132:G132"/>
    <mergeCell ref="K132:N132"/>
    <mergeCell ref="B133:G133"/>
    <mergeCell ref="K133:N133"/>
    <mergeCell ref="K117:K118"/>
    <mergeCell ref="C119:C121"/>
    <mergeCell ref="D119:D121"/>
    <mergeCell ref="E119:E121"/>
    <mergeCell ref="A129:A130"/>
    <mergeCell ref="B129:B130"/>
    <mergeCell ref="C129:C130"/>
    <mergeCell ref="D129:D130"/>
    <mergeCell ref="A119:A121"/>
    <mergeCell ref="B119:B121"/>
    <mergeCell ref="D117:D118"/>
    <mergeCell ref="A139:G139"/>
    <mergeCell ref="C131:G131"/>
    <mergeCell ref="D108:D109"/>
    <mergeCell ref="A149:G149"/>
    <mergeCell ref="A147:G147"/>
    <mergeCell ref="A148:G148"/>
    <mergeCell ref="A145:G145"/>
    <mergeCell ref="A146:G146"/>
    <mergeCell ref="A143:G143"/>
    <mergeCell ref="A144:G144"/>
    <mergeCell ref="A141:G141"/>
    <mergeCell ref="A142:G142"/>
    <mergeCell ref="A140:G140"/>
    <mergeCell ref="A137:G137"/>
    <mergeCell ref="A138:G138"/>
    <mergeCell ref="A134:N134"/>
    <mergeCell ref="A135:H135"/>
    <mergeCell ref="A136:G136"/>
    <mergeCell ref="F119:F121"/>
    <mergeCell ref="C122:G122"/>
    <mergeCell ref="C123:N123"/>
    <mergeCell ref="E124:E130"/>
    <mergeCell ref="F124:F130"/>
    <mergeCell ref="K131:N131"/>
  </mergeCells>
  <pageMargins left="0.78740157480314965" right="0.19685039370078741" top="0.78740157480314965" bottom="0.39370078740157483" header="0" footer="0"/>
  <pageSetup paperSize="9" scale="70" orientation="portrait" r:id="rId1"/>
  <rowBreaks count="2" manualBreakCount="2">
    <brk id="52" max="13" man="1"/>
    <brk id="96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188"/>
  <sheetViews>
    <sheetView zoomScaleNormal="100" zoomScaleSheetLayoutView="100" workbookViewId="0">
      <selection activeCell="AF28" sqref="AF28"/>
    </sheetView>
  </sheetViews>
  <sheetFormatPr defaultRowHeight="12.75" x14ac:dyDescent="0.2"/>
  <cols>
    <col min="1" max="4" width="2.7109375" style="10" customWidth="1"/>
    <col min="5" max="5" width="29.28515625" style="10" customWidth="1"/>
    <col min="6" max="6" width="2.7109375" style="48" customWidth="1"/>
    <col min="7" max="7" width="2.7109375" style="10" customWidth="1"/>
    <col min="8" max="8" width="2.7109375" style="65" customWidth="1"/>
    <col min="9" max="9" width="12.85546875" style="65" customWidth="1"/>
    <col min="10" max="10" width="7.42578125" style="91" customWidth="1"/>
    <col min="11" max="11" width="7.140625" style="10" customWidth="1"/>
    <col min="12" max="12" width="7.7109375" style="10" customWidth="1"/>
    <col min="13" max="13" width="6.7109375" style="10" customWidth="1"/>
    <col min="14" max="14" width="8.7109375" style="10" customWidth="1"/>
    <col min="15" max="17" width="7.7109375" style="10" customWidth="1"/>
    <col min="18" max="18" width="7.42578125" style="10" customWidth="1"/>
    <col min="19" max="19" width="0.140625" style="10" hidden="1" customWidth="1"/>
    <col min="20" max="20" width="7.140625" style="10" hidden="1" customWidth="1"/>
    <col min="21" max="21" width="6.140625" style="10" hidden="1" customWidth="1"/>
    <col min="22" max="22" width="6.7109375" style="10" hidden="1" customWidth="1"/>
    <col min="23" max="23" width="8.5703125" style="10" customWidth="1"/>
    <col min="24" max="24" width="7.140625" style="10" customWidth="1"/>
    <col min="25" max="25" width="36.140625" style="10" customWidth="1"/>
    <col min="26" max="26" width="6.42578125" style="10" customWidth="1"/>
    <col min="27" max="27" width="5.7109375" style="10" customWidth="1"/>
    <col min="28" max="28" width="6.7109375" style="10" customWidth="1"/>
    <col min="29" max="16384" width="9.140625" style="5"/>
  </cols>
  <sheetData>
    <row r="1" spans="1:32" ht="15.75" x14ac:dyDescent="0.2">
      <c r="A1" s="2218" t="s">
        <v>244</v>
      </c>
      <c r="B1" s="2218"/>
      <c r="C1" s="2218"/>
      <c r="D1" s="2218"/>
      <c r="E1" s="2218"/>
      <c r="F1" s="2218"/>
      <c r="G1" s="2218"/>
      <c r="H1" s="2218"/>
      <c r="I1" s="2218"/>
      <c r="J1" s="2218"/>
      <c r="K1" s="2218"/>
      <c r="L1" s="2218"/>
      <c r="M1" s="2218"/>
      <c r="N1" s="2218"/>
      <c r="O1" s="2218"/>
      <c r="P1" s="2218"/>
      <c r="Q1" s="2218"/>
      <c r="R1" s="2218"/>
      <c r="S1" s="2218"/>
      <c r="T1" s="2218"/>
      <c r="U1" s="2218"/>
      <c r="V1" s="2218"/>
      <c r="W1" s="2218"/>
      <c r="X1" s="2218"/>
      <c r="Y1" s="2218"/>
      <c r="Z1" s="2218"/>
      <c r="AA1" s="2218"/>
      <c r="AB1" s="2218"/>
    </row>
    <row r="2" spans="1:32" ht="15.75" x14ac:dyDescent="0.2">
      <c r="A2" s="2219" t="s">
        <v>37</v>
      </c>
      <c r="B2" s="2219"/>
      <c r="C2" s="2219"/>
      <c r="D2" s="2219"/>
      <c r="E2" s="2219"/>
      <c r="F2" s="2219"/>
      <c r="G2" s="2219"/>
      <c r="H2" s="2219"/>
      <c r="I2" s="2219"/>
      <c r="J2" s="2219"/>
      <c r="K2" s="2219"/>
      <c r="L2" s="2219"/>
      <c r="M2" s="2219"/>
      <c r="N2" s="2219"/>
      <c r="O2" s="2219"/>
      <c r="P2" s="2219"/>
      <c r="Q2" s="2219"/>
      <c r="R2" s="2219"/>
      <c r="S2" s="2219"/>
      <c r="T2" s="2219"/>
      <c r="U2" s="2219"/>
      <c r="V2" s="2219"/>
      <c r="W2" s="2219"/>
      <c r="X2" s="2219"/>
      <c r="Y2" s="2219"/>
      <c r="Z2" s="2219"/>
      <c r="AA2" s="2219"/>
      <c r="AB2" s="2219"/>
    </row>
    <row r="3" spans="1:32" ht="15.75" x14ac:dyDescent="0.2">
      <c r="A3" s="2220" t="s">
        <v>23</v>
      </c>
      <c r="B3" s="2220"/>
      <c r="C3" s="2220"/>
      <c r="D3" s="2220"/>
      <c r="E3" s="2220"/>
      <c r="F3" s="2220"/>
      <c r="G3" s="2220"/>
      <c r="H3" s="2220"/>
      <c r="I3" s="2220"/>
      <c r="J3" s="2220"/>
      <c r="K3" s="2220"/>
      <c r="L3" s="2220"/>
      <c r="M3" s="2220"/>
      <c r="N3" s="2220"/>
      <c r="O3" s="2220"/>
      <c r="P3" s="2220"/>
      <c r="Q3" s="2220"/>
      <c r="R3" s="2220"/>
      <c r="S3" s="2220"/>
      <c r="T3" s="2220"/>
      <c r="U3" s="2220"/>
      <c r="V3" s="2220"/>
      <c r="W3" s="2220"/>
      <c r="X3" s="2220"/>
      <c r="Y3" s="2220"/>
      <c r="Z3" s="2220"/>
      <c r="AA3" s="2220"/>
      <c r="AB3" s="2220"/>
      <c r="AC3" s="1"/>
      <c r="AD3" s="1"/>
      <c r="AE3" s="1"/>
      <c r="AF3" s="1"/>
    </row>
    <row r="4" spans="1:32" ht="13.5" thickBot="1" x14ac:dyDescent="0.25">
      <c r="Z4" s="2221" t="s">
        <v>0</v>
      </c>
      <c r="AA4" s="2221"/>
      <c r="AB4" s="2221"/>
    </row>
    <row r="5" spans="1:32" ht="27" customHeight="1" x14ac:dyDescent="0.2">
      <c r="A5" s="2359" t="s">
        <v>24</v>
      </c>
      <c r="B5" s="2362" t="s">
        <v>1</v>
      </c>
      <c r="C5" s="2362" t="s">
        <v>2</v>
      </c>
      <c r="D5" s="2362" t="s">
        <v>221</v>
      </c>
      <c r="E5" s="2365" t="s">
        <v>16</v>
      </c>
      <c r="F5" s="2368" t="s">
        <v>3</v>
      </c>
      <c r="G5" s="2362" t="s">
        <v>222</v>
      </c>
      <c r="H5" s="2515" t="s">
        <v>4</v>
      </c>
      <c r="I5" s="2520" t="s">
        <v>223</v>
      </c>
      <c r="J5" s="2388" t="s">
        <v>5</v>
      </c>
      <c r="K5" s="2181" t="s">
        <v>239</v>
      </c>
      <c r="L5" s="2182"/>
      <c r="M5" s="2182"/>
      <c r="N5" s="2183"/>
      <c r="O5" s="2181" t="s">
        <v>240</v>
      </c>
      <c r="P5" s="2182"/>
      <c r="Q5" s="2182"/>
      <c r="R5" s="2183"/>
      <c r="S5" s="2181" t="s">
        <v>241</v>
      </c>
      <c r="T5" s="2182"/>
      <c r="U5" s="2182"/>
      <c r="V5" s="2183"/>
      <c r="W5" s="2376" t="s">
        <v>142</v>
      </c>
      <c r="X5" s="2376" t="s">
        <v>242</v>
      </c>
      <c r="Y5" s="2379" t="s">
        <v>15</v>
      </c>
      <c r="Z5" s="2380"/>
      <c r="AA5" s="2380"/>
      <c r="AB5" s="2381"/>
    </row>
    <row r="6" spans="1:32" x14ac:dyDescent="0.2">
      <c r="A6" s="2360"/>
      <c r="B6" s="2363"/>
      <c r="C6" s="2363"/>
      <c r="D6" s="2363"/>
      <c r="E6" s="2366"/>
      <c r="F6" s="2369"/>
      <c r="G6" s="2363"/>
      <c r="H6" s="2516"/>
      <c r="I6" s="2521"/>
      <c r="J6" s="2389"/>
      <c r="K6" s="2234" t="s">
        <v>6</v>
      </c>
      <c r="L6" s="2235" t="s">
        <v>7</v>
      </c>
      <c r="M6" s="2236"/>
      <c r="N6" s="2509" t="s">
        <v>22</v>
      </c>
      <c r="O6" s="2234" t="s">
        <v>6</v>
      </c>
      <c r="P6" s="2235" t="s">
        <v>7</v>
      </c>
      <c r="Q6" s="2236"/>
      <c r="R6" s="2509" t="s">
        <v>22</v>
      </c>
      <c r="S6" s="2234" t="s">
        <v>6</v>
      </c>
      <c r="T6" s="2235" t="s">
        <v>7</v>
      </c>
      <c r="U6" s="2236"/>
      <c r="V6" s="2237" t="s">
        <v>22</v>
      </c>
      <c r="W6" s="2377"/>
      <c r="X6" s="2377"/>
      <c r="Y6" s="2371" t="s">
        <v>16</v>
      </c>
      <c r="Z6" s="2373" t="s">
        <v>346</v>
      </c>
      <c r="AA6" s="2374"/>
      <c r="AB6" s="2375"/>
    </row>
    <row r="7" spans="1:32" ht="84.75" customHeight="1" thickBot="1" x14ac:dyDescent="0.25">
      <c r="A7" s="2361"/>
      <c r="B7" s="2364"/>
      <c r="C7" s="2364"/>
      <c r="D7" s="2364"/>
      <c r="E7" s="2367"/>
      <c r="F7" s="2370"/>
      <c r="G7" s="2364"/>
      <c r="H7" s="2517"/>
      <c r="I7" s="2522"/>
      <c r="J7" s="2390"/>
      <c r="K7" s="2224"/>
      <c r="L7" s="7" t="s">
        <v>6</v>
      </c>
      <c r="M7" s="6" t="s">
        <v>17</v>
      </c>
      <c r="N7" s="2510"/>
      <c r="O7" s="2224"/>
      <c r="P7" s="7" t="s">
        <v>6</v>
      </c>
      <c r="Q7" s="6" t="s">
        <v>17</v>
      </c>
      <c r="R7" s="2510"/>
      <c r="S7" s="2224"/>
      <c r="T7" s="7" t="s">
        <v>6</v>
      </c>
      <c r="U7" s="6" t="s">
        <v>17</v>
      </c>
      <c r="V7" s="2238"/>
      <c r="W7" s="2378"/>
      <c r="X7" s="2378"/>
      <c r="Y7" s="2372"/>
      <c r="Z7" s="1071" t="s">
        <v>35</v>
      </c>
      <c r="AA7" s="1071" t="s">
        <v>143</v>
      </c>
      <c r="AB7" s="1072" t="s">
        <v>243</v>
      </c>
    </row>
    <row r="8" spans="1:32" s="31" customFormat="1" x14ac:dyDescent="0.2">
      <c r="A8" s="2178" t="s">
        <v>135</v>
      </c>
      <c r="B8" s="2179"/>
      <c r="C8" s="2179"/>
      <c r="D8" s="2179"/>
      <c r="E8" s="2179"/>
      <c r="F8" s="2179"/>
      <c r="G8" s="2179"/>
      <c r="H8" s="2179"/>
      <c r="I8" s="2179"/>
      <c r="J8" s="2179"/>
      <c r="K8" s="2179"/>
      <c r="L8" s="2179"/>
      <c r="M8" s="2179"/>
      <c r="N8" s="2179"/>
      <c r="O8" s="2179"/>
      <c r="P8" s="2179"/>
      <c r="Q8" s="2179"/>
      <c r="R8" s="2179"/>
      <c r="S8" s="2179"/>
      <c r="T8" s="2179"/>
      <c r="U8" s="2179"/>
      <c r="V8" s="2179"/>
      <c r="W8" s="2179"/>
      <c r="X8" s="2179"/>
      <c r="Y8" s="2179"/>
      <c r="Z8" s="2179"/>
      <c r="AA8" s="2179"/>
      <c r="AB8" s="2180"/>
    </row>
    <row r="9" spans="1:32" s="31" customFormat="1" x14ac:dyDescent="0.2">
      <c r="A9" s="2199" t="s">
        <v>85</v>
      </c>
      <c r="B9" s="2200"/>
      <c r="C9" s="2200"/>
      <c r="D9" s="2200"/>
      <c r="E9" s="2200"/>
      <c r="F9" s="2200"/>
      <c r="G9" s="2200"/>
      <c r="H9" s="2200"/>
      <c r="I9" s="2200"/>
      <c r="J9" s="2200"/>
      <c r="K9" s="2200"/>
      <c r="L9" s="2200"/>
      <c r="M9" s="2200"/>
      <c r="N9" s="2200"/>
      <c r="O9" s="2200"/>
      <c r="P9" s="2200"/>
      <c r="Q9" s="2200"/>
      <c r="R9" s="2200"/>
      <c r="S9" s="2200"/>
      <c r="T9" s="2200"/>
      <c r="U9" s="2200"/>
      <c r="V9" s="2200"/>
      <c r="W9" s="2200"/>
      <c r="X9" s="2200"/>
      <c r="Y9" s="2200"/>
      <c r="Z9" s="2200"/>
      <c r="AA9" s="2200"/>
      <c r="AB9" s="2201"/>
    </row>
    <row r="10" spans="1:32" ht="15" customHeight="1" x14ac:dyDescent="0.2">
      <c r="A10" s="813" t="s">
        <v>9</v>
      </c>
      <c r="B10" s="2391" t="s">
        <v>136</v>
      </c>
      <c r="C10" s="2392"/>
      <c r="D10" s="2392"/>
      <c r="E10" s="2392"/>
      <c r="F10" s="2392"/>
      <c r="G10" s="2392"/>
      <c r="H10" s="2392"/>
      <c r="I10" s="2392"/>
      <c r="J10" s="2392"/>
      <c r="K10" s="2392"/>
      <c r="L10" s="2392"/>
      <c r="M10" s="2392"/>
      <c r="N10" s="2392"/>
      <c r="O10" s="2392"/>
      <c r="P10" s="2392"/>
      <c r="Q10" s="2392"/>
      <c r="R10" s="2392"/>
      <c r="S10" s="2392"/>
      <c r="T10" s="2392"/>
      <c r="U10" s="2392"/>
      <c r="V10" s="2392"/>
      <c r="W10" s="2392"/>
      <c r="X10" s="2392"/>
      <c r="Y10" s="2392"/>
      <c r="Z10" s="2392"/>
      <c r="AA10" s="2392"/>
      <c r="AB10" s="2393"/>
    </row>
    <row r="11" spans="1:32" ht="15.75" customHeight="1" x14ac:dyDescent="0.2">
      <c r="A11" s="1273" t="s">
        <v>9</v>
      </c>
      <c r="B11" s="1260" t="s">
        <v>9</v>
      </c>
      <c r="C11" s="2205" t="s">
        <v>70</v>
      </c>
      <c r="D11" s="2206"/>
      <c r="E11" s="2206"/>
      <c r="F11" s="2206"/>
      <c r="G11" s="2206"/>
      <c r="H11" s="2206"/>
      <c r="I11" s="2206"/>
      <c r="J11" s="2206"/>
      <c r="K11" s="2206"/>
      <c r="L11" s="2206"/>
      <c r="M11" s="2206"/>
      <c r="N11" s="2206"/>
      <c r="O11" s="2206"/>
      <c r="P11" s="2206"/>
      <c r="Q11" s="2206"/>
      <c r="R11" s="2206"/>
      <c r="S11" s="2206"/>
      <c r="T11" s="2206"/>
      <c r="U11" s="2206"/>
      <c r="V11" s="2206"/>
      <c r="W11" s="2206"/>
      <c r="X11" s="2206"/>
      <c r="Y11" s="2206"/>
      <c r="Z11" s="2206"/>
      <c r="AA11" s="2206"/>
      <c r="AB11" s="2207"/>
    </row>
    <row r="12" spans="1:32" ht="18.75" customHeight="1" x14ac:dyDescent="0.2">
      <c r="A12" s="2524" t="s">
        <v>9</v>
      </c>
      <c r="B12" s="2525" t="s">
        <v>9</v>
      </c>
      <c r="C12" s="2429" t="s">
        <v>9</v>
      </c>
      <c r="D12" s="2436"/>
      <c r="E12" s="2527" t="s">
        <v>112</v>
      </c>
      <c r="F12" s="2244"/>
      <c r="G12" s="1986"/>
      <c r="H12" s="1989"/>
      <c r="I12" s="1497"/>
      <c r="J12" s="1508" t="s">
        <v>36</v>
      </c>
      <c r="K12" s="714"/>
      <c r="L12" s="684"/>
      <c r="M12" s="684"/>
      <c r="N12" s="685"/>
      <c r="O12" s="714"/>
      <c r="P12" s="684"/>
      <c r="Q12" s="684"/>
      <c r="R12" s="685"/>
      <c r="S12" s="222"/>
      <c r="T12" s="223"/>
      <c r="U12" s="223"/>
      <c r="V12" s="224"/>
      <c r="W12" s="66"/>
      <c r="X12" s="66"/>
      <c r="Y12" s="2542"/>
      <c r="Z12" s="2214"/>
      <c r="AA12" s="2214"/>
      <c r="AB12" s="2216"/>
    </row>
    <row r="13" spans="1:32" ht="19.5" customHeight="1" x14ac:dyDescent="0.2">
      <c r="A13" s="2523"/>
      <c r="B13" s="2019"/>
      <c r="C13" s="2429"/>
      <c r="D13" s="2526"/>
      <c r="E13" s="2528"/>
      <c r="F13" s="2529"/>
      <c r="G13" s="2545"/>
      <c r="H13" s="2096"/>
      <c r="I13" s="1231"/>
      <c r="J13" s="1464" t="s">
        <v>130</v>
      </c>
      <c r="K13" s="1446"/>
      <c r="L13" s="690"/>
      <c r="M13" s="690"/>
      <c r="N13" s="692"/>
      <c r="O13" s="1446"/>
      <c r="P13" s="690"/>
      <c r="Q13" s="690"/>
      <c r="R13" s="692"/>
      <c r="S13" s="228"/>
      <c r="T13" s="229"/>
      <c r="U13" s="229"/>
      <c r="V13" s="230"/>
      <c r="W13" s="52"/>
      <c r="X13" s="52"/>
      <c r="Y13" s="2542"/>
      <c r="Z13" s="2214"/>
      <c r="AA13" s="2214"/>
      <c r="AB13" s="2216"/>
    </row>
    <row r="14" spans="1:32" ht="27" customHeight="1" x14ac:dyDescent="0.2">
      <c r="A14" s="1468"/>
      <c r="B14" s="1415"/>
      <c r="C14" s="1421"/>
      <c r="D14" s="841" t="s">
        <v>9</v>
      </c>
      <c r="E14" s="1503" t="s">
        <v>46</v>
      </c>
      <c r="F14" s="1474"/>
      <c r="G14" s="1491" t="s">
        <v>44</v>
      </c>
      <c r="H14" s="1479" t="s">
        <v>40</v>
      </c>
      <c r="I14" s="1470" t="s">
        <v>250</v>
      </c>
      <c r="J14" s="1465" t="s">
        <v>36</v>
      </c>
      <c r="K14" s="1446">
        <f>L14+N14</f>
        <v>225</v>
      </c>
      <c r="L14" s="690">
        <v>225</v>
      </c>
      <c r="M14" s="690"/>
      <c r="N14" s="692"/>
      <c r="O14" s="1447">
        <f>P14+R14</f>
        <v>260</v>
      </c>
      <c r="P14" s="693">
        <v>260</v>
      </c>
      <c r="Q14" s="694"/>
      <c r="R14" s="1438"/>
      <c r="S14" s="1428">
        <f>T14+V14</f>
        <v>0</v>
      </c>
      <c r="T14" s="229">
        <v>0</v>
      </c>
      <c r="U14" s="229"/>
      <c r="V14" s="230"/>
      <c r="W14" s="695">
        <v>280</v>
      </c>
      <c r="X14" s="695">
        <v>308</v>
      </c>
      <c r="Y14" s="1454" t="s">
        <v>97</v>
      </c>
      <c r="Z14" s="1184">
        <v>3.38</v>
      </c>
      <c r="AA14" s="1184">
        <v>3.39</v>
      </c>
      <c r="AB14" s="1185">
        <v>3.4</v>
      </c>
    </row>
    <row r="15" spans="1:32" ht="13.5" customHeight="1" x14ac:dyDescent="0.2">
      <c r="A15" s="2523"/>
      <c r="B15" s="2019"/>
      <c r="C15" s="2429"/>
      <c r="D15" s="2435" t="s">
        <v>11</v>
      </c>
      <c r="E15" s="2016" t="s">
        <v>47</v>
      </c>
      <c r="F15" s="2529" t="s">
        <v>284</v>
      </c>
      <c r="G15" s="2160" t="s">
        <v>44</v>
      </c>
      <c r="H15" s="2161" t="s">
        <v>40</v>
      </c>
      <c r="I15" s="2534" t="s">
        <v>224</v>
      </c>
      <c r="J15" s="340" t="s">
        <v>36</v>
      </c>
      <c r="K15" s="862">
        <f>L15+N15</f>
        <v>29</v>
      </c>
      <c r="L15" s="729">
        <v>29</v>
      </c>
      <c r="M15" s="729"/>
      <c r="N15" s="730"/>
      <c r="O15" s="1447">
        <f>P15+R15</f>
        <v>57.599999999999994</v>
      </c>
      <c r="P15" s="693">
        <v>52.8</v>
      </c>
      <c r="Q15" s="693"/>
      <c r="R15" s="1439">
        <v>4.8</v>
      </c>
      <c r="S15" s="988">
        <f>T15+V15</f>
        <v>0</v>
      </c>
      <c r="T15" s="231">
        <v>0</v>
      </c>
      <c r="U15" s="231"/>
      <c r="V15" s="232"/>
      <c r="W15" s="1453">
        <v>52.8</v>
      </c>
      <c r="X15" s="1453">
        <v>52.8</v>
      </c>
      <c r="Y15" s="1424" t="s">
        <v>49</v>
      </c>
      <c r="Z15" s="1073">
        <v>2</v>
      </c>
      <c r="AA15" s="1073">
        <v>3</v>
      </c>
      <c r="AB15" s="1074">
        <v>3</v>
      </c>
    </row>
    <row r="16" spans="1:32" ht="15" customHeight="1" x14ac:dyDescent="0.2">
      <c r="A16" s="2523"/>
      <c r="B16" s="2019"/>
      <c r="C16" s="2429"/>
      <c r="D16" s="2071"/>
      <c r="E16" s="2175"/>
      <c r="F16" s="2529"/>
      <c r="G16" s="2092"/>
      <c r="H16" s="1989"/>
      <c r="I16" s="2535"/>
      <c r="J16" s="866"/>
      <c r="K16" s="1446"/>
      <c r="L16" s="725"/>
      <c r="M16" s="725"/>
      <c r="N16" s="692"/>
      <c r="O16" s="1448"/>
      <c r="P16" s="1435"/>
      <c r="Q16" s="1435"/>
      <c r="R16" s="1440"/>
      <c r="S16" s="989">
        <f>T16+V16</f>
        <v>0</v>
      </c>
      <c r="T16" s="872"/>
      <c r="U16" s="872"/>
      <c r="V16" s="873"/>
      <c r="W16" s="129"/>
      <c r="X16" s="129"/>
      <c r="Y16" s="1309" t="s">
        <v>255</v>
      </c>
      <c r="Z16" s="890">
        <v>3</v>
      </c>
      <c r="AA16" s="890">
        <v>3</v>
      </c>
      <c r="AB16" s="891">
        <v>3</v>
      </c>
    </row>
    <row r="17" spans="1:29" ht="12" customHeight="1" x14ac:dyDescent="0.2">
      <c r="A17" s="1468"/>
      <c r="B17" s="1415"/>
      <c r="C17" s="1421"/>
      <c r="D17" s="2436"/>
      <c r="E17" s="2177"/>
      <c r="F17" s="2530"/>
      <c r="G17" s="1482"/>
      <c r="H17" s="1479"/>
      <c r="I17" s="2536"/>
      <c r="J17" s="16"/>
      <c r="K17" s="1446"/>
      <c r="L17" s="725"/>
      <c r="M17" s="725"/>
      <c r="N17" s="692"/>
      <c r="O17" s="1448"/>
      <c r="P17" s="1435"/>
      <c r="Q17" s="1435"/>
      <c r="R17" s="1440"/>
      <c r="S17" s="268"/>
      <c r="T17" s="223"/>
      <c r="U17" s="223"/>
      <c r="V17" s="224"/>
      <c r="W17" s="129"/>
      <c r="X17" s="129"/>
      <c r="Y17" s="1425" t="s">
        <v>386</v>
      </c>
      <c r="Z17" s="1265">
        <v>1</v>
      </c>
      <c r="AA17" s="1265"/>
      <c r="AB17" s="1266"/>
    </row>
    <row r="18" spans="1:29" ht="14.25" customHeight="1" x14ac:dyDescent="0.2">
      <c r="A18" s="2523"/>
      <c r="B18" s="2019"/>
      <c r="C18" s="2429"/>
      <c r="D18" s="2526" t="s">
        <v>38</v>
      </c>
      <c r="E18" s="2254" t="s">
        <v>48</v>
      </c>
      <c r="F18" s="2546"/>
      <c r="G18" s="2156" t="s">
        <v>44</v>
      </c>
      <c r="H18" s="2096" t="s">
        <v>40</v>
      </c>
      <c r="I18" s="2518" t="s">
        <v>224</v>
      </c>
      <c r="J18" s="12" t="s">
        <v>36</v>
      </c>
      <c r="K18" s="1447">
        <f>L18+N18</f>
        <v>325.70000000000005</v>
      </c>
      <c r="L18" s="729">
        <v>225.8</v>
      </c>
      <c r="M18" s="729"/>
      <c r="N18" s="730">
        <v>99.9</v>
      </c>
      <c r="O18" s="1447">
        <f>P18+R18</f>
        <v>314.5</v>
      </c>
      <c r="P18" s="693">
        <f>309.3-37.3</f>
        <v>272</v>
      </c>
      <c r="Q18" s="693"/>
      <c r="R18" s="1439">
        <v>42.5</v>
      </c>
      <c r="S18" s="988">
        <f>T18+V18</f>
        <v>0</v>
      </c>
      <c r="T18" s="231">
        <v>0</v>
      </c>
      <c r="U18" s="231"/>
      <c r="V18" s="232">
        <v>0</v>
      </c>
      <c r="W18" s="695">
        <v>363.2</v>
      </c>
      <c r="X18" s="695">
        <v>366.6</v>
      </c>
      <c r="Y18" s="2547" t="s">
        <v>256</v>
      </c>
      <c r="Z18" s="1073">
        <v>25</v>
      </c>
      <c r="AA18" s="1073">
        <v>30</v>
      </c>
      <c r="AB18" s="1074">
        <v>35</v>
      </c>
    </row>
    <row r="19" spans="1:29" ht="15" customHeight="1" x14ac:dyDescent="0.2">
      <c r="A19" s="2523"/>
      <c r="B19" s="2019"/>
      <c r="C19" s="2429"/>
      <c r="D19" s="2526"/>
      <c r="E19" s="2257"/>
      <c r="F19" s="2546"/>
      <c r="G19" s="2531"/>
      <c r="H19" s="2532"/>
      <c r="I19" s="2519"/>
      <c r="J19" s="866" t="s">
        <v>130</v>
      </c>
      <c r="K19" s="1447">
        <f>L19+N19</f>
        <v>171.5</v>
      </c>
      <c r="L19" s="729">
        <v>133.69999999999999</v>
      </c>
      <c r="M19" s="729"/>
      <c r="N19" s="730">
        <v>37.799999999999997</v>
      </c>
      <c r="O19" s="1447">
        <f>P19+R19</f>
        <v>0</v>
      </c>
      <c r="P19" s="693"/>
      <c r="Q19" s="693"/>
      <c r="R19" s="1438"/>
      <c r="S19" s="989"/>
      <c r="T19" s="872"/>
      <c r="U19" s="872"/>
      <c r="V19" s="873"/>
      <c r="W19" s="52"/>
      <c r="X19" s="52"/>
      <c r="Y19" s="2548"/>
      <c r="Z19" s="1265"/>
      <c r="AA19" s="1265"/>
      <c r="AB19" s="1266"/>
    </row>
    <row r="20" spans="1:29" ht="25.5" x14ac:dyDescent="0.2">
      <c r="A20" s="2523"/>
      <c r="B20" s="2019"/>
      <c r="C20" s="2429"/>
      <c r="D20" s="2526"/>
      <c r="E20" s="2257"/>
      <c r="F20" s="2546"/>
      <c r="G20" s="2531"/>
      <c r="H20" s="2532"/>
      <c r="I20" s="2519"/>
      <c r="J20" s="16"/>
      <c r="K20" s="1499"/>
      <c r="L20" s="721"/>
      <c r="M20" s="721"/>
      <c r="N20" s="688"/>
      <c r="O20" s="1519"/>
      <c r="P20" s="1520"/>
      <c r="Q20" s="1520"/>
      <c r="R20" s="1521"/>
      <c r="S20" s="993"/>
      <c r="T20" s="1279"/>
      <c r="U20" s="1279"/>
      <c r="V20" s="227"/>
      <c r="W20" s="1522"/>
      <c r="X20" s="1522"/>
      <c r="Y20" s="1455" t="s">
        <v>257</v>
      </c>
      <c r="Z20" s="1186">
        <v>111</v>
      </c>
      <c r="AA20" s="1186">
        <v>112</v>
      </c>
      <c r="AB20" s="891">
        <v>112</v>
      </c>
    </row>
    <row r="21" spans="1:29" ht="30.75" customHeight="1" x14ac:dyDescent="0.2">
      <c r="A21" s="2523"/>
      <c r="B21" s="2019"/>
      <c r="C21" s="2429"/>
      <c r="D21" s="2526"/>
      <c r="E21" s="2257"/>
      <c r="F21" s="2546"/>
      <c r="G21" s="2531"/>
      <c r="H21" s="2532"/>
      <c r="I21" s="1504"/>
      <c r="J21" s="16"/>
      <c r="K21" s="892"/>
      <c r="L21" s="910"/>
      <c r="M21" s="910"/>
      <c r="N21" s="897"/>
      <c r="O21" s="1532"/>
      <c r="P21" s="1532"/>
      <c r="Q21" s="1532"/>
      <c r="R21" s="1532"/>
      <c r="S21" s="1532"/>
      <c r="T21" s="1532"/>
      <c r="U21" s="1532"/>
      <c r="V21" s="1550"/>
      <c r="W21" s="1551"/>
      <c r="X21" s="1551"/>
      <c r="Y21" s="1310" t="s">
        <v>387</v>
      </c>
      <c r="Z21" s="890">
        <v>1</v>
      </c>
      <c r="AA21" s="890">
        <v>1</v>
      </c>
      <c r="AB21" s="891">
        <v>1</v>
      </c>
    </row>
    <row r="22" spans="1:29" ht="16.5" customHeight="1" x14ac:dyDescent="0.2">
      <c r="A22" s="2523"/>
      <c r="B22" s="2019"/>
      <c r="C22" s="2429"/>
      <c r="D22" s="2526"/>
      <c r="E22" s="2257"/>
      <c r="F22" s="2546"/>
      <c r="G22" s="2531"/>
      <c r="H22" s="2532"/>
      <c r="I22" s="1504"/>
      <c r="J22" s="16"/>
      <c r="K22" s="892"/>
      <c r="L22" s="910"/>
      <c r="M22" s="910"/>
      <c r="N22" s="897"/>
      <c r="O22" s="1532"/>
      <c r="P22" s="957"/>
      <c r="Q22" s="957"/>
      <c r="R22" s="958"/>
      <c r="S22" s="989"/>
      <c r="T22" s="872"/>
      <c r="U22" s="872"/>
      <c r="V22" s="873"/>
      <c r="W22" s="898"/>
      <c r="X22" s="898"/>
      <c r="Y22" s="1310" t="s">
        <v>299</v>
      </c>
      <c r="Z22" s="1187" t="s">
        <v>300</v>
      </c>
      <c r="AA22" s="1187" t="s">
        <v>300</v>
      </c>
      <c r="AB22" s="1188" t="s">
        <v>300</v>
      </c>
    </row>
    <row r="23" spans="1:29" ht="15.75" customHeight="1" x14ac:dyDescent="0.2">
      <c r="A23" s="2523"/>
      <c r="B23" s="2019"/>
      <c r="C23" s="2429"/>
      <c r="D23" s="2526"/>
      <c r="E23" s="2257"/>
      <c r="F23" s="2546"/>
      <c r="G23" s="2531"/>
      <c r="H23" s="2532"/>
      <c r="I23" s="1504"/>
      <c r="J23" s="16"/>
      <c r="K23" s="892"/>
      <c r="L23" s="893"/>
      <c r="M23" s="893"/>
      <c r="N23" s="894"/>
      <c r="O23" s="1532"/>
      <c r="P23" s="869"/>
      <c r="Q23" s="869"/>
      <c r="R23" s="1533"/>
      <c r="S23" s="989"/>
      <c r="T23" s="872"/>
      <c r="U23" s="872"/>
      <c r="V23" s="873"/>
      <c r="W23" s="1032"/>
      <c r="X23" s="874"/>
      <c r="Y23" s="1310" t="s">
        <v>293</v>
      </c>
      <c r="Z23" s="1187" t="s">
        <v>289</v>
      </c>
      <c r="AA23" s="1187" t="s">
        <v>290</v>
      </c>
      <c r="AB23" s="1188" t="s">
        <v>290</v>
      </c>
    </row>
    <row r="24" spans="1:29" ht="15" customHeight="1" x14ac:dyDescent="0.2">
      <c r="A24" s="2523"/>
      <c r="B24" s="2019"/>
      <c r="C24" s="2429"/>
      <c r="D24" s="2526"/>
      <c r="E24" s="2257"/>
      <c r="F24" s="2546"/>
      <c r="G24" s="2531"/>
      <c r="H24" s="2532"/>
      <c r="I24" s="1504"/>
      <c r="J24" s="16"/>
      <c r="K24" s="892"/>
      <c r="L24" s="893"/>
      <c r="M24" s="893"/>
      <c r="N24" s="894"/>
      <c r="O24" s="1532"/>
      <c r="P24" s="869"/>
      <c r="Q24" s="869"/>
      <c r="R24" s="1533"/>
      <c r="S24" s="989"/>
      <c r="T24" s="872"/>
      <c r="U24" s="872"/>
      <c r="V24" s="873"/>
      <c r="W24" s="874"/>
      <c r="X24" s="874"/>
      <c r="Y24" s="1310" t="s">
        <v>292</v>
      </c>
      <c r="Z24" s="1187" t="s">
        <v>291</v>
      </c>
      <c r="AA24" s="1187" t="s">
        <v>291</v>
      </c>
      <c r="AB24" s="1188" t="s">
        <v>291</v>
      </c>
    </row>
    <row r="25" spans="1:29" ht="15" customHeight="1" x14ac:dyDescent="0.2">
      <c r="A25" s="2523"/>
      <c r="B25" s="2019"/>
      <c r="C25" s="2429"/>
      <c r="D25" s="2435"/>
      <c r="E25" s="2257"/>
      <c r="F25" s="2546"/>
      <c r="G25" s="2160"/>
      <c r="H25" s="2161"/>
      <c r="I25" s="1504"/>
      <c r="J25" s="16"/>
      <c r="K25" s="714"/>
      <c r="L25" s="704"/>
      <c r="M25" s="704"/>
      <c r="N25" s="685"/>
      <c r="O25" s="1523"/>
      <c r="P25" s="1524"/>
      <c r="Q25" s="1524"/>
      <c r="R25" s="1525"/>
      <c r="S25" s="268"/>
      <c r="T25" s="223"/>
      <c r="U25" s="223"/>
      <c r="V25" s="224"/>
      <c r="W25" s="37"/>
      <c r="X25" s="37"/>
      <c r="Y25" s="1456" t="s">
        <v>294</v>
      </c>
      <c r="Z25" s="1009">
        <v>100</v>
      </c>
      <c r="AA25" s="1009"/>
      <c r="AB25" s="1010"/>
    </row>
    <row r="26" spans="1:29" ht="12.75" customHeight="1" x14ac:dyDescent="0.2">
      <c r="A26" s="1468"/>
      <c r="B26" s="1415"/>
      <c r="C26" s="1035"/>
      <c r="D26" s="1417" t="s">
        <v>53</v>
      </c>
      <c r="E26" s="2549" t="s">
        <v>247</v>
      </c>
      <c r="F26" s="2550" t="s">
        <v>91</v>
      </c>
      <c r="G26" s="1480" t="s">
        <v>44</v>
      </c>
      <c r="H26" s="1478" t="s">
        <v>40</v>
      </c>
      <c r="I26" s="2518" t="s">
        <v>224</v>
      </c>
      <c r="J26" s="1466" t="s">
        <v>36</v>
      </c>
      <c r="K26" s="862">
        <f>L26+N26</f>
        <v>391.5</v>
      </c>
      <c r="L26" s="729">
        <v>19</v>
      </c>
      <c r="M26" s="1437"/>
      <c r="N26" s="730">
        <v>372.5</v>
      </c>
      <c r="O26" s="1449">
        <f>P26+R26</f>
        <v>936.2</v>
      </c>
      <c r="P26" s="1078">
        <v>0</v>
      </c>
      <c r="Q26" s="1078"/>
      <c r="R26" s="1441">
        <v>936.2</v>
      </c>
      <c r="S26" s="990">
        <f>T26+V26</f>
        <v>0</v>
      </c>
      <c r="T26" s="883">
        <v>0</v>
      </c>
      <c r="U26" s="906"/>
      <c r="V26" s="884">
        <v>0</v>
      </c>
      <c r="W26" s="1229">
        <v>943.3</v>
      </c>
      <c r="X26" s="1079"/>
      <c r="Y26" s="1457"/>
      <c r="Z26" s="1194"/>
      <c r="AA26" s="1194"/>
      <c r="AB26" s="1195"/>
    </row>
    <row r="27" spans="1:29" ht="16.5" customHeight="1" x14ac:dyDescent="0.2">
      <c r="A27" s="1468"/>
      <c r="B27" s="1415"/>
      <c r="C27" s="1035"/>
      <c r="D27" s="1416"/>
      <c r="E27" s="2549"/>
      <c r="F27" s="2550"/>
      <c r="G27" s="1475"/>
      <c r="H27" s="1476"/>
      <c r="I27" s="2533"/>
      <c r="J27" s="1232"/>
      <c r="K27" s="907"/>
      <c r="L27" s="774"/>
      <c r="M27" s="1509"/>
      <c r="N27" s="775"/>
      <c r="O27" s="1510"/>
      <c r="P27" s="1511"/>
      <c r="Q27" s="1511"/>
      <c r="R27" s="1512"/>
      <c r="S27" s="993"/>
      <c r="T27" s="1279"/>
      <c r="U27" s="329"/>
      <c r="V27" s="227"/>
      <c r="W27" s="84"/>
      <c r="X27" s="1472"/>
      <c r="Y27" s="1458" t="s">
        <v>249</v>
      </c>
      <c r="Z27" s="1190">
        <v>100</v>
      </c>
      <c r="AA27" s="1191"/>
      <c r="AB27" s="1192"/>
    </row>
    <row r="28" spans="1:29" ht="25.5" x14ac:dyDescent="0.2">
      <c r="A28" s="1468"/>
      <c r="B28" s="1415"/>
      <c r="C28" s="1035"/>
      <c r="D28" s="1416"/>
      <c r="E28" s="2549"/>
      <c r="F28" s="2551"/>
      <c r="G28" s="1475"/>
      <c r="H28" s="1476"/>
      <c r="I28" s="2519"/>
      <c r="J28" s="1232"/>
      <c r="K28" s="1534"/>
      <c r="L28" s="1535"/>
      <c r="M28" s="1535"/>
      <c r="N28" s="1536"/>
      <c r="O28" s="1537"/>
      <c r="P28" s="888"/>
      <c r="Q28" s="888"/>
      <c r="R28" s="1538"/>
      <c r="S28" s="989"/>
      <c r="T28" s="872"/>
      <c r="U28" s="1539"/>
      <c r="V28" s="1540"/>
      <c r="W28" s="1541"/>
      <c r="X28" s="1542"/>
      <c r="Y28" s="1459" t="s">
        <v>258</v>
      </c>
      <c r="Z28" s="1004">
        <v>100</v>
      </c>
      <c r="AA28" s="1005"/>
      <c r="AB28" s="1006"/>
    </row>
    <row r="29" spans="1:29" ht="27.75" customHeight="1" x14ac:dyDescent="0.2">
      <c r="A29" s="1468"/>
      <c r="B29" s="1415"/>
      <c r="C29" s="1035"/>
      <c r="D29" s="1416"/>
      <c r="E29" s="2549"/>
      <c r="F29" s="2556" t="s">
        <v>285</v>
      </c>
      <c r="G29" s="1475"/>
      <c r="H29" s="1476"/>
      <c r="I29" s="2519"/>
      <c r="J29" s="1232"/>
      <c r="K29" s="1534"/>
      <c r="L29" s="1535"/>
      <c r="M29" s="1535"/>
      <c r="N29" s="1536"/>
      <c r="O29" s="1537"/>
      <c r="P29" s="888"/>
      <c r="Q29" s="888"/>
      <c r="R29" s="1538"/>
      <c r="S29" s="989"/>
      <c r="T29" s="872"/>
      <c r="U29" s="1539"/>
      <c r="V29" s="1540"/>
      <c r="W29" s="1541"/>
      <c r="X29" s="1542"/>
      <c r="Y29" s="1455" t="s">
        <v>259</v>
      </c>
      <c r="Z29" s="1008">
        <v>100</v>
      </c>
      <c r="AA29" s="1005"/>
      <c r="AB29" s="1006"/>
    </row>
    <row r="30" spans="1:29" ht="38.25" customHeight="1" x14ac:dyDescent="0.2">
      <c r="A30" s="1468"/>
      <c r="B30" s="1415"/>
      <c r="C30" s="1035"/>
      <c r="D30" s="1416"/>
      <c r="E30" s="2549"/>
      <c r="F30" s="2556"/>
      <c r="G30" s="1475"/>
      <c r="H30" s="1476"/>
      <c r="I30" s="1505"/>
      <c r="J30" s="1379"/>
      <c r="K30" s="1534"/>
      <c r="L30" s="1535"/>
      <c r="M30" s="1535"/>
      <c r="N30" s="1536"/>
      <c r="O30" s="1537"/>
      <c r="P30" s="888"/>
      <c r="Q30" s="888"/>
      <c r="R30" s="1538"/>
      <c r="S30" s="1543"/>
      <c r="T30" s="872"/>
      <c r="U30" s="1539"/>
      <c r="V30" s="1544"/>
      <c r="W30" s="1541"/>
      <c r="X30" s="1542"/>
      <c r="Y30" s="1310" t="s">
        <v>260</v>
      </c>
      <c r="Z30" s="1377"/>
      <c r="AA30" s="1005">
        <v>100</v>
      </c>
      <c r="AB30" s="1006"/>
    </row>
    <row r="31" spans="1:29" ht="30" customHeight="1" x14ac:dyDescent="0.2">
      <c r="A31" s="1468"/>
      <c r="B31" s="1415"/>
      <c r="C31" s="1035"/>
      <c r="D31" s="1418"/>
      <c r="E31" s="2549"/>
      <c r="F31" s="2557"/>
      <c r="G31" s="1482"/>
      <c r="H31" s="1479"/>
      <c r="I31" s="1231"/>
      <c r="J31" s="1233" t="s">
        <v>181</v>
      </c>
      <c r="K31" s="1526"/>
      <c r="L31" s="1527"/>
      <c r="M31" s="1527"/>
      <c r="N31" s="1528"/>
      <c r="O31" s="1529">
        <f>R31</f>
        <v>205.1</v>
      </c>
      <c r="P31" s="1530"/>
      <c r="Q31" s="1530"/>
      <c r="R31" s="1531">
        <v>205.1</v>
      </c>
      <c r="S31" s="1429"/>
      <c r="T31" s="223"/>
      <c r="U31" s="416"/>
      <c r="V31" s="1182"/>
      <c r="W31" s="382"/>
      <c r="X31" s="1183"/>
      <c r="Y31" s="1514" t="s">
        <v>303</v>
      </c>
      <c r="Z31" s="1515">
        <v>100</v>
      </c>
      <c r="AA31" s="1516"/>
      <c r="AB31" s="1517"/>
    </row>
    <row r="32" spans="1:29" ht="26.25" customHeight="1" x14ac:dyDescent="0.2">
      <c r="A32" s="1493"/>
      <c r="B32" s="1485"/>
      <c r="C32" s="1494"/>
      <c r="D32" s="1495" t="s">
        <v>54</v>
      </c>
      <c r="E32" s="126" t="s">
        <v>190</v>
      </c>
      <c r="F32" s="2338" t="s">
        <v>171</v>
      </c>
      <c r="G32" s="1492" t="s">
        <v>44</v>
      </c>
      <c r="H32" s="842" t="s">
        <v>40</v>
      </c>
      <c r="I32" s="1506" t="s">
        <v>236</v>
      </c>
      <c r="J32" s="1234" t="s">
        <v>94</v>
      </c>
      <c r="K32" s="862">
        <f>L32</f>
        <v>150</v>
      </c>
      <c r="L32" s="729">
        <v>150</v>
      </c>
      <c r="M32" s="1436"/>
      <c r="N32" s="1442"/>
      <c r="O32" s="1450"/>
      <c r="P32" s="709"/>
      <c r="Q32" s="1436"/>
      <c r="R32" s="1442"/>
      <c r="S32" s="254"/>
      <c r="T32" s="1279"/>
      <c r="U32" s="329"/>
      <c r="V32" s="344"/>
      <c r="W32" s="1229">
        <v>100</v>
      </c>
      <c r="X32" s="1079"/>
      <c r="Y32" s="1012" t="s">
        <v>388</v>
      </c>
      <c r="Z32" s="1518"/>
      <c r="AA32" s="68">
        <v>1</v>
      </c>
      <c r="AB32" s="1471"/>
      <c r="AC32" s="825"/>
    </row>
    <row r="33" spans="1:38" ht="26.25" customHeight="1" x14ac:dyDescent="0.2">
      <c r="A33" s="1493"/>
      <c r="B33" s="1485"/>
      <c r="C33" s="1494"/>
      <c r="D33" s="1495" t="s">
        <v>41</v>
      </c>
      <c r="E33" s="1513" t="s">
        <v>327</v>
      </c>
      <c r="F33" s="2339"/>
      <c r="G33" s="1492" t="s">
        <v>44</v>
      </c>
      <c r="H33" s="842" t="s">
        <v>40</v>
      </c>
      <c r="I33" s="1506" t="s">
        <v>236</v>
      </c>
      <c r="J33" s="1234" t="s">
        <v>36</v>
      </c>
      <c r="K33" s="862"/>
      <c r="L33" s="729"/>
      <c r="M33" s="1436"/>
      <c r="N33" s="1442"/>
      <c r="O33" s="862">
        <f>P33+R33</f>
        <v>118.2</v>
      </c>
      <c r="P33" s="729"/>
      <c r="Q33" s="729"/>
      <c r="R33" s="730">
        <f>70+48.2</f>
        <v>118.2</v>
      </c>
      <c r="S33" s="254"/>
      <c r="T33" s="254"/>
      <c r="U33" s="343"/>
      <c r="V33" s="853"/>
      <c r="W33" s="1179"/>
      <c r="X33" s="1079"/>
      <c r="Y33" s="1555" t="s">
        <v>390</v>
      </c>
      <c r="Z33" s="1635">
        <v>1280</v>
      </c>
      <c r="AA33" s="1473"/>
      <c r="AB33" s="1081"/>
      <c r="AC33" s="825"/>
    </row>
    <row r="34" spans="1:38" ht="45" customHeight="1" x14ac:dyDescent="0.2">
      <c r="A34" s="1493"/>
      <c r="B34" s="1485"/>
      <c r="C34" s="1494"/>
      <c r="D34" s="1495" t="s">
        <v>55</v>
      </c>
      <c r="E34" s="1513" t="s">
        <v>308</v>
      </c>
      <c r="F34" s="2340" t="s">
        <v>329</v>
      </c>
      <c r="G34" s="1492" t="s">
        <v>44</v>
      </c>
      <c r="H34" s="842" t="s">
        <v>40</v>
      </c>
      <c r="I34" s="1506" t="s">
        <v>236</v>
      </c>
      <c r="J34" s="1234" t="s">
        <v>36</v>
      </c>
      <c r="K34" s="862"/>
      <c r="L34" s="729"/>
      <c r="M34" s="1436"/>
      <c r="N34" s="1442"/>
      <c r="O34" s="862">
        <f>P34+R34</f>
        <v>20</v>
      </c>
      <c r="P34" s="729"/>
      <c r="Q34" s="729"/>
      <c r="R34" s="730">
        <v>20</v>
      </c>
      <c r="S34" s="254"/>
      <c r="T34" s="254"/>
      <c r="U34" s="343"/>
      <c r="V34" s="853"/>
      <c r="W34" s="1229"/>
      <c r="X34" s="1079"/>
      <c r="Y34" s="1552" t="s">
        <v>309</v>
      </c>
      <c r="Z34" s="1553">
        <v>1</v>
      </c>
      <c r="AA34" s="1307"/>
      <c r="AB34" s="1554"/>
      <c r="AC34" s="825"/>
      <c r="AE34" s="89"/>
    </row>
    <row r="35" spans="1:38" ht="24" customHeight="1" x14ac:dyDescent="0.2">
      <c r="A35" s="1493"/>
      <c r="B35" s="1485"/>
      <c r="C35" s="1494"/>
      <c r="D35" s="1490" t="s">
        <v>44</v>
      </c>
      <c r="E35" s="1460" t="s">
        <v>248</v>
      </c>
      <c r="F35" s="2341"/>
      <c r="G35" s="1482" t="s">
        <v>44</v>
      </c>
      <c r="H35" s="1479" t="s">
        <v>40</v>
      </c>
      <c r="I35" s="1506" t="s">
        <v>236</v>
      </c>
      <c r="J35" s="1234" t="s">
        <v>36</v>
      </c>
      <c r="K35" s="1447">
        <f>L35</f>
        <v>8.5</v>
      </c>
      <c r="L35" s="693">
        <v>8.5</v>
      </c>
      <c r="M35" s="1437"/>
      <c r="N35" s="1443"/>
      <c r="O35" s="1449"/>
      <c r="P35" s="1078"/>
      <c r="Q35" s="1078"/>
      <c r="R35" s="1441"/>
      <c r="S35" s="1430"/>
      <c r="T35" s="229"/>
      <c r="U35" s="696"/>
      <c r="V35" s="697"/>
      <c r="W35" s="1229"/>
      <c r="X35" s="1179">
        <v>250</v>
      </c>
      <c r="Y35" s="1460" t="s">
        <v>288</v>
      </c>
      <c r="Z35" s="1378"/>
      <c r="AA35" s="1080"/>
      <c r="AB35" s="1081">
        <v>50</v>
      </c>
    </row>
    <row r="36" spans="1:38" x14ac:dyDescent="0.2">
      <c r="A36" s="1468"/>
      <c r="B36" s="1415"/>
      <c r="C36" s="1421"/>
      <c r="D36" s="2538" t="s">
        <v>161</v>
      </c>
      <c r="E36" s="2342" t="s">
        <v>282</v>
      </c>
      <c r="F36" s="2345" t="s">
        <v>283</v>
      </c>
      <c r="G36" s="2160" t="s">
        <v>44</v>
      </c>
      <c r="H36" s="2161" t="s">
        <v>90</v>
      </c>
      <c r="I36" s="2540" t="s">
        <v>229</v>
      </c>
      <c r="J36" s="12" t="s">
        <v>93</v>
      </c>
      <c r="K36" s="1499"/>
      <c r="L36" s="721"/>
      <c r="M36" s="721"/>
      <c r="N36" s="688"/>
      <c r="O36" s="1500"/>
      <c r="P36" s="721"/>
      <c r="Q36" s="721"/>
      <c r="R36" s="688"/>
      <c r="S36" s="254"/>
      <c r="T36" s="1279"/>
      <c r="U36" s="1279"/>
      <c r="V36" s="227"/>
      <c r="W36" s="364">
        <v>11.3</v>
      </c>
      <c r="X36" s="364">
        <v>15</v>
      </c>
      <c r="Y36" s="2356" t="s">
        <v>376</v>
      </c>
      <c r="Z36" s="1073"/>
      <c r="AA36" s="1073">
        <v>1</v>
      </c>
      <c r="AB36" s="1074"/>
    </row>
    <row r="37" spans="1:38" x14ac:dyDescent="0.2">
      <c r="A37" s="1468"/>
      <c r="B37" s="1415"/>
      <c r="C37" s="1421"/>
      <c r="D37" s="2539"/>
      <c r="E37" s="2343"/>
      <c r="F37" s="2346"/>
      <c r="G37" s="2092"/>
      <c r="H37" s="1989"/>
      <c r="I37" s="2541"/>
      <c r="J37" s="866" t="s">
        <v>88</v>
      </c>
      <c r="K37" s="1501"/>
      <c r="L37" s="910"/>
      <c r="M37" s="910"/>
      <c r="N37" s="894"/>
      <c r="O37" s="1501"/>
      <c r="P37" s="910"/>
      <c r="Q37" s="910"/>
      <c r="R37" s="894"/>
      <c r="S37" s="911"/>
      <c r="T37" s="872"/>
      <c r="U37" s="872"/>
      <c r="V37" s="873"/>
      <c r="W37" s="1042">
        <v>11.3</v>
      </c>
      <c r="X37" s="1042">
        <v>15</v>
      </c>
      <c r="Y37" s="2357"/>
      <c r="Z37" s="1085"/>
      <c r="AA37" s="1085"/>
      <c r="AB37" s="1086"/>
    </row>
    <row r="38" spans="1:38" ht="17.25" customHeight="1" thickBot="1" x14ac:dyDescent="0.25">
      <c r="A38" s="1468"/>
      <c r="B38" s="1415"/>
      <c r="C38" s="1421"/>
      <c r="D38" s="2539"/>
      <c r="E38" s="2343"/>
      <c r="F38" s="2346"/>
      <c r="G38" s="2156"/>
      <c r="H38" s="2096"/>
      <c r="I38" s="2541"/>
      <c r="J38" s="151" t="s">
        <v>92</v>
      </c>
      <c r="K38" s="714"/>
      <c r="L38" s="704"/>
      <c r="M38" s="704"/>
      <c r="N38" s="685"/>
      <c r="O38" s="714"/>
      <c r="P38" s="704"/>
      <c r="Q38" s="704"/>
      <c r="R38" s="858"/>
      <c r="S38" s="1431"/>
      <c r="T38" s="351"/>
      <c r="U38" s="351"/>
      <c r="V38" s="1452"/>
      <c r="W38" s="1230">
        <v>127.4</v>
      </c>
      <c r="X38" s="37">
        <v>170</v>
      </c>
      <c r="Y38" s="1502" t="s">
        <v>288</v>
      </c>
      <c r="Z38" s="1481"/>
      <c r="AA38" s="1481"/>
      <c r="AB38" s="1295">
        <v>10</v>
      </c>
      <c r="AD38" s="89"/>
    </row>
    <row r="39" spans="1:38" ht="18.75" customHeight="1" x14ac:dyDescent="0.2">
      <c r="A39" s="1468"/>
      <c r="B39" s="1415"/>
      <c r="C39" s="1421"/>
      <c r="D39" s="2512" t="s">
        <v>42</v>
      </c>
      <c r="E39" s="2513" t="s">
        <v>210</v>
      </c>
      <c r="F39" s="2514" t="s">
        <v>171</v>
      </c>
      <c r="G39" s="2435"/>
      <c r="H39" s="2161" t="s">
        <v>90</v>
      </c>
      <c r="I39" s="2555" t="s">
        <v>229</v>
      </c>
      <c r="J39" s="25" t="s">
        <v>36</v>
      </c>
      <c r="K39" s="862">
        <f>L39+N39</f>
        <v>200</v>
      </c>
      <c r="L39" s="729"/>
      <c r="M39" s="729"/>
      <c r="N39" s="730">
        <v>200</v>
      </c>
      <c r="O39" s="828"/>
      <c r="P39" s="1437"/>
      <c r="Q39" s="1437"/>
      <c r="R39" s="1443"/>
      <c r="S39" s="233"/>
      <c r="T39" s="233"/>
      <c r="U39" s="233"/>
      <c r="V39" s="283"/>
      <c r="W39" s="829"/>
      <c r="X39" s="829"/>
      <c r="Y39" s="2552"/>
      <c r="Z39" s="838"/>
      <c r="AA39" s="824"/>
      <c r="AB39" s="206"/>
      <c r="AL39" s="711"/>
    </row>
    <row r="40" spans="1:38" ht="20.25" customHeight="1" x14ac:dyDescent="0.2">
      <c r="A40" s="1468"/>
      <c r="B40" s="1415"/>
      <c r="C40" s="1421"/>
      <c r="D40" s="2512"/>
      <c r="E40" s="2513"/>
      <c r="F40" s="2514"/>
      <c r="G40" s="2436"/>
      <c r="H40" s="2096"/>
      <c r="I40" s="2555"/>
      <c r="J40" s="25"/>
      <c r="K40" s="862"/>
      <c r="L40" s="729"/>
      <c r="M40" s="729"/>
      <c r="N40" s="730"/>
      <c r="O40" s="828"/>
      <c r="P40" s="1437"/>
      <c r="Q40" s="1437"/>
      <c r="R40" s="1443"/>
      <c r="S40" s="422"/>
      <c r="T40" s="416"/>
      <c r="U40" s="416"/>
      <c r="V40" s="1182"/>
      <c r="W40" s="829"/>
      <c r="X40" s="829"/>
      <c r="Y40" s="2553"/>
      <c r="Z40" s="915"/>
      <c r="AA40" s="830"/>
      <c r="AB40" s="122"/>
      <c r="AL40" s="711"/>
    </row>
    <row r="41" spans="1:38" ht="14.25" customHeight="1" thickBot="1" x14ac:dyDescent="0.25">
      <c r="A41" s="1469"/>
      <c r="B41" s="97"/>
      <c r="C41" s="1467"/>
      <c r="D41" s="832"/>
      <c r="E41" s="833"/>
      <c r="F41" s="834"/>
      <c r="G41" s="835"/>
      <c r="H41" s="836"/>
      <c r="I41" s="2401" t="s">
        <v>225</v>
      </c>
      <c r="J41" s="2554"/>
      <c r="K41" s="837">
        <f t="shared" ref="K41:X41" si="0">SUM(K14:K40)</f>
        <v>1501.2</v>
      </c>
      <c r="L41" s="1507">
        <f t="shared" si="0"/>
        <v>791</v>
      </c>
      <c r="M41" s="1444">
        <f t="shared" si="0"/>
        <v>0</v>
      </c>
      <c r="N41" s="1445">
        <f t="shared" si="0"/>
        <v>710.2</v>
      </c>
      <c r="O41" s="1451">
        <f t="shared" si="0"/>
        <v>1911.6000000000001</v>
      </c>
      <c r="P41" s="1444">
        <f t="shared" si="0"/>
        <v>584.79999999999995</v>
      </c>
      <c r="Q41" s="1444">
        <f t="shared" si="0"/>
        <v>0</v>
      </c>
      <c r="R41" s="1445">
        <f t="shared" si="0"/>
        <v>1326.8</v>
      </c>
      <c r="S41" s="839">
        <f t="shared" si="0"/>
        <v>0</v>
      </c>
      <c r="T41" s="837">
        <f t="shared" si="0"/>
        <v>0</v>
      </c>
      <c r="U41" s="837">
        <f t="shared" si="0"/>
        <v>0</v>
      </c>
      <c r="V41" s="1427">
        <f t="shared" si="0"/>
        <v>0</v>
      </c>
      <c r="W41" s="857">
        <f t="shared" si="0"/>
        <v>1889.3</v>
      </c>
      <c r="X41" s="1463">
        <f t="shared" si="0"/>
        <v>1177.4000000000001</v>
      </c>
      <c r="Y41" s="1461"/>
      <c r="Z41" s="918"/>
      <c r="AA41" s="919"/>
      <c r="AB41" s="917"/>
    </row>
    <row r="42" spans="1:38" ht="14.25" customHeight="1" x14ac:dyDescent="0.2">
      <c r="A42" s="2293" t="s">
        <v>9</v>
      </c>
      <c r="B42" s="2101" t="s">
        <v>9</v>
      </c>
      <c r="C42" s="2429" t="s">
        <v>11</v>
      </c>
      <c r="D42" s="2478"/>
      <c r="E42" s="2164" t="s">
        <v>114</v>
      </c>
      <c r="F42" s="2125"/>
      <c r="G42" s="2092"/>
      <c r="H42" s="1989"/>
      <c r="I42" s="85"/>
      <c r="J42" s="151"/>
      <c r="K42" s="683"/>
      <c r="L42" s="684"/>
      <c r="M42" s="684"/>
      <c r="N42" s="686"/>
      <c r="O42" s="1432">
        <f>O44+O47+O49</f>
        <v>7153.9000000000005</v>
      </c>
      <c r="P42" s="1433">
        <f t="shared" ref="P42:X42" si="1">P44+P47+P49</f>
        <v>7153.9000000000005</v>
      </c>
      <c r="Q42" s="1433">
        <f t="shared" si="1"/>
        <v>0</v>
      </c>
      <c r="R42" s="1434">
        <f t="shared" si="1"/>
        <v>0</v>
      </c>
      <c r="S42" s="1329">
        <f t="shared" si="1"/>
        <v>0</v>
      </c>
      <c r="T42" s="1329">
        <f t="shared" si="1"/>
        <v>0</v>
      </c>
      <c r="U42" s="1329">
        <f t="shared" si="1"/>
        <v>0</v>
      </c>
      <c r="V42" s="1329">
        <f t="shared" si="1"/>
        <v>0</v>
      </c>
      <c r="W42" s="1329">
        <f t="shared" si="1"/>
        <v>7190</v>
      </c>
      <c r="X42" s="1462">
        <f t="shared" si="1"/>
        <v>7190</v>
      </c>
      <c r="Y42" s="712"/>
      <c r="Z42" s="132"/>
      <c r="AA42" s="132"/>
      <c r="AB42" s="38"/>
      <c r="AE42" s="89"/>
    </row>
    <row r="43" spans="1:38" ht="13.5" customHeight="1" x14ac:dyDescent="0.2">
      <c r="A43" s="2293"/>
      <c r="B43" s="2101"/>
      <c r="C43" s="2429"/>
      <c r="D43" s="2511"/>
      <c r="E43" s="2165"/>
      <c r="F43" s="2125"/>
      <c r="G43" s="2092"/>
      <c r="H43" s="1989"/>
      <c r="I43" s="827"/>
      <c r="J43" s="12" t="s">
        <v>130</v>
      </c>
      <c r="K43" s="687"/>
      <c r="L43" s="1165"/>
      <c r="M43" s="1165"/>
      <c r="N43" s="713"/>
      <c r="O43" s="687"/>
      <c r="P43" s="705"/>
      <c r="Q43" s="1165"/>
      <c r="R43" s="1166"/>
      <c r="S43" s="225"/>
      <c r="T43" s="1169"/>
      <c r="U43" s="1169"/>
      <c r="V43" s="227"/>
      <c r="W43" s="70"/>
      <c r="X43" s="109"/>
      <c r="Y43" s="17"/>
      <c r="Z43" s="1149"/>
      <c r="AA43" s="1149"/>
      <c r="AB43" s="1146"/>
    </row>
    <row r="44" spans="1:38" ht="15.75" x14ac:dyDescent="0.2">
      <c r="A44" s="2293"/>
      <c r="B44" s="2101"/>
      <c r="C44" s="2429"/>
      <c r="D44" s="2435" t="s">
        <v>9</v>
      </c>
      <c r="E44" s="2175" t="s">
        <v>191</v>
      </c>
      <c r="F44" s="2159"/>
      <c r="G44" s="2160" t="s">
        <v>54</v>
      </c>
      <c r="H44" s="2161" t="s">
        <v>40</v>
      </c>
      <c r="I44" s="2440" t="s">
        <v>226</v>
      </c>
      <c r="J44" s="12" t="s">
        <v>36</v>
      </c>
      <c r="K44" s="907">
        <f>L44+N44</f>
        <v>6169.8</v>
      </c>
      <c r="L44" s="774">
        <v>6165.3</v>
      </c>
      <c r="M44" s="774"/>
      <c r="N44" s="908">
        <v>4.5</v>
      </c>
      <c r="O44" s="855">
        <f>P44+R44</f>
        <v>6783.8</v>
      </c>
      <c r="P44" s="774">
        <f>7183.8-400</f>
        <v>6783.8</v>
      </c>
      <c r="Q44" s="774"/>
      <c r="R44" s="775">
        <v>0</v>
      </c>
      <c r="S44" s="225">
        <f>T44+V44</f>
        <v>0</v>
      </c>
      <c r="T44" s="231">
        <v>0</v>
      </c>
      <c r="U44" s="231"/>
      <c r="V44" s="232">
        <v>0</v>
      </c>
      <c r="W44" s="364">
        <v>6800</v>
      </c>
      <c r="X44" s="365">
        <v>6800</v>
      </c>
      <c r="Y44" s="61" t="s">
        <v>148</v>
      </c>
      <c r="Z44" s="1018">
        <v>3.8</v>
      </c>
      <c r="AA44" s="1018">
        <v>3.8</v>
      </c>
      <c r="AB44" s="1019">
        <v>3.8</v>
      </c>
    </row>
    <row r="45" spans="1:38" ht="17.25" customHeight="1" x14ac:dyDescent="0.2">
      <c r="A45" s="2293"/>
      <c r="B45" s="2101"/>
      <c r="C45" s="2429"/>
      <c r="D45" s="2071"/>
      <c r="E45" s="2175"/>
      <c r="F45" s="2125"/>
      <c r="G45" s="2092"/>
      <c r="H45" s="1989"/>
      <c r="I45" s="2505"/>
      <c r="J45" s="866" t="s">
        <v>130</v>
      </c>
      <c r="K45" s="909">
        <f>L45+N45</f>
        <v>583.20000000000005</v>
      </c>
      <c r="L45" s="886">
        <v>583.20000000000005</v>
      </c>
      <c r="M45" s="886"/>
      <c r="N45" s="897"/>
      <c r="O45" s="867">
        <f>P45+R45</f>
        <v>0</v>
      </c>
      <c r="P45" s="886"/>
      <c r="Q45" s="886"/>
      <c r="R45" s="897"/>
      <c r="S45" s="911">
        <f>T45+V45</f>
        <v>0</v>
      </c>
      <c r="T45" s="872"/>
      <c r="U45" s="872"/>
      <c r="V45" s="873"/>
      <c r="W45" s="898"/>
      <c r="X45" s="912"/>
      <c r="Y45" s="1064" t="s">
        <v>227</v>
      </c>
      <c r="Z45" s="1020">
        <v>3.4</v>
      </c>
      <c r="AA45" s="1020">
        <v>3.4</v>
      </c>
      <c r="AB45" s="1021">
        <v>3.4</v>
      </c>
    </row>
    <row r="46" spans="1:38" ht="18.75" customHeight="1" x14ac:dyDescent="0.2">
      <c r="A46" s="2293"/>
      <c r="B46" s="2101"/>
      <c r="C46" s="2429"/>
      <c r="D46" s="2071"/>
      <c r="E46" s="2177"/>
      <c r="F46" s="2125"/>
      <c r="G46" s="2092"/>
      <c r="H46" s="1989"/>
      <c r="I46" s="2505"/>
      <c r="J46" s="151"/>
      <c r="K46" s="714"/>
      <c r="L46" s="704"/>
      <c r="M46" s="704"/>
      <c r="N46" s="686"/>
      <c r="O46" s="698"/>
      <c r="P46" s="699"/>
      <c r="Q46" s="699"/>
      <c r="R46" s="700"/>
      <c r="S46" s="222"/>
      <c r="T46" s="223"/>
      <c r="U46" s="223"/>
      <c r="V46" s="224"/>
      <c r="W46" s="37"/>
      <c r="X46" s="390"/>
      <c r="Y46" s="1151" t="s">
        <v>98</v>
      </c>
      <c r="Z46" s="1157">
        <v>24</v>
      </c>
      <c r="AA46" s="1157">
        <v>24</v>
      </c>
      <c r="AB46" s="1158">
        <v>24</v>
      </c>
    </row>
    <row r="47" spans="1:38" ht="30" customHeight="1" x14ac:dyDescent="0.2">
      <c r="A47" s="2293"/>
      <c r="B47" s="2101"/>
      <c r="C47" s="2429"/>
      <c r="D47" s="2435" t="s">
        <v>11</v>
      </c>
      <c r="E47" s="1147" t="s">
        <v>56</v>
      </c>
      <c r="F47" s="1154"/>
      <c r="G47" s="1155" t="s">
        <v>54</v>
      </c>
      <c r="H47" s="1156" t="s">
        <v>40</v>
      </c>
      <c r="I47" s="2440" t="s">
        <v>226</v>
      </c>
      <c r="J47" s="875" t="s">
        <v>36</v>
      </c>
      <c r="K47" s="876">
        <f>L47+N47</f>
        <v>240.3</v>
      </c>
      <c r="L47" s="902">
        <v>240.3</v>
      </c>
      <c r="M47" s="902"/>
      <c r="N47" s="913"/>
      <c r="O47" s="901">
        <f>P47+R47</f>
        <v>205</v>
      </c>
      <c r="P47" s="902">
        <v>205</v>
      </c>
      <c r="Q47" s="902"/>
      <c r="R47" s="903"/>
      <c r="S47" s="882">
        <f>T47+V47</f>
        <v>0</v>
      </c>
      <c r="T47" s="883">
        <v>0</v>
      </c>
      <c r="U47" s="883"/>
      <c r="V47" s="884"/>
      <c r="W47" s="885">
        <v>210</v>
      </c>
      <c r="X47" s="914">
        <v>210</v>
      </c>
      <c r="Y47" s="1148" t="s">
        <v>58</v>
      </c>
      <c r="Z47" s="1073">
        <v>36</v>
      </c>
      <c r="AA47" s="1073">
        <v>38</v>
      </c>
      <c r="AB47" s="1074">
        <v>38</v>
      </c>
    </row>
    <row r="48" spans="1:38" ht="29.25" customHeight="1" x14ac:dyDescent="0.2">
      <c r="A48" s="2293"/>
      <c r="B48" s="2101"/>
      <c r="C48" s="2429"/>
      <c r="D48" s="2436"/>
      <c r="E48" s="1145"/>
      <c r="F48" s="1152"/>
      <c r="G48" s="1153"/>
      <c r="H48" s="1136"/>
      <c r="I48" s="2506"/>
      <c r="J48" s="151" t="s">
        <v>61</v>
      </c>
      <c r="K48" s="773">
        <f>L48+N48</f>
        <v>3.5</v>
      </c>
      <c r="L48" s="1167">
        <v>3.5</v>
      </c>
      <c r="M48" s="1167"/>
      <c r="N48" s="864"/>
      <c r="O48" s="698">
        <f>P48+R48</f>
        <v>3</v>
      </c>
      <c r="P48" s="699">
        <v>3</v>
      </c>
      <c r="Q48" s="699"/>
      <c r="R48" s="700"/>
      <c r="S48" s="222">
        <f>T48+V48</f>
        <v>0</v>
      </c>
      <c r="T48" s="223">
        <v>0</v>
      </c>
      <c r="U48" s="223"/>
      <c r="V48" s="224"/>
      <c r="W48" s="703">
        <v>3</v>
      </c>
      <c r="X48" s="861">
        <v>3</v>
      </c>
      <c r="Y48" s="1151" t="s">
        <v>194</v>
      </c>
      <c r="Z48" s="1157">
        <v>895</v>
      </c>
      <c r="AA48" s="1157">
        <v>890</v>
      </c>
      <c r="AB48" s="1158">
        <v>890</v>
      </c>
    </row>
    <row r="49" spans="1:30" ht="17.25" customHeight="1" x14ac:dyDescent="0.2">
      <c r="A49" s="1164"/>
      <c r="B49" s="1137"/>
      <c r="C49" s="1172"/>
      <c r="D49" s="2435" t="s">
        <v>38</v>
      </c>
      <c r="E49" s="2143" t="s">
        <v>396</v>
      </c>
      <c r="F49" s="1154"/>
      <c r="G49" s="1155" t="s">
        <v>54</v>
      </c>
      <c r="H49" s="1156" t="s">
        <v>40</v>
      </c>
      <c r="I49" s="2440" t="s">
        <v>226</v>
      </c>
      <c r="J49" s="875" t="s">
        <v>36</v>
      </c>
      <c r="K49" s="876">
        <f>L49+N49</f>
        <v>114.5</v>
      </c>
      <c r="L49" s="902">
        <v>114.5</v>
      </c>
      <c r="M49" s="902"/>
      <c r="N49" s="913"/>
      <c r="O49" s="901">
        <f>P49+R49</f>
        <v>165.1</v>
      </c>
      <c r="P49" s="902">
        <f>180.1-15</f>
        <v>165.1</v>
      </c>
      <c r="Q49" s="902"/>
      <c r="R49" s="903"/>
      <c r="S49" s="882">
        <f>T49+V49</f>
        <v>0</v>
      </c>
      <c r="T49" s="883">
        <v>0</v>
      </c>
      <c r="U49" s="883"/>
      <c r="V49" s="884"/>
      <c r="W49" s="885">
        <v>180</v>
      </c>
      <c r="X49" s="914">
        <v>180</v>
      </c>
      <c r="Y49" s="1629" t="s">
        <v>330</v>
      </c>
      <c r="Z49" s="1630" t="s">
        <v>331</v>
      </c>
      <c r="AA49" s="1630" t="s">
        <v>331</v>
      </c>
      <c r="AB49" s="1631" t="s">
        <v>335</v>
      </c>
    </row>
    <row r="50" spans="1:30" ht="17.25" customHeight="1" x14ac:dyDescent="0.2">
      <c r="A50" s="1628"/>
      <c r="B50" s="1624"/>
      <c r="C50" s="1627"/>
      <c r="D50" s="2071"/>
      <c r="E50" s="2006"/>
      <c r="F50" s="1621"/>
      <c r="G50" s="1622"/>
      <c r="H50" s="1623"/>
      <c r="I50" s="2441"/>
      <c r="J50" s="16"/>
      <c r="K50" s="767"/>
      <c r="L50" s="1344"/>
      <c r="M50" s="1344"/>
      <c r="N50" s="864"/>
      <c r="O50" s="1343"/>
      <c r="P50" s="1344"/>
      <c r="Q50" s="1344"/>
      <c r="R50" s="1168"/>
      <c r="S50" s="254"/>
      <c r="T50" s="1279"/>
      <c r="U50" s="1279"/>
      <c r="V50" s="227"/>
      <c r="W50" s="1626"/>
      <c r="X50" s="112"/>
      <c r="Y50" s="929" t="s">
        <v>336</v>
      </c>
      <c r="Z50" s="1633" t="s">
        <v>333</v>
      </c>
      <c r="AA50" s="1633" t="s">
        <v>333</v>
      </c>
      <c r="AB50" s="1634" t="s">
        <v>334</v>
      </c>
    </row>
    <row r="51" spans="1:30" ht="24.75" customHeight="1" x14ac:dyDescent="0.2">
      <c r="A51" s="1628"/>
      <c r="B51" s="1624"/>
      <c r="C51" s="1627"/>
      <c r="D51" s="2071"/>
      <c r="E51" s="2006"/>
      <c r="F51" s="1621"/>
      <c r="G51" s="1622"/>
      <c r="H51" s="1623"/>
      <c r="I51" s="2441"/>
      <c r="J51" s="1567"/>
      <c r="K51" s="1770"/>
      <c r="L51" s="1069"/>
      <c r="M51" s="1069"/>
      <c r="N51" s="1771"/>
      <c r="O51" s="1068"/>
      <c r="P51" s="1069"/>
      <c r="Q51" s="1069"/>
      <c r="R51" s="1772"/>
      <c r="S51" s="1773"/>
      <c r="T51" s="1774"/>
      <c r="U51" s="1774"/>
      <c r="V51" s="1775"/>
      <c r="W51" s="1776"/>
      <c r="X51" s="1777"/>
      <c r="Y51" s="929" t="s">
        <v>397</v>
      </c>
      <c r="Z51" s="1632" t="s">
        <v>332</v>
      </c>
      <c r="AA51" s="1632" t="s">
        <v>332</v>
      </c>
      <c r="AB51" s="1632" t="s">
        <v>332</v>
      </c>
    </row>
    <row r="52" spans="1:30" ht="25.5" customHeight="1" x14ac:dyDescent="0.2">
      <c r="A52" s="1164"/>
      <c r="B52" s="1137"/>
      <c r="C52" s="1172"/>
      <c r="D52" s="2436"/>
      <c r="E52" s="2537"/>
      <c r="F52" s="1152"/>
      <c r="G52" s="1153"/>
      <c r="H52" s="1136"/>
      <c r="I52" s="2506"/>
      <c r="J52" s="151" t="s">
        <v>36</v>
      </c>
      <c r="K52" s="773">
        <f>L52+N52</f>
        <v>15</v>
      </c>
      <c r="L52" s="699">
        <v>15</v>
      </c>
      <c r="M52" s="699"/>
      <c r="N52" s="865"/>
      <c r="O52" s="698">
        <f>P52+R52</f>
        <v>15</v>
      </c>
      <c r="P52" s="699">
        <v>15</v>
      </c>
      <c r="Q52" s="699"/>
      <c r="R52" s="700"/>
      <c r="S52" s="222">
        <f>T52+V52</f>
        <v>0</v>
      </c>
      <c r="T52" s="223">
        <v>0</v>
      </c>
      <c r="U52" s="223"/>
      <c r="V52" s="224"/>
      <c r="W52" s="66">
        <v>15</v>
      </c>
      <c r="X52" s="111">
        <v>15</v>
      </c>
      <c r="Y52" s="1151" t="s">
        <v>101</v>
      </c>
      <c r="Z52" s="840">
        <v>1</v>
      </c>
      <c r="AA52" s="1157">
        <v>1</v>
      </c>
      <c r="AB52" s="1158">
        <v>1</v>
      </c>
    </row>
    <row r="53" spans="1:30" ht="18.75" customHeight="1" thickBot="1" x14ac:dyDescent="0.25">
      <c r="A53" s="815"/>
      <c r="B53" s="1138"/>
      <c r="C53" s="831"/>
      <c r="D53" s="832"/>
      <c r="E53" s="833"/>
      <c r="F53" s="834"/>
      <c r="G53" s="835"/>
      <c r="H53" s="836"/>
      <c r="I53" s="2401" t="s">
        <v>225</v>
      </c>
      <c r="J53" s="2402"/>
      <c r="K53" s="839">
        <f t="shared" ref="K53:X53" si="2">SUM(K44:K52)</f>
        <v>7126.3</v>
      </c>
      <c r="L53" s="839">
        <f t="shared" si="2"/>
        <v>7121.8</v>
      </c>
      <c r="M53" s="839">
        <f t="shared" si="2"/>
        <v>0</v>
      </c>
      <c r="N53" s="859">
        <f t="shared" si="2"/>
        <v>4.5</v>
      </c>
      <c r="O53" s="837">
        <f t="shared" si="2"/>
        <v>7171.9000000000005</v>
      </c>
      <c r="P53" s="839">
        <f t="shared" si="2"/>
        <v>7171.9000000000005</v>
      </c>
      <c r="Q53" s="839">
        <f t="shared" si="2"/>
        <v>0</v>
      </c>
      <c r="R53" s="860">
        <f t="shared" si="2"/>
        <v>0</v>
      </c>
      <c r="S53" s="839">
        <f t="shared" si="2"/>
        <v>0</v>
      </c>
      <c r="T53" s="839">
        <f t="shared" si="2"/>
        <v>0</v>
      </c>
      <c r="U53" s="839">
        <f t="shared" si="2"/>
        <v>0</v>
      </c>
      <c r="V53" s="859">
        <f t="shared" si="2"/>
        <v>0</v>
      </c>
      <c r="W53" s="857">
        <f t="shared" si="2"/>
        <v>7208</v>
      </c>
      <c r="X53" s="839">
        <f t="shared" si="2"/>
        <v>7208</v>
      </c>
      <c r="Y53" s="916"/>
      <c r="Z53" s="920"/>
      <c r="AA53" s="921"/>
      <c r="AB53" s="917"/>
    </row>
    <row r="54" spans="1:30" ht="12.75" customHeight="1" x14ac:dyDescent="0.2">
      <c r="A54" s="2297" t="s">
        <v>9</v>
      </c>
      <c r="B54" s="2112" t="s">
        <v>9</v>
      </c>
      <c r="C54" s="2428" t="s">
        <v>38</v>
      </c>
      <c r="D54" s="2507"/>
      <c r="E54" s="2150" t="s">
        <v>115</v>
      </c>
      <c r="F54" s="2333" t="s">
        <v>170</v>
      </c>
      <c r="G54" s="2127"/>
      <c r="H54" s="1988"/>
      <c r="I54" s="811"/>
      <c r="J54" s="15"/>
      <c r="K54" s="716"/>
      <c r="L54" s="717"/>
      <c r="M54" s="717"/>
      <c r="N54" s="718"/>
      <c r="O54" s="1407"/>
      <c r="P54" s="1406"/>
      <c r="Q54" s="1406"/>
      <c r="R54" s="1405"/>
      <c r="S54" s="1329"/>
      <c r="T54" s="1329"/>
      <c r="U54" s="1329"/>
      <c r="V54" s="1329"/>
      <c r="W54" s="1329"/>
      <c r="X54" s="1329"/>
      <c r="Y54" s="1331"/>
      <c r="Z54" s="132"/>
      <c r="AA54" s="132"/>
      <c r="AB54" s="38"/>
    </row>
    <row r="55" spans="1:30" ht="15" customHeight="1" x14ac:dyDescent="0.2">
      <c r="A55" s="2293"/>
      <c r="B55" s="2101"/>
      <c r="C55" s="2429"/>
      <c r="D55" s="2508"/>
      <c r="E55" s="2151"/>
      <c r="F55" s="2334"/>
      <c r="G55" s="2092"/>
      <c r="H55" s="1989"/>
      <c r="I55" s="1272"/>
      <c r="J55" s="25" t="s">
        <v>61</v>
      </c>
      <c r="K55" s="689"/>
      <c r="L55" s="690"/>
      <c r="M55" s="690"/>
      <c r="N55" s="691"/>
      <c r="O55" s="689"/>
      <c r="P55" s="690"/>
      <c r="Q55" s="690"/>
      <c r="R55" s="691"/>
      <c r="S55" s="238"/>
      <c r="T55" s="223"/>
      <c r="U55" s="223"/>
      <c r="V55" s="239"/>
      <c r="W55" s="932"/>
      <c r="X55" s="695"/>
      <c r="Y55" s="1332"/>
      <c r="Z55" s="1339"/>
      <c r="AA55" s="1339"/>
      <c r="AB55" s="1338"/>
    </row>
    <row r="56" spans="1:30" ht="15" customHeight="1" x14ac:dyDescent="0.2">
      <c r="A56" s="1273"/>
      <c r="B56" s="1263"/>
      <c r="C56" s="1281"/>
      <c r="D56" s="1284"/>
      <c r="E56" s="2537"/>
      <c r="F56" s="2352"/>
      <c r="G56" s="1261"/>
      <c r="H56" s="1259"/>
      <c r="I56" s="1272"/>
      <c r="J56" s="16" t="s">
        <v>130</v>
      </c>
      <c r="K56" s="1276"/>
      <c r="L56" s="1277"/>
      <c r="M56" s="1277"/>
      <c r="N56" s="691"/>
      <c r="O56" s="689"/>
      <c r="P56" s="690"/>
      <c r="Q56" s="1277"/>
      <c r="R56" s="722"/>
      <c r="S56" s="1278"/>
      <c r="T56" s="1279"/>
      <c r="U56" s="1279"/>
      <c r="V56" s="1280"/>
      <c r="W56" s="1030"/>
      <c r="X56" s="1274"/>
      <c r="Y56" s="1332"/>
      <c r="Z56" s="1339"/>
      <c r="AA56" s="1339"/>
      <c r="AB56" s="1338"/>
    </row>
    <row r="57" spans="1:30" ht="28.5" customHeight="1" x14ac:dyDescent="0.2">
      <c r="A57" s="1273"/>
      <c r="B57" s="1260"/>
      <c r="C57" s="1035"/>
      <c r="D57" s="841" t="s">
        <v>9</v>
      </c>
      <c r="E57" s="1556" t="s">
        <v>261</v>
      </c>
      <c r="F57" s="2159" t="s">
        <v>298</v>
      </c>
      <c r="G57" s="2160" t="s">
        <v>54</v>
      </c>
      <c r="H57" s="2161" t="s">
        <v>40</v>
      </c>
      <c r="I57" s="2398" t="s">
        <v>236</v>
      </c>
      <c r="J57" s="290" t="s">
        <v>36</v>
      </c>
      <c r="K57" s="862">
        <f t="shared" ref="K57:K63" si="3">L57+N57</f>
        <v>0</v>
      </c>
      <c r="L57" s="862"/>
      <c r="M57" s="828"/>
      <c r="N57" s="421"/>
      <c r="O57" s="698">
        <f t="shared" ref="O57" si="4">P57+R57</f>
        <v>24</v>
      </c>
      <c r="P57" s="773"/>
      <c r="Q57" s="828"/>
      <c r="R57" s="1000">
        <v>24</v>
      </c>
      <c r="S57" s="240">
        <f>T57+V57</f>
        <v>0</v>
      </c>
      <c r="T57" s="228"/>
      <c r="U57" s="246"/>
      <c r="V57" s="710"/>
      <c r="W57" s="1033"/>
      <c r="X57" s="829"/>
      <c r="Y57" s="1012" t="s">
        <v>356</v>
      </c>
      <c r="Z57" s="1027">
        <v>2</v>
      </c>
      <c r="AA57" s="1029"/>
      <c r="AB57" s="1013"/>
    </row>
    <row r="58" spans="1:30" ht="28.5" customHeight="1" x14ac:dyDescent="0.2">
      <c r="A58" s="1292"/>
      <c r="B58" s="1288"/>
      <c r="C58" s="1035"/>
      <c r="D58" s="1293" t="s">
        <v>11</v>
      </c>
      <c r="E58" s="1324" t="s">
        <v>296</v>
      </c>
      <c r="F58" s="2400"/>
      <c r="G58" s="2156"/>
      <c r="H58" s="2096"/>
      <c r="I58" s="2399"/>
      <c r="J58" s="1304" t="s">
        <v>36</v>
      </c>
      <c r="K58" s="907"/>
      <c r="L58" s="907"/>
      <c r="M58" s="826"/>
      <c r="N58" s="331"/>
      <c r="O58" s="922">
        <f>P58+R58</f>
        <v>0</v>
      </c>
      <c r="P58" s="843"/>
      <c r="Q58" s="1362"/>
      <c r="R58" s="83"/>
      <c r="S58" s="1363"/>
      <c r="T58" s="1364"/>
      <c r="U58" s="1362"/>
      <c r="V58" s="1365"/>
      <c r="W58" s="1366">
        <v>35</v>
      </c>
      <c r="X58" s="23">
        <v>35</v>
      </c>
      <c r="Y58" s="1012" t="s">
        <v>297</v>
      </c>
      <c r="Z58" s="1027"/>
      <c r="AA58" s="1305">
        <v>100</v>
      </c>
      <c r="AB58" s="1306">
        <v>100</v>
      </c>
    </row>
    <row r="59" spans="1:30" ht="14.25" customHeight="1" x14ac:dyDescent="0.2">
      <c r="A59" s="2293"/>
      <c r="B59" s="2101"/>
      <c r="C59" s="2429"/>
      <c r="D59" s="2435" t="s">
        <v>38</v>
      </c>
      <c r="E59" s="2166" t="s">
        <v>59</v>
      </c>
      <c r="F59" s="2159"/>
      <c r="G59" s="2160" t="s">
        <v>54</v>
      </c>
      <c r="H59" s="2161" t="s">
        <v>40</v>
      </c>
      <c r="I59" s="2543" t="s">
        <v>263</v>
      </c>
      <c r="J59" s="875" t="s">
        <v>36</v>
      </c>
      <c r="K59" s="876">
        <f t="shared" si="3"/>
        <v>29.6</v>
      </c>
      <c r="L59" s="877">
        <v>29.6</v>
      </c>
      <c r="M59" s="877">
        <v>8.4</v>
      </c>
      <c r="N59" s="878"/>
      <c r="O59" s="879">
        <f>P59+R59</f>
        <v>30.7</v>
      </c>
      <c r="P59" s="880">
        <v>30.7</v>
      </c>
      <c r="Q59" s="880">
        <v>9.1999999999999993</v>
      </c>
      <c r="R59" s="878"/>
      <c r="S59" s="976">
        <f>T59+V59</f>
        <v>0</v>
      </c>
      <c r="T59" s="883">
        <v>0</v>
      </c>
      <c r="U59" s="883">
        <v>0</v>
      </c>
      <c r="V59" s="1034"/>
      <c r="W59" s="1031">
        <v>30.7</v>
      </c>
      <c r="X59" s="885">
        <v>30.7</v>
      </c>
      <c r="Y59" s="1557" t="s">
        <v>357</v>
      </c>
      <c r="Z59" s="1558">
        <v>2</v>
      </c>
      <c r="AA59" s="1558">
        <v>2</v>
      </c>
      <c r="AB59" s="1559">
        <v>2</v>
      </c>
    </row>
    <row r="60" spans="1:30" ht="15" customHeight="1" x14ac:dyDescent="0.2">
      <c r="A60" s="2293"/>
      <c r="B60" s="2101"/>
      <c r="C60" s="2429"/>
      <c r="D60" s="2436"/>
      <c r="E60" s="2437"/>
      <c r="F60" s="2155"/>
      <c r="G60" s="2156"/>
      <c r="H60" s="2096"/>
      <c r="I60" s="2544"/>
      <c r="J60" s="151" t="s">
        <v>61</v>
      </c>
      <c r="K60" s="773">
        <f t="shared" si="3"/>
        <v>9</v>
      </c>
      <c r="L60" s="854">
        <v>9</v>
      </c>
      <c r="M60" s="854">
        <v>6.9</v>
      </c>
      <c r="N60" s="686"/>
      <c r="O60" s="683">
        <f>P60+R60</f>
        <v>9</v>
      </c>
      <c r="P60" s="684">
        <v>9</v>
      </c>
      <c r="Q60" s="684">
        <v>6.9</v>
      </c>
      <c r="R60" s="686"/>
      <c r="S60" s="238">
        <f>T60+V60</f>
        <v>0</v>
      </c>
      <c r="T60" s="223">
        <v>0</v>
      </c>
      <c r="U60" s="223">
        <v>0</v>
      </c>
      <c r="V60" s="239"/>
      <c r="W60" s="734">
        <v>9</v>
      </c>
      <c r="X60" s="66">
        <v>9</v>
      </c>
      <c r="Y60" s="1254" t="s">
        <v>358</v>
      </c>
      <c r="Z60" s="1294">
        <v>5</v>
      </c>
      <c r="AA60" s="1294">
        <v>5</v>
      </c>
      <c r="AB60" s="1295">
        <v>5</v>
      </c>
    </row>
    <row r="61" spans="1:30" ht="27.75" customHeight="1" x14ac:dyDescent="0.2">
      <c r="A61" s="1273"/>
      <c r="B61" s="1263"/>
      <c r="C61" s="1281"/>
      <c r="D61" s="1285" t="s">
        <v>53</v>
      </c>
      <c r="E61" s="1283" t="s">
        <v>144</v>
      </c>
      <c r="F61" s="1267"/>
      <c r="G61" s="1268" t="s">
        <v>44</v>
      </c>
      <c r="H61" s="1262" t="s">
        <v>40</v>
      </c>
      <c r="I61" s="2506"/>
      <c r="J61" s="25" t="s">
        <v>61</v>
      </c>
      <c r="K61" s="862">
        <f t="shared" si="3"/>
        <v>84</v>
      </c>
      <c r="L61" s="729">
        <v>84</v>
      </c>
      <c r="M61" s="729">
        <v>24.8</v>
      </c>
      <c r="N61" s="686"/>
      <c r="O61" s="683">
        <f>P61</f>
        <v>84</v>
      </c>
      <c r="P61" s="684">
        <v>84</v>
      </c>
      <c r="Q61" s="684">
        <v>26.1</v>
      </c>
      <c r="R61" s="686"/>
      <c r="S61" s="238">
        <f>T61+V61</f>
        <v>0</v>
      </c>
      <c r="T61" s="223">
        <v>0</v>
      </c>
      <c r="U61" s="223">
        <v>0</v>
      </c>
      <c r="V61" s="239"/>
      <c r="W61" s="734">
        <v>84</v>
      </c>
      <c r="X61" s="66">
        <v>84</v>
      </c>
      <c r="Y61" s="67" t="s">
        <v>195</v>
      </c>
      <c r="Z61" s="68">
        <v>2</v>
      </c>
      <c r="AA61" s="1026">
        <v>2</v>
      </c>
      <c r="AB61" s="69">
        <v>2</v>
      </c>
    </row>
    <row r="62" spans="1:30" ht="16.5" customHeight="1" x14ac:dyDescent="0.2">
      <c r="A62" s="1273"/>
      <c r="B62" s="1263"/>
      <c r="C62" s="1035"/>
      <c r="D62" s="1282" t="s">
        <v>54</v>
      </c>
      <c r="E62" s="2504" t="s">
        <v>369</v>
      </c>
      <c r="F62" s="1269"/>
      <c r="G62" s="1270" t="s">
        <v>38</v>
      </c>
      <c r="H62" s="1271" t="s">
        <v>40</v>
      </c>
      <c r="I62" s="2543" t="s">
        <v>262</v>
      </c>
      <c r="J62" s="16" t="s">
        <v>36</v>
      </c>
      <c r="K62" s="901">
        <f>L62+N62</f>
        <v>1223.9000000000001</v>
      </c>
      <c r="L62" s="877">
        <f>1151.5+72.4</f>
        <v>1223.9000000000001</v>
      </c>
      <c r="M62" s="877">
        <v>702.3</v>
      </c>
      <c r="N62" s="864"/>
      <c r="O62" s="1276">
        <f>P62+R62</f>
        <v>1384.2</v>
      </c>
      <c r="P62" s="1277">
        <v>1384.2</v>
      </c>
      <c r="Q62" s="1277">
        <v>815.1</v>
      </c>
      <c r="R62" s="722"/>
      <c r="S62" s="1278">
        <f>T62+V62</f>
        <v>0</v>
      </c>
      <c r="T62" s="1279">
        <v>0</v>
      </c>
      <c r="U62" s="1279">
        <v>0</v>
      </c>
      <c r="V62" s="1280"/>
      <c r="W62" s="1030">
        <v>1384.2</v>
      </c>
      <c r="X62" s="1274">
        <v>1384.2</v>
      </c>
      <c r="Y62" s="1024" t="s">
        <v>63</v>
      </c>
      <c r="Z62" s="1025">
        <v>19.5</v>
      </c>
      <c r="AA62" s="1028">
        <v>19.5</v>
      </c>
      <c r="AB62" s="1023">
        <v>19.5</v>
      </c>
    </row>
    <row r="63" spans="1:30" ht="16.5" customHeight="1" x14ac:dyDescent="0.2">
      <c r="A63" s="1273"/>
      <c r="B63" s="1263"/>
      <c r="C63" s="1035"/>
      <c r="D63" s="1261"/>
      <c r="E63" s="2504"/>
      <c r="F63" s="1264"/>
      <c r="G63" s="1261"/>
      <c r="H63" s="1259"/>
      <c r="I63" s="2544"/>
      <c r="J63" s="866" t="s">
        <v>61</v>
      </c>
      <c r="K63" s="1068">
        <f t="shared" si="3"/>
        <v>23.2</v>
      </c>
      <c r="L63" s="1069">
        <v>23.2</v>
      </c>
      <c r="M63" s="1069"/>
      <c r="N63" s="897"/>
      <c r="O63" s="887">
        <f>P63</f>
        <v>23.2</v>
      </c>
      <c r="P63" s="888">
        <v>23.2</v>
      </c>
      <c r="Q63" s="869"/>
      <c r="R63" s="870"/>
      <c r="S63" s="871">
        <f>T63</f>
        <v>0</v>
      </c>
      <c r="T63" s="872">
        <v>0</v>
      </c>
      <c r="U63" s="872"/>
      <c r="V63" s="895"/>
      <c r="W63" s="1032">
        <v>23.3</v>
      </c>
      <c r="X63" s="874">
        <v>23.3</v>
      </c>
      <c r="Y63" s="1325" t="s">
        <v>62</v>
      </c>
      <c r="Z63" s="1298">
        <v>108.8</v>
      </c>
      <c r="AA63" s="1298">
        <v>108.8</v>
      </c>
      <c r="AB63" s="1299">
        <v>108.8</v>
      </c>
      <c r="AD63" s="89"/>
    </row>
    <row r="64" spans="1:30" ht="40.5" customHeight="1" x14ac:dyDescent="0.2">
      <c r="A64" s="1342"/>
      <c r="B64" s="1334"/>
      <c r="C64" s="1035"/>
      <c r="D64" s="1333"/>
      <c r="E64" s="1345" t="s">
        <v>370</v>
      </c>
      <c r="F64" s="1335"/>
      <c r="G64" s="1333"/>
      <c r="H64" s="1330"/>
      <c r="I64" s="2544"/>
      <c r="J64" s="866" t="s">
        <v>36</v>
      </c>
      <c r="K64" s="1343"/>
      <c r="L64" s="1344"/>
      <c r="M64" s="1344"/>
      <c r="N64" s="1040"/>
      <c r="O64" s="896">
        <f>P64</f>
        <v>0</v>
      </c>
      <c r="P64" s="1380">
        <v>0</v>
      </c>
      <c r="Q64" s="1380"/>
      <c r="R64" s="1381"/>
      <c r="S64" s="867"/>
      <c r="T64" s="886"/>
      <c r="U64" s="886"/>
      <c r="V64" s="897"/>
      <c r="W64" s="1382">
        <v>0.9</v>
      </c>
      <c r="X64" s="1383">
        <v>0.9</v>
      </c>
      <c r="Y64" s="1384" t="s">
        <v>385</v>
      </c>
      <c r="Z64" s="1385">
        <v>895.88</v>
      </c>
      <c r="AA64" s="1298">
        <v>895.88</v>
      </c>
      <c r="AB64" s="1299">
        <v>895.88</v>
      </c>
      <c r="AD64" s="89"/>
    </row>
    <row r="65" spans="1:30" ht="32.25" customHeight="1" x14ac:dyDescent="0.2">
      <c r="A65" s="1273"/>
      <c r="B65" s="1263"/>
      <c r="C65" s="1035"/>
      <c r="D65" s="1261"/>
      <c r="E65" s="1275" t="s">
        <v>160</v>
      </c>
      <c r="F65" s="1264"/>
      <c r="G65" s="1261"/>
      <c r="H65" s="1259"/>
      <c r="I65" s="2544"/>
      <c r="J65" s="866" t="s">
        <v>36</v>
      </c>
      <c r="K65" s="1038">
        <f>L65</f>
        <v>10</v>
      </c>
      <c r="L65" s="1039">
        <v>10</v>
      </c>
      <c r="M65" s="1039"/>
      <c r="N65" s="1040"/>
      <c r="O65" s="1347">
        <f>P65+R65</f>
        <v>10</v>
      </c>
      <c r="P65" s="843">
        <v>0</v>
      </c>
      <c r="Q65" s="843"/>
      <c r="R65" s="1348">
        <v>10</v>
      </c>
      <c r="S65" s="1347">
        <f>T65</f>
        <v>0</v>
      </c>
      <c r="T65" s="705">
        <v>0</v>
      </c>
      <c r="U65" s="705"/>
      <c r="V65" s="1349"/>
      <c r="W65" s="1346">
        <v>10</v>
      </c>
      <c r="X65" s="36">
        <v>10</v>
      </c>
      <c r="Y65" s="1024" t="s">
        <v>384</v>
      </c>
      <c r="Z65" s="1296">
        <v>1</v>
      </c>
      <c r="AA65" s="1047">
        <v>1</v>
      </c>
      <c r="AB65" s="1297">
        <v>1</v>
      </c>
    </row>
    <row r="66" spans="1:30" ht="18" customHeight="1" x14ac:dyDescent="0.2">
      <c r="A66" s="1273"/>
      <c r="B66" s="1260"/>
      <c r="C66" s="1035"/>
      <c r="D66" s="1261"/>
      <c r="E66" s="1275" t="s">
        <v>153</v>
      </c>
      <c r="F66" s="1264"/>
      <c r="G66" s="1261"/>
      <c r="H66" s="1259"/>
      <c r="I66" s="2544"/>
      <c r="J66" s="1046" t="s">
        <v>36</v>
      </c>
      <c r="K66" s="867">
        <f>N66</f>
        <v>53</v>
      </c>
      <c r="L66" s="886"/>
      <c r="M66" s="886"/>
      <c r="N66" s="897">
        <v>53</v>
      </c>
      <c r="O66" s="1350">
        <f>+R66+P66</f>
        <v>217.8</v>
      </c>
      <c r="P66" s="1351"/>
      <c r="Q66" s="1352"/>
      <c r="R66" s="1353">
        <v>217.8</v>
      </c>
      <c r="S66" s="1350">
        <f>T66+V66</f>
        <v>0</v>
      </c>
      <c r="T66" s="1351"/>
      <c r="U66" s="1352"/>
      <c r="V66" s="1354"/>
      <c r="W66" s="1355"/>
      <c r="X66" s="1356"/>
      <c r="Y66" s="889" t="s">
        <v>360</v>
      </c>
      <c r="Z66" s="1041">
        <v>1</v>
      </c>
      <c r="AA66" s="1041"/>
      <c r="AB66" s="891"/>
    </row>
    <row r="67" spans="1:30" ht="28.5" customHeight="1" x14ac:dyDescent="0.2">
      <c r="A67" s="814"/>
      <c r="B67" s="1263"/>
      <c r="C67" s="1035"/>
      <c r="D67" s="1261"/>
      <c r="E67" s="1070" t="s">
        <v>156</v>
      </c>
      <c r="F67" s="1264"/>
      <c r="G67" s="1261"/>
      <c r="H67" s="1259"/>
      <c r="I67" s="1022"/>
      <c r="J67" s="16" t="s">
        <v>36</v>
      </c>
      <c r="K67" s="867">
        <f>L67</f>
        <v>0</v>
      </c>
      <c r="L67" s="886">
        <v>0</v>
      </c>
      <c r="M67" s="886"/>
      <c r="N67" s="897"/>
      <c r="O67" s="867">
        <f>+R67+P67</f>
        <v>250</v>
      </c>
      <c r="P67" s="909"/>
      <c r="Q67" s="1560"/>
      <c r="R67" s="1561">
        <v>250</v>
      </c>
      <c r="S67" s="867"/>
      <c r="T67" s="909"/>
      <c r="U67" s="1560"/>
      <c r="V67" s="1562"/>
      <c r="W67" s="1382">
        <v>163.80000000000001</v>
      </c>
      <c r="X67" s="1563"/>
      <c r="Y67" s="1007" t="s">
        <v>268</v>
      </c>
      <c r="Z67" s="1564">
        <v>60</v>
      </c>
      <c r="AA67" s="1564">
        <v>40</v>
      </c>
      <c r="AB67" s="891"/>
    </row>
    <row r="68" spans="1:30" ht="18.75" customHeight="1" x14ac:dyDescent="0.2">
      <c r="A68" s="1164"/>
      <c r="B68" s="1114"/>
      <c r="C68" s="1172"/>
      <c r="D68" s="1128"/>
      <c r="E68" s="2416" t="s">
        <v>264</v>
      </c>
      <c r="F68" s="1141"/>
      <c r="G68" s="1133"/>
      <c r="H68" s="1105"/>
      <c r="I68" s="1173"/>
      <c r="J68" s="16" t="s">
        <v>36</v>
      </c>
      <c r="K68" s="2418"/>
      <c r="L68" s="2419"/>
      <c r="M68" s="2419"/>
      <c r="N68" s="2420"/>
      <c r="O68" s="2421">
        <f>P68</f>
        <v>91.8</v>
      </c>
      <c r="P68" s="2422">
        <v>91.8</v>
      </c>
      <c r="Q68" s="2422">
        <v>22.6</v>
      </c>
      <c r="R68" s="2423"/>
      <c r="S68" s="2421"/>
      <c r="T68" s="2422"/>
      <c r="U68" s="2422"/>
      <c r="V68" s="2423"/>
      <c r="W68" s="2415">
        <v>91.8</v>
      </c>
      <c r="X68" s="2415">
        <v>91.8</v>
      </c>
      <c r="Y68" s="17" t="s">
        <v>358</v>
      </c>
      <c r="Z68" s="1336">
        <v>5</v>
      </c>
      <c r="AA68" s="1336">
        <v>5</v>
      </c>
      <c r="AB68" s="1337">
        <v>5</v>
      </c>
    </row>
    <row r="69" spans="1:30" ht="17.25" customHeight="1" x14ac:dyDescent="0.2">
      <c r="A69" s="1164"/>
      <c r="B69" s="1114"/>
      <c r="C69" s="1172"/>
      <c r="D69" s="1128"/>
      <c r="E69" s="2417"/>
      <c r="F69" s="1141"/>
      <c r="G69" s="1133"/>
      <c r="H69" s="1105"/>
      <c r="I69" s="1173"/>
      <c r="J69" s="16"/>
      <c r="K69" s="2418"/>
      <c r="L69" s="2419"/>
      <c r="M69" s="2419"/>
      <c r="N69" s="2420"/>
      <c r="O69" s="2421"/>
      <c r="P69" s="2422"/>
      <c r="Q69" s="2422"/>
      <c r="R69" s="2423"/>
      <c r="S69" s="2421"/>
      <c r="T69" s="2422"/>
      <c r="U69" s="2422"/>
      <c r="V69" s="2423"/>
      <c r="W69" s="2415"/>
      <c r="X69" s="2415"/>
      <c r="Y69" s="929" t="s">
        <v>383</v>
      </c>
      <c r="Z69" s="890">
        <v>1</v>
      </c>
      <c r="AA69" s="890">
        <v>1</v>
      </c>
      <c r="AB69" s="891">
        <v>1</v>
      </c>
      <c r="AC69" s="89"/>
      <c r="AD69" s="89"/>
    </row>
    <row r="70" spans="1:30" ht="16.5" customHeight="1" x14ac:dyDescent="0.2">
      <c r="A70" s="1164"/>
      <c r="B70" s="1114"/>
      <c r="C70" s="1172"/>
      <c r="D70" s="1128"/>
      <c r="E70" s="2417"/>
      <c r="F70" s="1141"/>
      <c r="G70" s="1133"/>
      <c r="H70" s="1105"/>
      <c r="I70" s="1173"/>
      <c r="J70" s="16"/>
      <c r="K70" s="2418"/>
      <c r="L70" s="2419"/>
      <c r="M70" s="2419"/>
      <c r="N70" s="2420"/>
      <c r="O70" s="2421"/>
      <c r="P70" s="2422"/>
      <c r="Q70" s="2422"/>
      <c r="R70" s="2423"/>
      <c r="S70" s="2421"/>
      <c r="T70" s="2422"/>
      <c r="U70" s="2422"/>
      <c r="V70" s="2423"/>
      <c r="W70" s="2415"/>
      <c r="X70" s="2415"/>
      <c r="Y70" s="929" t="s">
        <v>382</v>
      </c>
      <c r="Z70" s="1044">
        <v>1.8</v>
      </c>
      <c r="AA70" s="1044">
        <v>1.8</v>
      </c>
      <c r="AB70" s="1045">
        <v>1.8</v>
      </c>
      <c r="AC70" s="1036"/>
    </row>
    <row r="71" spans="1:30" ht="15.75" customHeight="1" x14ac:dyDescent="0.2">
      <c r="A71" s="1164"/>
      <c r="B71" s="1114"/>
      <c r="C71" s="1172"/>
      <c r="D71" s="1128"/>
      <c r="E71" s="1070" t="s">
        <v>301</v>
      </c>
      <c r="F71" s="1141"/>
      <c r="G71" s="1133"/>
      <c r="H71" s="1105"/>
      <c r="I71" s="1173"/>
      <c r="J71" s="16" t="s">
        <v>36</v>
      </c>
      <c r="K71" s="892"/>
      <c r="L71" s="910"/>
      <c r="M71" s="910"/>
      <c r="N71" s="956"/>
      <c r="O71" s="1350"/>
      <c r="P71" s="893"/>
      <c r="Q71" s="893"/>
      <c r="R71" s="1357"/>
      <c r="S71" s="1351"/>
      <c r="T71" s="893"/>
      <c r="U71" s="893"/>
      <c r="V71" s="1358"/>
      <c r="W71" s="1042">
        <v>80.400000000000006</v>
      </c>
      <c r="X71" s="1043">
        <v>40.200000000000003</v>
      </c>
      <c r="Y71" s="889" t="s">
        <v>361</v>
      </c>
      <c r="Z71" s="890"/>
      <c r="AA71" s="890">
        <v>2</v>
      </c>
      <c r="AB71" s="891">
        <v>1</v>
      </c>
    </row>
    <row r="72" spans="1:30" x14ac:dyDescent="0.2">
      <c r="A72" s="1164"/>
      <c r="B72" s="1114"/>
      <c r="C72" s="1172"/>
      <c r="D72" s="1128"/>
      <c r="E72" s="1070" t="s">
        <v>265</v>
      </c>
      <c r="F72" s="1141"/>
      <c r="G72" s="1133"/>
      <c r="H72" s="1105"/>
      <c r="I72" s="1173"/>
      <c r="J72" s="16" t="s">
        <v>36</v>
      </c>
      <c r="K72" s="892"/>
      <c r="L72" s="910"/>
      <c r="M72" s="910"/>
      <c r="N72" s="956"/>
      <c r="O72" s="1350">
        <f t="shared" ref="O72:O74" si="5">P72+R72</f>
        <v>6</v>
      </c>
      <c r="P72" s="947"/>
      <c r="Q72" s="947"/>
      <c r="R72" s="1357">
        <v>6</v>
      </c>
      <c r="S72" s="1351"/>
      <c r="T72" s="893"/>
      <c r="U72" s="893"/>
      <c r="V72" s="1358"/>
      <c r="W72" s="1042"/>
      <c r="X72" s="1043"/>
      <c r="Y72" s="929" t="s">
        <v>381</v>
      </c>
      <c r="Z72" s="890">
        <v>2</v>
      </c>
      <c r="AA72" s="1044"/>
      <c r="AB72" s="1045"/>
    </row>
    <row r="73" spans="1:30" x14ac:dyDescent="0.2">
      <c r="A73" s="1164"/>
      <c r="B73" s="1114"/>
      <c r="C73" s="1172"/>
      <c r="D73" s="1128"/>
      <c r="E73" s="1070" t="s">
        <v>266</v>
      </c>
      <c r="F73" s="1141"/>
      <c r="G73" s="1133"/>
      <c r="H73" s="1105"/>
      <c r="I73" s="1173"/>
      <c r="J73" s="16" t="s">
        <v>36</v>
      </c>
      <c r="K73" s="892"/>
      <c r="L73" s="910"/>
      <c r="M73" s="910"/>
      <c r="N73" s="956"/>
      <c r="O73" s="1350">
        <f t="shared" si="5"/>
        <v>0</v>
      </c>
      <c r="P73" s="947">
        <v>0</v>
      </c>
      <c r="Q73" s="947"/>
      <c r="R73" s="1357">
        <v>0</v>
      </c>
      <c r="S73" s="1351"/>
      <c r="T73" s="893"/>
      <c r="U73" s="893"/>
      <c r="V73" s="1358"/>
      <c r="W73" s="1042">
        <v>284.10000000000002</v>
      </c>
      <c r="X73" s="1043">
        <v>0</v>
      </c>
      <c r="Y73" s="889" t="s">
        <v>380</v>
      </c>
      <c r="Z73" s="1044"/>
      <c r="AA73" s="890">
        <v>1</v>
      </c>
      <c r="AB73" s="1045"/>
    </row>
    <row r="74" spans="1:30" ht="18.75" customHeight="1" x14ac:dyDescent="0.2">
      <c r="A74" s="1164"/>
      <c r="B74" s="1114"/>
      <c r="C74" s="1172"/>
      <c r="D74" s="1128"/>
      <c r="E74" s="1017" t="s">
        <v>267</v>
      </c>
      <c r="F74" s="1152"/>
      <c r="G74" s="1153"/>
      <c r="H74" s="1136"/>
      <c r="I74" s="1176"/>
      <c r="J74" s="151" t="s">
        <v>36</v>
      </c>
      <c r="K74" s="683"/>
      <c r="L74" s="684"/>
      <c r="M74" s="684"/>
      <c r="N74" s="686"/>
      <c r="O74" s="922">
        <f t="shared" si="5"/>
        <v>24</v>
      </c>
      <c r="P74" s="704"/>
      <c r="Q74" s="704"/>
      <c r="R74" s="858">
        <v>24</v>
      </c>
      <c r="S74" s="1359"/>
      <c r="T74" s="704"/>
      <c r="U74" s="704"/>
      <c r="V74" s="1360"/>
      <c r="W74" s="66">
        <v>73</v>
      </c>
      <c r="X74" s="111">
        <v>73</v>
      </c>
      <c r="Y74" s="62" t="s">
        <v>363</v>
      </c>
      <c r="Z74" s="1340">
        <v>8</v>
      </c>
      <c r="AA74" s="1340">
        <v>24</v>
      </c>
      <c r="AB74" s="1341">
        <v>24</v>
      </c>
    </row>
    <row r="75" spans="1:30" ht="39.75" customHeight="1" x14ac:dyDescent="0.2">
      <c r="A75" s="1164"/>
      <c r="B75" s="1137"/>
      <c r="C75" s="1172"/>
      <c r="D75" s="841" t="s">
        <v>41</v>
      </c>
      <c r="E75" s="124" t="s">
        <v>269</v>
      </c>
      <c r="F75" s="930"/>
      <c r="G75" s="931" t="s">
        <v>54</v>
      </c>
      <c r="H75" s="842" t="s">
        <v>40</v>
      </c>
      <c r="I75" s="899" t="s">
        <v>224</v>
      </c>
      <c r="J75" s="25" t="s">
        <v>36</v>
      </c>
      <c r="K75" s="728">
        <f>L75+N75</f>
        <v>37.599999999999994</v>
      </c>
      <c r="L75" s="693">
        <f>110-72.4</f>
        <v>37.599999999999994</v>
      </c>
      <c r="M75" s="690"/>
      <c r="N75" s="691"/>
      <c r="O75" s="689"/>
      <c r="P75" s="690"/>
      <c r="Q75" s="690"/>
      <c r="R75" s="691"/>
      <c r="S75" s="240"/>
      <c r="T75" s="229"/>
      <c r="U75" s="229"/>
      <c r="V75" s="241"/>
      <c r="W75" s="932"/>
      <c r="X75" s="695"/>
      <c r="Y75" s="120"/>
      <c r="Z75" s="121"/>
      <c r="AA75" s="121"/>
      <c r="AB75" s="1037"/>
    </row>
    <row r="76" spans="1:30" ht="16.5" customHeight="1" thickBot="1" x14ac:dyDescent="0.25">
      <c r="A76" s="815"/>
      <c r="B76" s="1138"/>
      <c r="C76" s="831"/>
      <c r="D76" s="832"/>
      <c r="E76" s="833"/>
      <c r="F76" s="834"/>
      <c r="G76" s="835"/>
      <c r="H76" s="836"/>
      <c r="I76" s="2401" t="s">
        <v>225</v>
      </c>
      <c r="J76" s="2402"/>
      <c r="K76" s="837">
        <f t="shared" ref="K76:X76" si="6">SUM(K57:K75)</f>
        <v>1470.3</v>
      </c>
      <c r="L76" s="837">
        <f t="shared" si="6"/>
        <v>1417.3</v>
      </c>
      <c r="M76" s="837">
        <f t="shared" si="6"/>
        <v>742.4</v>
      </c>
      <c r="N76" s="837">
        <f t="shared" si="6"/>
        <v>53</v>
      </c>
      <c r="O76" s="837">
        <f>SUM(O57:O75)</f>
        <v>2154.7000000000003</v>
      </c>
      <c r="P76" s="837">
        <f t="shared" si="6"/>
        <v>1622.9</v>
      </c>
      <c r="Q76" s="837">
        <f t="shared" si="6"/>
        <v>879.90000000000009</v>
      </c>
      <c r="R76" s="837">
        <f t="shared" si="6"/>
        <v>531.79999999999995</v>
      </c>
      <c r="S76" s="837">
        <f t="shared" si="6"/>
        <v>0</v>
      </c>
      <c r="T76" s="837">
        <f t="shared" si="6"/>
        <v>0</v>
      </c>
      <c r="U76" s="837">
        <f t="shared" si="6"/>
        <v>0</v>
      </c>
      <c r="V76" s="837">
        <f t="shared" si="6"/>
        <v>0</v>
      </c>
      <c r="W76" s="837">
        <f t="shared" si="6"/>
        <v>2270.2000000000003</v>
      </c>
      <c r="X76" s="837">
        <f t="shared" si="6"/>
        <v>1782.1000000000001</v>
      </c>
      <c r="Y76" s="916"/>
      <c r="Z76" s="920"/>
      <c r="AA76" s="921"/>
      <c r="AB76" s="917"/>
    </row>
    <row r="77" spans="1:30" ht="13.5" customHeight="1" x14ac:dyDescent="0.2">
      <c r="A77" s="2297" t="s">
        <v>9</v>
      </c>
      <c r="B77" s="2112" t="s">
        <v>9</v>
      </c>
      <c r="C77" s="2428" t="s">
        <v>53</v>
      </c>
      <c r="D77" s="2433"/>
      <c r="E77" s="2150" t="s">
        <v>116</v>
      </c>
      <c r="F77" s="2319" t="s">
        <v>339</v>
      </c>
      <c r="G77" s="2127"/>
      <c r="H77" s="1988"/>
      <c r="I77" s="92"/>
      <c r="J77" s="15" t="s">
        <v>36</v>
      </c>
      <c r="K77" s="716"/>
      <c r="L77" s="717"/>
      <c r="M77" s="717"/>
      <c r="N77" s="718"/>
      <c r="O77" s="716"/>
      <c r="P77" s="717"/>
      <c r="Q77" s="717"/>
      <c r="R77" s="719"/>
      <c r="S77" s="235"/>
      <c r="T77" s="236"/>
      <c r="U77" s="236"/>
      <c r="V77" s="237"/>
      <c r="W77" s="42"/>
      <c r="X77" s="42"/>
      <c r="Y77" s="2029"/>
      <c r="Z77" s="2131"/>
      <c r="AA77" s="2131"/>
      <c r="AB77" s="2133"/>
    </row>
    <row r="78" spans="1:30" ht="18.75" customHeight="1" x14ac:dyDescent="0.2">
      <c r="A78" s="2293"/>
      <c r="B78" s="2101"/>
      <c r="C78" s="2429"/>
      <c r="D78" s="2478"/>
      <c r="E78" s="2151"/>
      <c r="F78" s="2319"/>
      <c r="G78" s="2092"/>
      <c r="H78" s="1989"/>
      <c r="I78" s="85"/>
      <c r="J78" s="12" t="s">
        <v>130</v>
      </c>
      <c r="K78" s="687"/>
      <c r="L78" s="1165"/>
      <c r="M78" s="1165"/>
      <c r="N78" s="713"/>
      <c r="O78" s="687"/>
      <c r="P78" s="1165"/>
      <c r="Q78" s="1165"/>
      <c r="R78" s="1166"/>
      <c r="S78" s="225"/>
      <c r="T78" s="1169"/>
      <c r="U78" s="1169"/>
      <c r="V78" s="227"/>
      <c r="W78" s="70"/>
      <c r="X78" s="70"/>
      <c r="Y78" s="2030"/>
      <c r="Z78" s="2132"/>
      <c r="AA78" s="2132"/>
      <c r="AB78" s="2134"/>
    </row>
    <row r="79" spans="1:30" ht="18.75" customHeight="1" x14ac:dyDescent="0.2">
      <c r="A79" s="2293"/>
      <c r="B79" s="2101"/>
      <c r="C79" s="2429"/>
      <c r="D79" s="2496" t="s">
        <v>9</v>
      </c>
      <c r="E79" s="2313" t="s">
        <v>65</v>
      </c>
      <c r="F79" s="2315"/>
      <c r="G79" s="2498" t="s">
        <v>41</v>
      </c>
      <c r="H79" s="2500" t="s">
        <v>40</v>
      </c>
      <c r="I79" s="2502" t="s">
        <v>224</v>
      </c>
      <c r="J79" s="875" t="s">
        <v>36</v>
      </c>
      <c r="K79" s="876">
        <f t="shared" ref="K79:K85" si="7">L79+N79</f>
        <v>3593.3</v>
      </c>
      <c r="L79" s="902">
        <v>3593.3</v>
      </c>
      <c r="M79" s="880"/>
      <c r="N79" s="878"/>
      <c r="O79" s="879">
        <f>P79+R79</f>
        <v>3957.5</v>
      </c>
      <c r="P79" s="880">
        <v>3957.5</v>
      </c>
      <c r="Q79" s="880"/>
      <c r="R79" s="881"/>
      <c r="S79" s="882">
        <f>T79+V79</f>
        <v>0</v>
      </c>
      <c r="T79" s="883"/>
      <c r="U79" s="883"/>
      <c r="V79" s="884"/>
      <c r="W79" s="885">
        <v>4076.2</v>
      </c>
      <c r="X79" s="914">
        <v>4198.5</v>
      </c>
      <c r="Y79" s="2145" t="s">
        <v>100</v>
      </c>
      <c r="Z79" s="2146">
        <v>8.1</v>
      </c>
      <c r="AA79" s="2146">
        <v>8.1999999999999993</v>
      </c>
      <c r="AB79" s="2141">
        <v>8.1999999999999993</v>
      </c>
    </row>
    <row r="80" spans="1:30" ht="22.5" customHeight="1" x14ac:dyDescent="0.2">
      <c r="A80" s="2293"/>
      <c r="B80" s="2101"/>
      <c r="C80" s="2429"/>
      <c r="D80" s="2497"/>
      <c r="E80" s="2314"/>
      <c r="F80" s="2316"/>
      <c r="G80" s="2499"/>
      <c r="H80" s="2501"/>
      <c r="I80" s="2503"/>
      <c r="J80" s="923" t="s">
        <v>130</v>
      </c>
      <c r="K80" s="924">
        <f t="shared" si="7"/>
        <v>300.89999999999998</v>
      </c>
      <c r="L80" s="925">
        <v>300.89999999999998</v>
      </c>
      <c r="M80" s="926"/>
      <c r="N80" s="927"/>
      <c r="O80" s="683">
        <f>P80+R80</f>
        <v>0</v>
      </c>
      <c r="P80" s="684"/>
      <c r="Q80" s="684"/>
      <c r="R80" s="685"/>
      <c r="S80" s="222">
        <f>T80+V80</f>
        <v>0</v>
      </c>
      <c r="T80" s="223"/>
      <c r="U80" s="223"/>
      <c r="V80" s="224"/>
      <c r="W80" s="703"/>
      <c r="X80" s="703"/>
      <c r="Y80" s="2154"/>
      <c r="Z80" s="2312"/>
      <c r="AA80" s="2312"/>
      <c r="AB80" s="2307"/>
    </row>
    <row r="81" spans="1:31" ht="26.25" customHeight="1" x14ac:dyDescent="0.2">
      <c r="A81" s="2293"/>
      <c r="B81" s="2101"/>
      <c r="C81" s="2429"/>
      <c r="D81" s="2435" t="s">
        <v>11</v>
      </c>
      <c r="E81" s="2143" t="s">
        <v>64</v>
      </c>
      <c r="F81" s="2308" t="s">
        <v>184</v>
      </c>
      <c r="G81" s="2160" t="s">
        <v>41</v>
      </c>
      <c r="H81" s="2161" t="s">
        <v>40</v>
      </c>
      <c r="I81" s="2440" t="s">
        <v>224</v>
      </c>
      <c r="J81" s="12" t="s">
        <v>36</v>
      </c>
      <c r="K81" s="907">
        <f t="shared" si="7"/>
        <v>2424.3000000000002</v>
      </c>
      <c r="L81" s="774">
        <v>2424.3000000000002</v>
      </c>
      <c r="M81" s="701"/>
      <c r="N81" s="782"/>
      <c r="O81" s="972">
        <f>P81+R81</f>
        <v>2971.4</v>
      </c>
      <c r="P81" s="973">
        <f>3138.4-200</f>
        <v>2938.4</v>
      </c>
      <c r="Q81" s="973"/>
      <c r="R81" s="1361">
        <v>33</v>
      </c>
      <c r="S81" s="882">
        <f>T81+V81</f>
        <v>0</v>
      </c>
      <c r="T81" s="883"/>
      <c r="U81" s="883"/>
      <c r="V81" s="884"/>
      <c r="W81" s="885">
        <v>2998</v>
      </c>
      <c r="X81" s="914">
        <v>3048.9</v>
      </c>
      <c r="Y81" s="977" t="s">
        <v>196</v>
      </c>
      <c r="Z81" s="1051">
        <v>14.5</v>
      </c>
      <c r="AA81" s="1051">
        <v>14.6</v>
      </c>
      <c r="AB81" s="1052">
        <v>14.7</v>
      </c>
    </row>
    <row r="82" spans="1:31" ht="24.75" customHeight="1" x14ac:dyDescent="0.2">
      <c r="A82" s="2293"/>
      <c r="B82" s="2101"/>
      <c r="C82" s="2429"/>
      <c r="D82" s="2436"/>
      <c r="E82" s="2140"/>
      <c r="F82" s="2309"/>
      <c r="G82" s="2156"/>
      <c r="H82" s="2096"/>
      <c r="I82" s="2495"/>
      <c r="J82" s="923" t="s">
        <v>130</v>
      </c>
      <c r="K82" s="924">
        <f t="shared" si="7"/>
        <v>100</v>
      </c>
      <c r="L82" s="925">
        <v>100</v>
      </c>
      <c r="M82" s="1054"/>
      <c r="N82" s="1055"/>
      <c r="O82" s="683">
        <f>P82+R82</f>
        <v>0</v>
      </c>
      <c r="P82" s="684"/>
      <c r="Q82" s="684"/>
      <c r="R82" s="685"/>
      <c r="S82" s="222">
        <f>T82+V82</f>
        <v>0</v>
      </c>
      <c r="T82" s="223"/>
      <c r="U82" s="223"/>
      <c r="V82" s="224"/>
      <c r="W82" s="703"/>
      <c r="X82" s="703"/>
      <c r="Y82" s="62" t="s">
        <v>197</v>
      </c>
      <c r="Z82" s="1157">
        <v>150</v>
      </c>
      <c r="AA82" s="1157">
        <v>80</v>
      </c>
      <c r="AB82" s="1158">
        <v>80</v>
      </c>
    </row>
    <row r="83" spans="1:31" ht="41.25" customHeight="1" x14ac:dyDescent="0.2">
      <c r="A83" s="1164"/>
      <c r="B83" s="1053"/>
      <c r="C83" s="1172"/>
      <c r="D83" s="1128" t="s">
        <v>38</v>
      </c>
      <c r="E83" s="1410" t="s">
        <v>270</v>
      </c>
      <c r="F83" s="1141"/>
      <c r="G83" s="1133" t="s">
        <v>41</v>
      </c>
      <c r="H83" s="1105" t="s">
        <v>40</v>
      </c>
      <c r="I83" s="1173" t="s">
        <v>236</v>
      </c>
      <c r="J83" s="151" t="s">
        <v>36</v>
      </c>
      <c r="K83" s="731">
        <f>L83+N83</f>
        <v>0</v>
      </c>
      <c r="L83" s="732"/>
      <c r="M83" s="732"/>
      <c r="N83" s="733"/>
      <c r="O83" s="698">
        <f>P83+R83</f>
        <v>102.7</v>
      </c>
      <c r="P83" s="699">
        <v>102.7</v>
      </c>
      <c r="Q83" s="699"/>
      <c r="R83" s="700"/>
      <c r="S83" s="773">
        <f>T83+V83</f>
        <v>0</v>
      </c>
      <c r="T83" s="699"/>
      <c r="U83" s="699"/>
      <c r="V83" s="865"/>
      <c r="W83" s="1236"/>
      <c r="X83" s="1574">
        <v>0</v>
      </c>
      <c r="Y83" s="1082" t="s">
        <v>271</v>
      </c>
      <c r="Z83" s="1575">
        <v>1</v>
      </c>
      <c r="AA83" s="1575"/>
      <c r="AB83" s="1011"/>
      <c r="AD83" s="89"/>
      <c r="AE83" s="89"/>
    </row>
    <row r="84" spans="1:31" ht="26.25" customHeight="1" x14ac:dyDescent="0.2">
      <c r="A84" s="1164"/>
      <c r="B84" s="1137"/>
      <c r="C84" s="1172"/>
      <c r="D84" s="841" t="s">
        <v>53</v>
      </c>
      <c r="E84" s="124" t="s">
        <v>67</v>
      </c>
      <c r="F84" s="930"/>
      <c r="G84" s="931" t="s">
        <v>41</v>
      </c>
      <c r="H84" s="842" t="s">
        <v>40</v>
      </c>
      <c r="I84" s="933" t="s">
        <v>250</v>
      </c>
      <c r="J84" s="25" t="s">
        <v>94</v>
      </c>
      <c r="K84" s="728">
        <f t="shared" si="7"/>
        <v>2038</v>
      </c>
      <c r="L84" s="729">
        <v>2038</v>
      </c>
      <c r="M84" s="690"/>
      <c r="N84" s="691"/>
      <c r="O84" s="728">
        <f>P84</f>
        <v>2038</v>
      </c>
      <c r="P84" s="729">
        <v>2038</v>
      </c>
      <c r="Q84" s="729"/>
      <c r="R84" s="730"/>
      <c r="S84" s="228"/>
      <c r="T84" s="229"/>
      <c r="U84" s="229"/>
      <c r="V84" s="230"/>
      <c r="W84" s="932"/>
      <c r="X84" s="695"/>
      <c r="Y84" s="120" t="s">
        <v>68</v>
      </c>
      <c r="Z84" s="68">
        <v>94</v>
      </c>
      <c r="AA84" s="68"/>
      <c r="AB84" s="1057"/>
    </row>
    <row r="85" spans="1:31" ht="29.25" customHeight="1" x14ac:dyDescent="0.2">
      <c r="A85" s="1164"/>
      <c r="B85" s="1137"/>
      <c r="C85" s="1172"/>
      <c r="D85" s="841" t="s">
        <v>54</v>
      </c>
      <c r="E85" s="124" t="s">
        <v>132</v>
      </c>
      <c r="F85" s="930"/>
      <c r="G85" s="931" t="s">
        <v>41</v>
      </c>
      <c r="H85" s="842" t="s">
        <v>40</v>
      </c>
      <c r="I85" s="933" t="s">
        <v>250</v>
      </c>
      <c r="J85" s="25" t="s">
        <v>36</v>
      </c>
      <c r="K85" s="689">
        <f t="shared" si="7"/>
        <v>0</v>
      </c>
      <c r="L85" s="690"/>
      <c r="M85" s="690"/>
      <c r="N85" s="691"/>
      <c r="O85" s="708"/>
      <c r="P85" s="709"/>
      <c r="Q85" s="709"/>
      <c r="R85" s="770"/>
      <c r="S85" s="228"/>
      <c r="T85" s="229"/>
      <c r="U85" s="229"/>
      <c r="V85" s="230"/>
      <c r="W85" s="932">
        <v>240</v>
      </c>
      <c r="X85" s="695">
        <v>240</v>
      </c>
      <c r="Y85" s="120" t="s">
        <v>379</v>
      </c>
      <c r="Z85" s="68">
        <v>33</v>
      </c>
      <c r="AA85" s="68">
        <v>33</v>
      </c>
      <c r="AB85" s="1057"/>
    </row>
    <row r="86" spans="1:31" ht="41.25" customHeight="1" x14ac:dyDescent="0.2">
      <c r="A86" s="1375"/>
      <c r="B86" s="1368"/>
      <c r="C86" s="1374"/>
      <c r="D86" s="1373" t="s">
        <v>41</v>
      </c>
      <c r="E86" s="124" t="s">
        <v>146</v>
      </c>
      <c r="F86" s="1730" t="s">
        <v>340</v>
      </c>
      <c r="G86" s="931" t="s">
        <v>44</v>
      </c>
      <c r="H86" s="842" t="s">
        <v>40</v>
      </c>
      <c r="I86" s="933" t="s">
        <v>253</v>
      </c>
      <c r="J86" s="1393" t="s">
        <v>92</v>
      </c>
      <c r="K86" s="1394"/>
      <c r="L86" s="1395"/>
      <c r="M86" s="1396"/>
      <c r="N86" s="1397"/>
      <c r="O86" s="1394"/>
      <c r="P86" s="1395"/>
      <c r="Q86" s="1396"/>
      <c r="R86" s="1398"/>
      <c r="S86" s="1399">
        <f>+T86+V86</f>
        <v>0</v>
      </c>
      <c r="T86" s="1399">
        <v>0</v>
      </c>
      <c r="U86" s="1399"/>
      <c r="V86" s="1400">
        <v>0</v>
      </c>
      <c r="W86" s="1401">
        <v>50</v>
      </c>
      <c r="X86" s="1402">
        <v>50</v>
      </c>
      <c r="Y86" s="1403" t="s">
        <v>280</v>
      </c>
      <c r="Z86" s="1391"/>
      <c r="AA86" s="1391"/>
      <c r="AB86" s="1392">
        <v>1</v>
      </c>
      <c r="AD86" s="13"/>
    </row>
    <row r="87" spans="1:31" ht="15.75" customHeight="1" thickBot="1" x14ac:dyDescent="0.25">
      <c r="A87" s="815"/>
      <c r="B87" s="1138"/>
      <c r="C87" s="831"/>
      <c r="D87" s="832"/>
      <c r="E87" s="833"/>
      <c r="F87" s="834"/>
      <c r="G87" s="835"/>
      <c r="H87" s="836"/>
      <c r="I87" s="2401" t="s">
        <v>225</v>
      </c>
      <c r="J87" s="2402"/>
      <c r="K87" s="837">
        <f>SUM(K79:K86)</f>
        <v>8456.5</v>
      </c>
      <c r="L87" s="837">
        <f t="shared" ref="L87:X87" si="8">SUM(L79:L86)</f>
        <v>8456.5</v>
      </c>
      <c r="M87" s="837">
        <f t="shared" si="8"/>
        <v>0</v>
      </c>
      <c r="N87" s="837">
        <f t="shared" si="8"/>
        <v>0</v>
      </c>
      <c r="O87" s="837">
        <f>SUM(O79:O86)</f>
        <v>9069.5999999999985</v>
      </c>
      <c r="P87" s="837">
        <f t="shared" si="8"/>
        <v>9036.5999999999985</v>
      </c>
      <c r="Q87" s="837">
        <f t="shared" si="8"/>
        <v>0</v>
      </c>
      <c r="R87" s="837">
        <f t="shared" si="8"/>
        <v>33</v>
      </c>
      <c r="S87" s="837">
        <f t="shared" si="8"/>
        <v>0</v>
      </c>
      <c r="T87" s="837">
        <f t="shared" si="8"/>
        <v>0</v>
      </c>
      <c r="U87" s="837">
        <f t="shared" si="8"/>
        <v>0</v>
      </c>
      <c r="V87" s="837">
        <f t="shared" si="8"/>
        <v>0</v>
      </c>
      <c r="W87" s="837">
        <f>SUM(W79:W86)</f>
        <v>7364.2</v>
      </c>
      <c r="X87" s="837">
        <f t="shared" si="8"/>
        <v>7537.4</v>
      </c>
      <c r="Y87" s="2475"/>
      <c r="Z87" s="2476"/>
      <c r="AA87" s="2476"/>
      <c r="AB87" s="2477"/>
    </row>
    <row r="88" spans="1:31" ht="27.75" customHeight="1" x14ac:dyDescent="0.2">
      <c r="A88" s="2297" t="s">
        <v>9</v>
      </c>
      <c r="B88" s="2112" t="s">
        <v>9</v>
      </c>
      <c r="C88" s="2121" t="s">
        <v>54</v>
      </c>
      <c r="D88" s="2055"/>
      <c r="E88" s="2438" t="s">
        <v>305</v>
      </c>
      <c r="F88" s="2124"/>
      <c r="G88" s="2127" t="s">
        <v>38</v>
      </c>
      <c r="H88" s="2063" t="s">
        <v>95</v>
      </c>
      <c r="I88" s="2444" t="s">
        <v>228</v>
      </c>
      <c r="J88" s="347" t="s">
        <v>36</v>
      </c>
      <c r="K88" s="776">
        <f>L88+N88</f>
        <v>610.4</v>
      </c>
      <c r="L88" s="777">
        <v>610.4</v>
      </c>
      <c r="M88" s="777"/>
      <c r="N88" s="778"/>
      <c r="O88" s="1058">
        <f>+P88+R88</f>
        <v>629</v>
      </c>
      <c r="P88" s="1059">
        <f>556+73</f>
        <v>629</v>
      </c>
      <c r="Q88" s="777"/>
      <c r="R88" s="779"/>
      <c r="S88" s="348">
        <f>T88+V88</f>
        <v>0</v>
      </c>
      <c r="T88" s="276">
        <v>0</v>
      </c>
      <c r="U88" s="276"/>
      <c r="V88" s="277"/>
      <c r="W88" s="80">
        <f>50+577</f>
        <v>627</v>
      </c>
      <c r="X88" s="378">
        <f>50+577</f>
        <v>627</v>
      </c>
      <c r="Y88" s="1117" t="s">
        <v>364</v>
      </c>
      <c r="Z88" s="1143">
        <v>65</v>
      </c>
      <c r="AA88" s="1143">
        <v>65</v>
      </c>
      <c r="AB88" s="1144">
        <v>65</v>
      </c>
      <c r="AD88" s="89"/>
    </row>
    <row r="89" spans="1:31" ht="25.5" customHeight="1" x14ac:dyDescent="0.2">
      <c r="A89" s="2293"/>
      <c r="B89" s="2101"/>
      <c r="C89" s="2122"/>
      <c r="D89" s="2430"/>
      <c r="E89" s="2439"/>
      <c r="F89" s="2125"/>
      <c r="G89" s="2092"/>
      <c r="H89" s="2064"/>
      <c r="I89" s="2445"/>
      <c r="J89" s="866" t="s">
        <v>36</v>
      </c>
      <c r="K89" s="892"/>
      <c r="L89" s="910"/>
      <c r="M89" s="910"/>
      <c r="N89" s="956"/>
      <c r="O89" s="867">
        <f>+P89+R89</f>
        <v>25</v>
      </c>
      <c r="P89" s="886">
        <v>25</v>
      </c>
      <c r="Q89" s="910"/>
      <c r="R89" s="894"/>
      <c r="S89" s="911"/>
      <c r="T89" s="872"/>
      <c r="U89" s="872"/>
      <c r="V89" s="873"/>
      <c r="W89" s="898"/>
      <c r="X89" s="912"/>
      <c r="Y89" s="1370"/>
      <c r="Z89" s="1371"/>
      <c r="AA89" s="1371"/>
      <c r="AB89" s="1372"/>
    </row>
    <row r="90" spans="1:31" ht="27" customHeight="1" x14ac:dyDescent="0.2">
      <c r="A90" s="2293"/>
      <c r="B90" s="2101"/>
      <c r="C90" s="2122"/>
      <c r="D90" s="2430"/>
      <c r="E90" s="1386" t="s">
        <v>306</v>
      </c>
      <c r="F90" s="2125"/>
      <c r="G90" s="2092"/>
      <c r="H90" s="2064"/>
      <c r="I90" s="2445"/>
      <c r="J90" s="151" t="s">
        <v>36</v>
      </c>
      <c r="K90" s="683">
        <f>L90+N90</f>
        <v>0</v>
      </c>
      <c r="L90" s="1165"/>
      <c r="M90" s="1165"/>
      <c r="N90" s="686"/>
      <c r="O90" s="698">
        <f>+P90+R90</f>
        <v>50</v>
      </c>
      <c r="P90" s="1167">
        <v>50</v>
      </c>
      <c r="Q90" s="1165"/>
      <c r="R90" s="1166"/>
      <c r="S90" s="222">
        <f>T90+V90</f>
        <v>0</v>
      </c>
      <c r="T90" s="1169"/>
      <c r="U90" s="1169"/>
      <c r="V90" s="227"/>
      <c r="W90" s="70"/>
      <c r="X90" s="109"/>
      <c r="Y90" s="1118" t="s">
        <v>307</v>
      </c>
      <c r="Z90" s="1143">
        <v>5</v>
      </c>
      <c r="AA90" s="1143"/>
      <c r="AB90" s="1144"/>
    </row>
    <row r="91" spans="1:31" ht="19.5" customHeight="1" thickBot="1" x14ac:dyDescent="0.25">
      <c r="A91" s="2294"/>
      <c r="B91" s="2113"/>
      <c r="C91" s="2123"/>
      <c r="D91" s="2056"/>
      <c r="E91" s="1387"/>
      <c r="F91" s="2126"/>
      <c r="G91" s="2128"/>
      <c r="H91" s="2065"/>
      <c r="I91" s="1388"/>
      <c r="J91" s="288" t="s">
        <v>10</v>
      </c>
      <c r="K91" s="250">
        <f t="shared" ref="K91:X91" si="9">SUM(K88:K90)</f>
        <v>610.4</v>
      </c>
      <c r="L91" s="250">
        <f t="shared" si="9"/>
        <v>610.4</v>
      </c>
      <c r="M91" s="250">
        <f t="shared" si="9"/>
        <v>0</v>
      </c>
      <c r="N91" s="255">
        <f t="shared" si="9"/>
        <v>0</v>
      </c>
      <c r="O91" s="243">
        <f t="shared" si="9"/>
        <v>704</v>
      </c>
      <c r="P91" s="250">
        <f t="shared" si="9"/>
        <v>704</v>
      </c>
      <c r="Q91" s="250">
        <f t="shared" si="9"/>
        <v>0</v>
      </c>
      <c r="R91" s="253">
        <f t="shared" si="9"/>
        <v>0</v>
      </c>
      <c r="S91" s="250">
        <f t="shared" si="9"/>
        <v>0</v>
      </c>
      <c r="T91" s="250">
        <f t="shared" si="9"/>
        <v>0</v>
      </c>
      <c r="U91" s="250">
        <f t="shared" si="9"/>
        <v>0</v>
      </c>
      <c r="V91" s="255">
        <f t="shared" si="9"/>
        <v>0</v>
      </c>
      <c r="W91" s="286">
        <f t="shared" si="9"/>
        <v>627</v>
      </c>
      <c r="X91" s="250">
        <f t="shared" si="9"/>
        <v>627</v>
      </c>
      <c r="Y91" s="18"/>
      <c r="Z91" s="1001"/>
      <c r="AA91" s="1001"/>
      <c r="AB91" s="1002"/>
    </row>
    <row r="92" spans="1:31" ht="18.75" customHeight="1" x14ac:dyDescent="0.2">
      <c r="A92" s="2297" t="s">
        <v>9</v>
      </c>
      <c r="B92" s="2112" t="s">
        <v>9</v>
      </c>
      <c r="C92" s="2121" t="s">
        <v>41</v>
      </c>
      <c r="D92" s="2433"/>
      <c r="E92" s="2108" t="s">
        <v>295</v>
      </c>
      <c r="F92" s="2118" t="s">
        <v>169</v>
      </c>
      <c r="G92" s="2043" t="s">
        <v>53</v>
      </c>
      <c r="H92" s="1988" t="s">
        <v>90</v>
      </c>
      <c r="I92" s="2467" t="s">
        <v>231</v>
      </c>
      <c r="J92" s="12" t="s">
        <v>92</v>
      </c>
      <c r="K92" s="773">
        <f>L92+N92</f>
        <v>445</v>
      </c>
      <c r="L92" s="774"/>
      <c r="M92" s="774"/>
      <c r="N92" s="908">
        <v>445</v>
      </c>
      <c r="O92" s="716">
        <f>P92+R92</f>
        <v>366.4</v>
      </c>
      <c r="P92" s="743"/>
      <c r="Q92" s="743"/>
      <c r="R92" s="744">
        <v>366.4</v>
      </c>
      <c r="S92" s="222">
        <f>T92+V92</f>
        <v>0</v>
      </c>
      <c r="T92" s="231"/>
      <c r="U92" s="231"/>
      <c r="V92" s="232">
        <v>0</v>
      </c>
      <c r="W92" s="319"/>
      <c r="X92" s="127"/>
      <c r="Y92" s="2057" t="s">
        <v>251</v>
      </c>
      <c r="Z92" s="152">
        <v>100</v>
      </c>
      <c r="AA92" s="152"/>
      <c r="AB92" s="153"/>
    </row>
    <row r="93" spans="1:31" ht="18.75" customHeight="1" x14ac:dyDescent="0.2">
      <c r="A93" s="2293"/>
      <c r="B93" s="2101"/>
      <c r="C93" s="2122"/>
      <c r="D93" s="2478"/>
      <c r="E93" s="2116"/>
      <c r="F93" s="2119"/>
      <c r="G93" s="2044"/>
      <c r="H93" s="1989"/>
      <c r="I93" s="2441"/>
      <c r="J93" s="12" t="s">
        <v>36</v>
      </c>
      <c r="K93" s="773">
        <f>N93</f>
        <v>0.1</v>
      </c>
      <c r="L93" s="774"/>
      <c r="M93" s="774"/>
      <c r="N93" s="908">
        <v>0.1</v>
      </c>
      <c r="O93" s="683">
        <f>R93</f>
        <v>0.1</v>
      </c>
      <c r="P93" s="701"/>
      <c r="Q93" s="701"/>
      <c r="R93" s="745">
        <v>0.1</v>
      </c>
      <c r="S93" s="222">
        <f>V93</f>
        <v>0</v>
      </c>
      <c r="T93" s="231"/>
      <c r="U93" s="231"/>
      <c r="V93" s="232">
        <v>0</v>
      </c>
      <c r="W93" s="84"/>
      <c r="X93" s="128"/>
      <c r="Y93" s="2176"/>
      <c r="Z93" s="79"/>
      <c r="AA93" s="79"/>
      <c r="AB93" s="154"/>
    </row>
    <row r="94" spans="1:31" ht="17.25" customHeight="1" x14ac:dyDescent="0.2">
      <c r="A94" s="2293"/>
      <c r="B94" s="2101"/>
      <c r="C94" s="2122"/>
      <c r="D94" s="2478"/>
      <c r="E94" s="2116"/>
      <c r="F94" s="2119"/>
      <c r="G94" s="2044"/>
      <c r="H94" s="1989"/>
      <c r="I94" s="2558"/>
      <c r="J94" s="12" t="s">
        <v>93</v>
      </c>
      <c r="K94" s="773">
        <f>L94+N94</f>
        <v>93.4</v>
      </c>
      <c r="L94" s="774"/>
      <c r="M94" s="774"/>
      <c r="N94" s="908">
        <v>93.4</v>
      </c>
      <c r="O94" s="683">
        <f>R94</f>
        <v>77</v>
      </c>
      <c r="P94" s="701"/>
      <c r="Q94" s="701"/>
      <c r="R94" s="745">
        <v>77</v>
      </c>
      <c r="S94" s="222">
        <f>T94+V94</f>
        <v>0</v>
      </c>
      <c r="T94" s="231"/>
      <c r="U94" s="231"/>
      <c r="V94" s="232">
        <v>0</v>
      </c>
      <c r="W94" s="84"/>
      <c r="X94" s="82"/>
      <c r="Y94" s="939" t="s">
        <v>378</v>
      </c>
      <c r="Z94" s="130">
        <v>100</v>
      </c>
      <c r="AA94" s="130"/>
      <c r="AB94" s="131"/>
    </row>
    <row r="95" spans="1:31" ht="15" customHeight="1" thickBot="1" x14ac:dyDescent="0.25">
      <c r="A95" s="2294"/>
      <c r="B95" s="2113"/>
      <c r="C95" s="2123"/>
      <c r="D95" s="2434"/>
      <c r="E95" s="2117"/>
      <c r="F95" s="2120"/>
      <c r="G95" s="2075"/>
      <c r="H95" s="1990"/>
      <c r="I95" s="93"/>
      <c r="J95" s="288" t="s">
        <v>10</v>
      </c>
      <c r="K95" s="250">
        <f>SUM(K92:K94)</f>
        <v>538.5</v>
      </c>
      <c r="L95" s="250">
        <f t="shared" ref="L95:X95" si="10">SUM(L92:L94)</f>
        <v>0</v>
      </c>
      <c r="M95" s="250">
        <f t="shared" si="10"/>
        <v>0</v>
      </c>
      <c r="N95" s="255">
        <f t="shared" si="10"/>
        <v>538.5</v>
      </c>
      <c r="O95" s="243">
        <f>SUM(O92:O94)</f>
        <v>443.5</v>
      </c>
      <c r="P95" s="250">
        <f t="shared" si="10"/>
        <v>0</v>
      </c>
      <c r="Q95" s="250">
        <f t="shared" si="10"/>
        <v>0</v>
      </c>
      <c r="R95" s="253">
        <f t="shared" si="10"/>
        <v>443.5</v>
      </c>
      <c r="S95" s="250">
        <f t="shared" si="10"/>
        <v>0</v>
      </c>
      <c r="T95" s="250">
        <f t="shared" si="10"/>
        <v>0</v>
      </c>
      <c r="U95" s="250">
        <f t="shared" si="10"/>
        <v>0</v>
      </c>
      <c r="V95" s="255">
        <f t="shared" si="10"/>
        <v>0</v>
      </c>
      <c r="W95" s="286">
        <f>SUM(W92:W94)</f>
        <v>0</v>
      </c>
      <c r="X95" s="255">
        <f t="shared" si="10"/>
        <v>0</v>
      </c>
      <c r="Y95" s="935"/>
      <c r="Z95" s="936"/>
      <c r="AA95" s="937"/>
      <c r="AB95" s="938"/>
      <c r="AC95" s="14"/>
      <c r="AE95" s="13"/>
    </row>
    <row r="96" spans="1:31" ht="20.25" customHeight="1" x14ac:dyDescent="0.2">
      <c r="A96" s="2297" t="s">
        <v>9</v>
      </c>
      <c r="B96" s="2112" t="s">
        <v>9</v>
      </c>
      <c r="C96" s="2428" t="s">
        <v>55</v>
      </c>
      <c r="D96" s="1139"/>
      <c r="E96" s="2108" t="s">
        <v>179</v>
      </c>
      <c r="F96" s="1140"/>
      <c r="G96" s="192"/>
      <c r="H96" s="196"/>
      <c r="I96" s="1742"/>
      <c r="J96" s="746" t="s">
        <v>36</v>
      </c>
      <c r="K96" s="747"/>
      <c r="L96" s="748"/>
      <c r="M96" s="748"/>
      <c r="N96" s="749"/>
      <c r="O96" s="747"/>
      <c r="P96" s="748"/>
      <c r="Q96" s="750"/>
      <c r="R96" s="948"/>
      <c r="S96" s="1083"/>
      <c r="T96" s="257"/>
      <c r="U96" s="257"/>
      <c r="V96" s="258"/>
      <c r="W96" s="1749"/>
      <c r="X96" s="751"/>
      <c r="Y96" s="2110" t="s">
        <v>377</v>
      </c>
      <c r="Z96" s="190">
        <f>Z98+Z100+Z101+Z103</f>
        <v>2</v>
      </c>
      <c r="AA96" s="190">
        <f t="shared" ref="AA96:AB96" si="11">AA98+AA100+AA101+AA103</f>
        <v>0</v>
      </c>
      <c r="AB96" s="1620">
        <f t="shared" si="11"/>
        <v>2</v>
      </c>
    </row>
    <row r="97" spans="1:31" ht="18.75" customHeight="1" x14ac:dyDescent="0.2">
      <c r="A97" s="2293"/>
      <c r="B97" s="2101"/>
      <c r="C97" s="2429"/>
      <c r="D97" s="752"/>
      <c r="E97" s="2109"/>
      <c r="F97" s="1152"/>
      <c r="G97" s="202"/>
      <c r="H97" s="203"/>
      <c r="I97" s="1743"/>
      <c r="J97" s="753"/>
      <c r="K97" s="754"/>
      <c r="L97" s="755"/>
      <c r="M97" s="755"/>
      <c r="N97" s="756"/>
      <c r="O97" s="757"/>
      <c r="P97" s="758"/>
      <c r="Q97" s="759"/>
      <c r="R97" s="949"/>
      <c r="S97" s="1084"/>
      <c r="T97" s="260"/>
      <c r="U97" s="260"/>
      <c r="V97" s="261"/>
      <c r="W97" s="1750"/>
      <c r="X97" s="760"/>
      <c r="Y97" s="2111"/>
      <c r="Z97" s="189"/>
      <c r="AA97" s="1735"/>
      <c r="AB97" s="1737"/>
    </row>
    <row r="98" spans="1:31" ht="23.25" customHeight="1" x14ac:dyDescent="0.2">
      <c r="A98" s="2293"/>
      <c r="B98" s="2101"/>
      <c r="C98" s="2429"/>
      <c r="D98" s="943" t="s">
        <v>9</v>
      </c>
      <c r="E98" s="2490" t="s">
        <v>175</v>
      </c>
      <c r="F98" s="2492" t="s">
        <v>338</v>
      </c>
      <c r="G98" s="2173" t="s">
        <v>53</v>
      </c>
      <c r="H98" s="198">
        <v>5</v>
      </c>
      <c r="I98" s="1744" t="s">
        <v>232</v>
      </c>
      <c r="J98" s="1599" t="s">
        <v>36</v>
      </c>
      <c r="K98" s="1600">
        <f>L98</f>
        <v>19.2</v>
      </c>
      <c r="L98" s="1601">
        <v>19.2</v>
      </c>
      <c r="M98" s="1601"/>
      <c r="N98" s="1602"/>
      <c r="O98" s="1603">
        <f>P98+R98</f>
        <v>22</v>
      </c>
      <c r="P98" s="1604">
        <v>22</v>
      </c>
      <c r="Q98" s="1605"/>
      <c r="R98" s="1606"/>
      <c r="S98" s="1607"/>
      <c r="T98" s="1608"/>
      <c r="U98" s="1608"/>
      <c r="V98" s="1609"/>
      <c r="W98" s="1751"/>
      <c r="X98" s="1610"/>
      <c r="Y98" s="1614" t="s">
        <v>365</v>
      </c>
      <c r="Z98" s="1073">
        <v>1</v>
      </c>
      <c r="AA98" s="1615"/>
      <c r="AB98" s="1616"/>
    </row>
    <row r="99" spans="1:31" ht="18" customHeight="1" x14ac:dyDescent="0.2">
      <c r="A99" s="2293"/>
      <c r="B99" s="2101"/>
      <c r="C99" s="2429"/>
      <c r="D99" s="943"/>
      <c r="E99" s="2491"/>
      <c r="F99" s="2493"/>
      <c r="G99" s="2044"/>
      <c r="H99" s="198"/>
      <c r="I99" s="1744"/>
      <c r="J99" s="1586" t="s">
        <v>92</v>
      </c>
      <c r="K99" s="1587">
        <f>L99</f>
        <v>108.4</v>
      </c>
      <c r="L99" s="1588">
        <v>108.4</v>
      </c>
      <c r="M99" s="1588"/>
      <c r="N99" s="1589"/>
      <c r="O99" s="1590">
        <f>P99+R99</f>
        <v>53.5</v>
      </c>
      <c r="P99" s="1591">
        <v>53.5</v>
      </c>
      <c r="Q99" s="1592"/>
      <c r="R99" s="1593"/>
      <c r="S99" s="1594"/>
      <c r="T99" s="1595"/>
      <c r="U99" s="1595"/>
      <c r="V99" s="1596"/>
      <c r="W99" s="1752"/>
      <c r="X99" s="1597"/>
      <c r="Y99" s="1618"/>
      <c r="Z99" s="1085"/>
      <c r="AA99" s="1598"/>
      <c r="AB99" s="1617"/>
    </row>
    <row r="100" spans="1:31" ht="45" customHeight="1" x14ac:dyDescent="0.2">
      <c r="A100" s="2293"/>
      <c r="B100" s="2101"/>
      <c r="C100" s="2429"/>
      <c r="D100" s="943"/>
      <c r="E100" s="1389" t="s">
        <v>371</v>
      </c>
      <c r="F100" s="941" t="s">
        <v>183</v>
      </c>
      <c r="G100" s="2095"/>
      <c r="H100" s="198"/>
      <c r="I100" s="1745"/>
      <c r="J100" s="1586" t="s">
        <v>94</v>
      </c>
      <c r="K100" s="1587"/>
      <c r="L100" s="1588"/>
      <c r="M100" s="1588"/>
      <c r="N100" s="1589"/>
      <c r="O100" s="1590"/>
      <c r="P100" s="1591"/>
      <c r="Q100" s="1592"/>
      <c r="R100" s="1593"/>
      <c r="S100" s="1594"/>
      <c r="T100" s="1595"/>
      <c r="U100" s="1595"/>
      <c r="V100" s="1596"/>
      <c r="W100" s="1752"/>
      <c r="X100" s="1597"/>
      <c r="Y100" s="185" t="s">
        <v>365</v>
      </c>
      <c r="Z100" s="1734">
        <v>1</v>
      </c>
      <c r="AA100" s="1598"/>
      <c r="AB100" s="1617"/>
    </row>
    <row r="101" spans="1:31" ht="27" customHeight="1" x14ac:dyDescent="0.2">
      <c r="A101" s="2293"/>
      <c r="B101" s="2101"/>
      <c r="C101" s="2429"/>
      <c r="D101" s="2435" t="s">
        <v>11</v>
      </c>
      <c r="E101" s="2488" t="s">
        <v>323</v>
      </c>
      <c r="F101" s="2485" t="s">
        <v>91</v>
      </c>
      <c r="G101" s="2173" t="s">
        <v>53</v>
      </c>
      <c r="H101" s="2161" t="s">
        <v>90</v>
      </c>
      <c r="I101" s="2486" t="s">
        <v>232</v>
      </c>
      <c r="J101" s="971" t="s">
        <v>36</v>
      </c>
      <c r="K101" s="879">
        <f>N101</f>
        <v>25</v>
      </c>
      <c r="L101" s="880"/>
      <c r="M101" s="880"/>
      <c r="N101" s="878">
        <v>25</v>
      </c>
      <c r="O101" s="879"/>
      <c r="P101" s="880"/>
      <c r="Q101" s="880"/>
      <c r="R101" s="881"/>
      <c r="S101" s="882"/>
      <c r="T101" s="883"/>
      <c r="U101" s="883"/>
      <c r="V101" s="1034"/>
      <c r="W101" s="1753">
        <v>25</v>
      </c>
      <c r="X101" s="1302">
        <v>75</v>
      </c>
      <c r="Y101" s="1579" t="s">
        <v>366</v>
      </c>
      <c r="Z101" s="1580"/>
      <c r="AA101" s="1581"/>
      <c r="AB101" s="1582">
        <v>1</v>
      </c>
      <c r="AE101" s="13"/>
    </row>
    <row r="102" spans="1:31" ht="27" customHeight="1" x14ac:dyDescent="0.2">
      <c r="A102" s="2293"/>
      <c r="B102" s="2101"/>
      <c r="C102" s="2429"/>
      <c r="D102" s="2436"/>
      <c r="E102" s="2489"/>
      <c r="F102" s="2105"/>
      <c r="G102" s="2095"/>
      <c r="H102" s="2096"/>
      <c r="I102" s="2494"/>
      <c r="J102" s="761" t="s">
        <v>92</v>
      </c>
      <c r="K102" s="683"/>
      <c r="L102" s="684"/>
      <c r="M102" s="684"/>
      <c r="N102" s="686"/>
      <c r="O102" s="683"/>
      <c r="P102" s="684"/>
      <c r="Q102" s="684"/>
      <c r="R102" s="685"/>
      <c r="S102" s="222"/>
      <c r="T102" s="223"/>
      <c r="U102" s="223"/>
      <c r="V102" s="239"/>
      <c r="W102" s="1754"/>
      <c r="X102" s="703"/>
      <c r="Y102" s="1583"/>
      <c r="Z102" s="1584"/>
      <c r="AA102" s="1584"/>
      <c r="AB102" s="1585"/>
      <c r="AE102" s="13"/>
    </row>
    <row r="103" spans="1:31" ht="25.5" customHeight="1" x14ac:dyDescent="0.2">
      <c r="A103" s="2293"/>
      <c r="B103" s="2101"/>
      <c r="C103" s="2429"/>
      <c r="D103" s="2435" t="s">
        <v>38</v>
      </c>
      <c r="E103" s="2166" t="s">
        <v>324</v>
      </c>
      <c r="F103" s="2485" t="s">
        <v>91</v>
      </c>
      <c r="G103" s="2160" t="s">
        <v>44</v>
      </c>
      <c r="H103" s="2161" t="s">
        <v>90</v>
      </c>
      <c r="I103" s="2486" t="s">
        <v>232</v>
      </c>
      <c r="J103" s="875" t="s">
        <v>36</v>
      </c>
      <c r="K103" s="879">
        <f>N103</f>
        <v>25</v>
      </c>
      <c r="L103" s="880"/>
      <c r="M103" s="880"/>
      <c r="N103" s="878">
        <v>25</v>
      </c>
      <c r="O103" s="974"/>
      <c r="P103" s="880"/>
      <c r="Q103" s="880"/>
      <c r="R103" s="881"/>
      <c r="S103" s="882"/>
      <c r="T103" s="883"/>
      <c r="U103" s="883"/>
      <c r="V103" s="1034"/>
      <c r="W103" s="1031">
        <v>50</v>
      </c>
      <c r="X103" s="885">
        <v>50</v>
      </c>
      <c r="Y103" s="1740" t="s">
        <v>366</v>
      </c>
      <c r="Z103" s="1734"/>
      <c r="AA103" s="1734"/>
      <c r="AB103" s="1736">
        <v>1</v>
      </c>
    </row>
    <row r="104" spans="1:31" ht="18.75" customHeight="1" x14ac:dyDescent="0.2">
      <c r="A104" s="2293"/>
      <c r="B104" s="2101"/>
      <c r="C104" s="2429"/>
      <c r="D104" s="2436"/>
      <c r="E104" s="2437"/>
      <c r="F104" s="1983"/>
      <c r="G104" s="2092"/>
      <c r="H104" s="1989"/>
      <c r="I104" s="2487"/>
      <c r="J104" s="151" t="s">
        <v>92</v>
      </c>
      <c r="K104" s="683">
        <f>L104+N104</f>
        <v>0</v>
      </c>
      <c r="L104" s="704"/>
      <c r="M104" s="704"/>
      <c r="N104" s="686"/>
      <c r="O104" s="683"/>
      <c r="P104" s="704"/>
      <c r="Q104" s="704"/>
      <c r="R104" s="858"/>
      <c r="S104" s="222"/>
      <c r="T104" s="223"/>
      <c r="U104" s="223"/>
      <c r="V104" s="239"/>
      <c r="W104" s="1755"/>
      <c r="X104" s="37"/>
      <c r="Y104" s="1733"/>
      <c r="Z104" s="1735"/>
      <c r="AA104" s="1735"/>
      <c r="AB104" s="1737"/>
    </row>
    <row r="105" spans="1:31" ht="56.25" customHeight="1" x14ac:dyDescent="0.2">
      <c r="A105" s="814"/>
      <c r="B105" s="1731"/>
      <c r="C105" s="1035"/>
      <c r="D105" s="1741" t="s">
        <v>53</v>
      </c>
      <c r="E105" s="1411" t="s">
        <v>341</v>
      </c>
      <c r="F105" s="1739"/>
      <c r="G105" s="1738"/>
      <c r="H105" s="1732"/>
      <c r="I105" s="1746"/>
      <c r="J105" s="151"/>
      <c r="K105" s="714"/>
      <c r="L105" s="1359"/>
      <c r="M105" s="1359"/>
      <c r="N105" s="1747"/>
      <c r="O105" s="683"/>
      <c r="P105" s="1359"/>
      <c r="Q105" s="1359"/>
      <c r="R105" s="390"/>
      <c r="S105" s="222"/>
      <c r="T105" s="222"/>
      <c r="U105" s="222"/>
      <c r="V105" s="1748"/>
      <c r="W105" s="1076"/>
      <c r="X105" s="129"/>
      <c r="Y105" s="1761" t="s">
        <v>389</v>
      </c>
      <c r="Z105" s="1762" t="s">
        <v>342</v>
      </c>
      <c r="AA105" s="1759"/>
      <c r="AB105" s="1760"/>
    </row>
    <row r="106" spans="1:31" ht="15.75" customHeight="1" thickBot="1" x14ac:dyDescent="0.25">
      <c r="A106" s="815"/>
      <c r="B106" s="1115"/>
      <c r="C106" s="831"/>
      <c r="D106" s="832"/>
      <c r="E106" s="833"/>
      <c r="F106" s="834"/>
      <c r="G106" s="835"/>
      <c r="H106" s="836"/>
      <c r="I106" s="2401" t="s">
        <v>225</v>
      </c>
      <c r="J106" s="2402"/>
      <c r="K106" s="839">
        <f t="shared" ref="K106:X106" si="12">SUM(K98:K104)</f>
        <v>177.60000000000002</v>
      </c>
      <c r="L106" s="839">
        <f t="shared" si="12"/>
        <v>127.60000000000001</v>
      </c>
      <c r="M106" s="839">
        <f t="shared" si="12"/>
        <v>0</v>
      </c>
      <c r="N106" s="859">
        <f t="shared" si="12"/>
        <v>50</v>
      </c>
      <c r="O106" s="837">
        <f t="shared" si="12"/>
        <v>75.5</v>
      </c>
      <c r="P106" s="839">
        <f t="shared" si="12"/>
        <v>75.5</v>
      </c>
      <c r="Q106" s="839">
        <f t="shared" si="12"/>
        <v>0</v>
      </c>
      <c r="R106" s="860">
        <f t="shared" si="12"/>
        <v>0</v>
      </c>
      <c r="S106" s="839">
        <f t="shared" si="12"/>
        <v>0</v>
      </c>
      <c r="T106" s="839">
        <f t="shared" si="12"/>
        <v>0</v>
      </c>
      <c r="U106" s="839">
        <f t="shared" si="12"/>
        <v>0</v>
      </c>
      <c r="V106" s="839">
        <f t="shared" si="12"/>
        <v>0</v>
      </c>
      <c r="W106" s="859">
        <f t="shared" si="12"/>
        <v>75</v>
      </c>
      <c r="X106" s="857">
        <f t="shared" si="12"/>
        <v>125</v>
      </c>
      <c r="Y106" s="2475"/>
      <c r="Z106" s="2476"/>
      <c r="AA106" s="2476"/>
      <c r="AB106" s="2477"/>
    </row>
    <row r="107" spans="1:31" ht="15.75" customHeight="1" x14ac:dyDescent="0.2">
      <c r="A107" s="1164" t="s">
        <v>9</v>
      </c>
      <c r="B107" s="1114" t="s">
        <v>9</v>
      </c>
      <c r="C107" s="2121" t="s">
        <v>44</v>
      </c>
      <c r="D107" s="2433"/>
      <c r="E107" s="2479" t="s">
        <v>350</v>
      </c>
      <c r="F107" s="1120"/>
      <c r="G107" s="1142" t="s">
        <v>44</v>
      </c>
      <c r="H107" s="1104" t="s">
        <v>40</v>
      </c>
      <c r="I107" s="2446" t="s">
        <v>236</v>
      </c>
      <c r="J107" s="373" t="s">
        <v>36</v>
      </c>
      <c r="K107" s="767">
        <f>L107+N107</f>
        <v>0</v>
      </c>
      <c r="L107" s="767"/>
      <c r="M107" s="849"/>
      <c r="N107" s="331"/>
      <c r="O107" s="1323">
        <f>+P107+R107</f>
        <v>145.19999999999999</v>
      </c>
      <c r="P107" s="767"/>
      <c r="Q107" s="849"/>
      <c r="R107" s="336">
        <v>145.19999999999999</v>
      </c>
      <c r="S107" s="767">
        <f>T107+V107</f>
        <v>0</v>
      </c>
      <c r="T107" s="767"/>
      <c r="U107" s="849"/>
      <c r="V107" s="331"/>
      <c r="W107" s="332"/>
      <c r="X107" s="331"/>
      <c r="Y107" s="1134" t="s">
        <v>375</v>
      </c>
      <c r="Z107" s="1642">
        <v>210</v>
      </c>
      <c r="AA107" s="1640"/>
      <c r="AB107" s="1641"/>
    </row>
    <row r="108" spans="1:31" ht="18.75" customHeight="1" thickBot="1" x14ac:dyDescent="0.25">
      <c r="A108" s="814"/>
      <c r="B108" s="1137"/>
      <c r="C108" s="2123"/>
      <c r="D108" s="2434"/>
      <c r="E108" s="2305"/>
      <c r="F108" s="1015"/>
      <c r="G108" s="1016"/>
      <c r="H108" s="1014"/>
      <c r="I108" s="2480"/>
      <c r="J108" s="288" t="s">
        <v>10</v>
      </c>
      <c r="K108" s="250">
        <f t="shared" ref="K108:X110" si="13">SUM(K107:K107)</f>
        <v>0</v>
      </c>
      <c r="L108" s="244">
        <f t="shared" si="13"/>
        <v>0</v>
      </c>
      <c r="M108" s="244">
        <f t="shared" si="13"/>
        <v>0</v>
      </c>
      <c r="N108" s="245">
        <f t="shared" si="13"/>
        <v>0</v>
      </c>
      <c r="O108" s="250">
        <f t="shared" si="13"/>
        <v>145.19999999999999</v>
      </c>
      <c r="P108" s="244">
        <f t="shared" si="13"/>
        <v>0</v>
      </c>
      <c r="Q108" s="244">
        <f t="shared" si="13"/>
        <v>0</v>
      </c>
      <c r="R108" s="245">
        <f t="shared" si="13"/>
        <v>145.19999999999999</v>
      </c>
      <c r="S108" s="250">
        <f t="shared" si="13"/>
        <v>0</v>
      </c>
      <c r="T108" s="244">
        <f t="shared" si="13"/>
        <v>0</v>
      </c>
      <c r="U108" s="244">
        <f t="shared" si="13"/>
        <v>0</v>
      </c>
      <c r="V108" s="244">
        <f t="shared" si="13"/>
        <v>0</v>
      </c>
      <c r="W108" s="286">
        <f t="shared" si="13"/>
        <v>0</v>
      </c>
      <c r="X108" s="286">
        <f t="shared" si="13"/>
        <v>0</v>
      </c>
      <c r="Y108" s="18"/>
      <c r="Z108" s="1001"/>
      <c r="AA108" s="1001"/>
      <c r="AB108" s="1002"/>
    </row>
    <row r="109" spans="1:31" ht="16.5" customHeight="1" x14ac:dyDescent="0.2">
      <c r="A109" s="2297" t="s">
        <v>9</v>
      </c>
      <c r="B109" s="2112" t="s">
        <v>9</v>
      </c>
      <c r="C109" s="2121" t="s">
        <v>161</v>
      </c>
      <c r="D109" s="2433"/>
      <c r="E109" s="2169" t="s">
        <v>129</v>
      </c>
      <c r="F109" s="2041"/>
      <c r="G109" s="2127" t="s">
        <v>54</v>
      </c>
      <c r="H109" s="1104" t="s">
        <v>40</v>
      </c>
      <c r="I109" s="2467" t="s">
        <v>250</v>
      </c>
      <c r="J109" s="15" t="s">
        <v>36</v>
      </c>
      <c r="K109" s="716">
        <f>L109+N109</f>
        <v>150</v>
      </c>
      <c r="L109" s="717">
        <v>150</v>
      </c>
      <c r="M109" s="717"/>
      <c r="N109" s="740"/>
      <c r="O109" s="741">
        <f>P109+R109</f>
        <v>300</v>
      </c>
      <c r="P109" s="742">
        <v>300</v>
      </c>
      <c r="Q109" s="742"/>
      <c r="R109" s="719"/>
      <c r="S109" s="238">
        <f>T109+V109</f>
        <v>0</v>
      </c>
      <c r="T109" s="223">
        <v>0</v>
      </c>
      <c r="U109" s="223"/>
      <c r="V109" s="224"/>
      <c r="W109" s="47">
        <v>200</v>
      </c>
      <c r="X109" s="47">
        <v>200</v>
      </c>
      <c r="Y109" s="1107" t="s">
        <v>57</v>
      </c>
      <c r="Z109" s="1307">
        <v>7</v>
      </c>
      <c r="AA109" s="1640">
        <v>4</v>
      </c>
      <c r="AB109" s="1641">
        <v>4</v>
      </c>
    </row>
    <row r="110" spans="1:31" ht="15.75" customHeight="1" thickBot="1" x14ac:dyDescent="0.25">
      <c r="A110" s="2294"/>
      <c r="B110" s="2113"/>
      <c r="C110" s="2123"/>
      <c r="D110" s="2434"/>
      <c r="E110" s="2017"/>
      <c r="F110" s="2068"/>
      <c r="G110" s="2128"/>
      <c r="H110" s="1106"/>
      <c r="I110" s="2482"/>
      <c r="J110" s="288" t="s">
        <v>10</v>
      </c>
      <c r="K110" s="250">
        <f t="shared" si="13"/>
        <v>150</v>
      </c>
      <c r="L110" s="244">
        <f t="shared" si="13"/>
        <v>150</v>
      </c>
      <c r="M110" s="244">
        <f t="shared" si="13"/>
        <v>0</v>
      </c>
      <c r="N110" s="245">
        <f t="shared" si="13"/>
        <v>0</v>
      </c>
      <c r="O110" s="250">
        <f t="shared" si="13"/>
        <v>300</v>
      </c>
      <c r="P110" s="244">
        <f t="shared" si="13"/>
        <v>300</v>
      </c>
      <c r="Q110" s="244">
        <f t="shared" si="13"/>
        <v>0</v>
      </c>
      <c r="R110" s="245">
        <f t="shared" si="13"/>
        <v>0</v>
      </c>
      <c r="S110" s="250">
        <f t="shared" si="13"/>
        <v>0</v>
      </c>
      <c r="T110" s="244">
        <f t="shared" si="13"/>
        <v>0</v>
      </c>
      <c r="U110" s="244">
        <f t="shared" si="13"/>
        <v>0</v>
      </c>
      <c r="V110" s="244">
        <f t="shared" si="13"/>
        <v>0</v>
      </c>
      <c r="W110" s="286">
        <f t="shared" si="13"/>
        <v>200</v>
      </c>
      <c r="X110" s="286">
        <f t="shared" si="13"/>
        <v>200</v>
      </c>
      <c r="Y110" s="18"/>
      <c r="Z110" s="1001"/>
      <c r="AA110" s="1001"/>
      <c r="AB110" s="1002"/>
    </row>
    <row r="111" spans="1:31" ht="15.75" customHeight="1" x14ac:dyDescent="0.2">
      <c r="A111" s="2297" t="s">
        <v>9</v>
      </c>
      <c r="B111" s="2112" t="s">
        <v>9</v>
      </c>
      <c r="C111" s="2121" t="s">
        <v>42</v>
      </c>
      <c r="D111" s="2433"/>
      <c r="E111" s="2108" t="s">
        <v>154</v>
      </c>
      <c r="F111" s="1982" t="s">
        <v>91</v>
      </c>
      <c r="G111" s="2127" t="s">
        <v>54</v>
      </c>
      <c r="H111" s="1104" t="s">
        <v>90</v>
      </c>
      <c r="I111" s="2483" t="s">
        <v>229</v>
      </c>
      <c r="J111" s="15" t="s">
        <v>36</v>
      </c>
      <c r="K111" s="934">
        <f>L111+N111</f>
        <v>3.5</v>
      </c>
      <c r="L111" s="742">
        <f>1.9+1.6</f>
        <v>3.5</v>
      </c>
      <c r="M111" s="742"/>
      <c r="N111" s="740"/>
      <c r="O111" s="776"/>
      <c r="P111" s="777"/>
      <c r="Q111" s="777"/>
      <c r="R111" s="744"/>
      <c r="S111" s="348"/>
      <c r="T111" s="276"/>
      <c r="U111" s="276"/>
      <c r="V111" s="277"/>
      <c r="W111" s="80"/>
      <c r="X111" s="379"/>
      <c r="Y111" s="2029"/>
      <c r="Z111" s="2131"/>
      <c r="AA111" s="2131"/>
      <c r="AB111" s="2133"/>
    </row>
    <row r="112" spans="1:31" ht="16.5" customHeight="1" x14ac:dyDescent="0.2">
      <c r="A112" s="2293"/>
      <c r="B112" s="2101"/>
      <c r="C112" s="2122"/>
      <c r="D112" s="2478"/>
      <c r="E112" s="2116"/>
      <c r="F112" s="1983"/>
      <c r="G112" s="2092"/>
      <c r="H112" s="1105"/>
      <c r="I112" s="2484"/>
      <c r="J112" s="25" t="s">
        <v>88</v>
      </c>
      <c r="K112" s="862">
        <f>L112+N112</f>
        <v>598.79999999999995</v>
      </c>
      <c r="L112" s="1167"/>
      <c r="M112" s="1167"/>
      <c r="N112" s="864">
        <v>598.79999999999995</v>
      </c>
      <c r="O112" s="689"/>
      <c r="P112" s="690"/>
      <c r="Q112" s="690"/>
      <c r="R112" s="770"/>
      <c r="S112" s="228"/>
      <c r="T112" s="229"/>
      <c r="U112" s="229"/>
      <c r="V112" s="230"/>
      <c r="W112" s="52"/>
      <c r="X112" s="128"/>
      <c r="Y112" s="2030"/>
      <c r="Z112" s="2132"/>
      <c r="AA112" s="2132"/>
      <c r="AB112" s="2134"/>
    </row>
    <row r="113" spans="1:31" ht="16.5" customHeight="1" x14ac:dyDescent="0.2">
      <c r="A113" s="2293"/>
      <c r="B113" s="2101"/>
      <c r="C113" s="2122"/>
      <c r="D113" s="2478"/>
      <c r="E113" s="2116"/>
      <c r="F113" s="50"/>
      <c r="G113" s="2092"/>
      <c r="H113" s="1156" t="s">
        <v>203</v>
      </c>
      <c r="I113" s="2440" t="s">
        <v>230</v>
      </c>
      <c r="J113" s="25" t="s">
        <v>92</v>
      </c>
      <c r="K113" s="773">
        <f>L113+N113</f>
        <v>0</v>
      </c>
      <c r="L113" s="774"/>
      <c r="M113" s="774"/>
      <c r="N113" s="908"/>
      <c r="O113" s="689"/>
      <c r="P113" s="725"/>
      <c r="Q113" s="725"/>
      <c r="R113" s="738"/>
      <c r="S113" s="228"/>
      <c r="T113" s="229"/>
      <c r="U113" s="229"/>
      <c r="V113" s="230"/>
      <c r="W113" s="129"/>
      <c r="X113" s="1076"/>
      <c r="Y113" s="2443"/>
      <c r="Z113" s="2481"/>
      <c r="AA113" s="2132"/>
      <c r="AB113" s="2134"/>
    </row>
    <row r="114" spans="1:31" ht="17.25" customHeight="1" x14ac:dyDescent="0.2">
      <c r="A114" s="2293"/>
      <c r="B114" s="2101"/>
      <c r="C114" s="2122"/>
      <c r="D114" s="2478"/>
      <c r="E114" s="2116"/>
      <c r="F114" s="50"/>
      <c r="G114" s="2092"/>
      <c r="H114" s="1105"/>
      <c r="I114" s="2441"/>
      <c r="J114" s="25" t="s">
        <v>36</v>
      </c>
      <c r="K114" s="862">
        <f>L114+N114</f>
        <v>0.5</v>
      </c>
      <c r="L114" s="729">
        <v>0.5</v>
      </c>
      <c r="M114" s="729">
        <v>0.3</v>
      </c>
      <c r="N114" s="863"/>
      <c r="O114" s="689"/>
      <c r="P114" s="725"/>
      <c r="Q114" s="725"/>
      <c r="R114" s="738"/>
      <c r="S114" s="228"/>
      <c r="T114" s="229"/>
      <c r="U114" s="229"/>
      <c r="V114" s="230"/>
      <c r="W114" s="129"/>
      <c r="X114" s="1076"/>
      <c r="Y114" s="2443"/>
      <c r="Z114" s="2481"/>
      <c r="AA114" s="2132"/>
      <c r="AB114" s="2134"/>
    </row>
    <row r="115" spans="1:31" ht="21.75" customHeight="1" x14ac:dyDescent="0.2">
      <c r="A115" s="2293"/>
      <c r="B115" s="2101"/>
      <c r="C115" s="2122"/>
      <c r="D115" s="2478"/>
      <c r="E115" s="2116"/>
      <c r="F115" s="50"/>
      <c r="G115" s="2092"/>
      <c r="H115" s="1105"/>
      <c r="I115" s="2441"/>
      <c r="J115" s="16" t="s">
        <v>130</v>
      </c>
      <c r="K115" s="739">
        <f>L115</f>
        <v>1.3</v>
      </c>
      <c r="L115" s="705">
        <v>1.3</v>
      </c>
      <c r="M115" s="705"/>
      <c r="N115" s="686"/>
      <c r="O115" s="683"/>
      <c r="P115" s="704"/>
      <c r="Q115" s="704"/>
      <c r="R115" s="858"/>
      <c r="S115" s="222"/>
      <c r="T115" s="223"/>
      <c r="U115" s="223"/>
      <c r="V115" s="224"/>
      <c r="W115" s="37"/>
      <c r="X115" s="1077"/>
      <c r="Y115" s="2135"/>
      <c r="Z115" s="64"/>
      <c r="AA115" s="64"/>
      <c r="AB115" s="1144"/>
    </row>
    <row r="116" spans="1:31" ht="20.25" customHeight="1" thickBot="1" x14ac:dyDescent="0.25">
      <c r="A116" s="2294"/>
      <c r="B116" s="2113"/>
      <c r="C116" s="2123"/>
      <c r="D116" s="2434"/>
      <c r="E116" s="2117"/>
      <c r="F116" s="51"/>
      <c r="G116" s="2128"/>
      <c r="H116" s="1106"/>
      <c r="I116" s="2442"/>
      <c r="J116" s="288" t="s">
        <v>10</v>
      </c>
      <c r="K116" s="250">
        <f>SUM(K111:K115)</f>
        <v>604.09999999999991</v>
      </c>
      <c r="L116" s="250">
        <f>SUM(L111:L115)</f>
        <v>5.3</v>
      </c>
      <c r="M116" s="250">
        <f>SUM(M111:M115)</f>
        <v>0.3</v>
      </c>
      <c r="N116" s="292">
        <f>SUM(N111:N115)</f>
        <v>598.79999999999995</v>
      </c>
      <c r="O116" s="1075"/>
      <c r="P116" s="278"/>
      <c r="Q116" s="278"/>
      <c r="R116" s="279"/>
      <c r="S116" s="278"/>
      <c r="T116" s="278"/>
      <c r="U116" s="278"/>
      <c r="V116" s="292"/>
      <c r="W116" s="294">
        <f>W115</f>
        <v>0</v>
      </c>
      <c r="X116" s="292">
        <f>SUM(X111:X115)</f>
        <v>0</v>
      </c>
      <c r="Y116" s="2136"/>
      <c r="Z116" s="1001"/>
      <c r="AA116" s="1001"/>
      <c r="AB116" s="1002"/>
    </row>
    <row r="117" spans="1:31" ht="14.25" customHeight="1" thickBot="1" x14ac:dyDescent="0.25">
      <c r="A117" s="816" t="s">
        <v>9</v>
      </c>
      <c r="B117" s="11" t="s">
        <v>9</v>
      </c>
      <c r="C117" s="2023" t="s">
        <v>12</v>
      </c>
      <c r="D117" s="2023"/>
      <c r="E117" s="2023"/>
      <c r="F117" s="2023"/>
      <c r="G117" s="2023"/>
      <c r="H117" s="2023"/>
      <c r="I117" s="2023"/>
      <c r="J117" s="1967"/>
      <c r="K117" s="24">
        <f>K116+K110+K106+K95+K91+K87+K76+K53+K41</f>
        <v>20634.900000000001</v>
      </c>
      <c r="L117" s="24">
        <f>L116+L110+L106+L95+L91+L87+L76+L53+L41</f>
        <v>18679.899999999998</v>
      </c>
      <c r="M117" s="24">
        <f>M116+M110+M106+M95+M91+M87+M76+M53+M41</f>
        <v>742.69999999999993</v>
      </c>
      <c r="N117" s="762">
        <f>N116+N110+N106+N95+N91+N87+N76+N53+N41</f>
        <v>1955</v>
      </c>
      <c r="O117" s="182">
        <f>O116+O110+O106+O95+O91+O87+O76+O53+O41+O108</f>
        <v>21976</v>
      </c>
      <c r="P117" s="24">
        <f t="shared" ref="P117:X117" si="14">P116+P110+P106+P95+P91+P87+P76+P53+P41</f>
        <v>19495.699999999997</v>
      </c>
      <c r="Q117" s="24">
        <f t="shared" si="14"/>
        <v>879.90000000000009</v>
      </c>
      <c r="R117" s="183">
        <f t="shared" si="14"/>
        <v>2335.1</v>
      </c>
      <c r="S117" s="24">
        <f t="shared" si="14"/>
        <v>0</v>
      </c>
      <c r="T117" s="24">
        <f t="shared" si="14"/>
        <v>0</v>
      </c>
      <c r="U117" s="24">
        <f t="shared" si="14"/>
        <v>0</v>
      </c>
      <c r="V117" s="762">
        <f t="shared" si="14"/>
        <v>0</v>
      </c>
      <c r="W117" s="449">
        <f t="shared" si="14"/>
        <v>19633.7</v>
      </c>
      <c r="X117" s="762">
        <f t="shared" si="14"/>
        <v>18656.900000000001</v>
      </c>
      <c r="Y117" s="39"/>
      <c r="Z117" s="40"/>
      <c r="AA117" s="40"/>
      <c r="AB117" s="41"/>
    </row>
    <row r="118" spans="1:31" ht="17.25" customHeight="1" thickBot="1" x14ac:dyDescent="0.25">
      <c r="A118" s="816" t="s">
        <v>9</v>
      </c>
      <c r="B118" s="11" t="s">
        <v>11</v>
      </c>
      <c r="C118" s="2077" t="s">
        <v>71</v>
      </c>
      <c r="D118" s="2078"/>
      <c r="E118" s="2078"/>
      <c r="F118" s="2078"/>
      <c r="G118" s="2078"/>
      <c r="H118" s="2078"/>
      <c r="I118" s="2078"/>
      <c r="J118" s="2078"/>
      <c r="K118" s="2078"/>
      <c r="L118" s="2078"/>
      <c r="M118" s="2078"/>
      <c r="N118" s="2078"/>
      <c r="O118" s="2078"/>
      <c r="P118" s="2078"/>
      <c r="Q118" s="2078"/>
      <c r="R118" s="2078"/>
      <c r="S118" s="2078"/>
      <c r="T118" s="2078"/>
      <c r="U118" s="2078"/>
      <c r="V118" s="2078"/>
      <c r="W118" s="2078"/>
      <c r="X118" s="2078"/>
      <c r="Y118" s="2078"/>
      <c r="Z118" s="2078"/>
      <c r="AA118" s="2078"/>
      <c r="AB118" s="2079"/>
    </row>
    <row r="119" spans="1:31" ht="15.75" customHeight="1" x14ac:dyDescent="0.2">
      <c r="A119" s="2297" t="s">
        <v>9</v>
      </c>
      <c r="B119" s="2018" t="s">
        <v>11</v>
      </c>
      <c r="C119" s="2428" t="s">
        <v>9</v>
      </c>
      <c r="D119" s="1127"/>
      <c r="E119" s="2088" t="s">
        <v>281</v>
      </c>
      <c r="F119" s="1129"/>
      <c r="G119" s="1121" t="s">
        <v>54</v>
      </c>
      <c r="H119" s="1104" t="s">
        <v>40</v>
      </c>
      <c r="I119" s="966"/>
      <c r="J119" s="19" t="s">
        <v>36</v>
      </c>
      <c r="K119" s="716">
        <f>L119+N119</f>
        <v>0</v>
      </c>
      <c r="L119" s="717">
        <v>0</v>
      </c>
      <c r="M119" s="717"/>
      <c r="N119" s="718"/>
      <c r="O119" s="735">
        <f>P119+R119</f>
        <v>0</v>
      </c>
      <c r="P119" s="736">
        <v>0</v>
      </c>
      <c r="Q119" s="717"/>
      <c r="R119" s="719"/>
      <c r="S119" s="235">
        <f>T119+V119</f>
        <v>0</v>
      </c>
      <c r="T119" s="236">
        <v>0</v>
      </c>
      <c r="U119" s="236"/>
      <c r="V119" s="237"/>
      <c r="W119" s="42">
        <v>0</v>
      </c>
      <c r="X119" s="42">
        <v>0</v>
      </c>
      <c r="Y119" s="1117"/>
      <c r="Z119" s="1123"/>
      <c r="AA119" s="1123"/>
      <c r="AB119" s="1125"/>
      <c r="AE119" s="13"/>
    </row>
    <row r="120" spans="1:31" ht="14.25" customHeight="1" x14ac:dyDescent="0.2">
      <c r="A120" s="2293"/>
      <c r="B120" s="2019"/>
      <c r="C120" s="2429"/>
      <c r="D120" s="1175"/>
      <c r="E120" s="2404"/>
      <c r="F120" s="1050"/>
      <c r="G120" s="1135"/>
      <c r="H120" s="1136"/>
      <c r="I120" s="967"/>
      <c r="J120" s="962" t="s">
        <v>130</v>
      </c>
      <c r="K120" s="687"/>
      <c r="L120" s="721"/>
      <c r="M120" s="721"/>
      <c r="N120" s="713"/>
      <c r="O120" s="856"/>
      <c r="P120" s="706"/>
      <c r="Q120" s="721"/>
      <c r="R120" s="688"/>
      <c r="S120" s="225"/>
      <c r="T120" s="231"/>
      <c r="U120" s="231"/>
      <c r="V120" s="232"/>
      <c r="W120" s="364"/>
      <c r="X120" s="364"/>
      <c r="Y120" s="1118"/>
      <c r="Z120" s="32"/>
      <c r="AA120" s="32"/>
      <c r="AB120" s="150"/>
      <c r="AE120" s="13"/>
    </row>
    <row r="121" spans="1:31" ht="27.75" customHeight="1" x14ac:dyDescent="0.2">
      <c r="A121" s="2293"/>
      <c r="B121" s="2019"/>
      <c r="C121" s="2429"/>
      <c r="D121" s="1128" t="s">
        <v>9</v>
      </c>
      <c r="E121" s="2073" t="s">
        <v>104</v>
      </c>
      <c r="F121" s="1130"/>
      <c r="G121" s="1122" t="s">
        <v>54</v>
      </c>
      <c r="H121" s="1105" t="s">
        <v>40</v>
      </c>
      <c r="I121" s="2398" t="s">
        <v>252</v>
      </c>
      <c r="J121" s="962" t="s">
        <v>36</v>
      </c>
      <c r="K121" s="963">
        <f t="shared" ref="K121:K128" si="15">L121+N121</f>
        <v>90</v>
      </c>
      <c r="L121" s="724">
        <v>90</v>
      </c>
      <c r="M121" s="721"/>
      <c r="N121" s="713"/>
      <c r="O121" s="844">
        <f t="shared" ref="O121:O126" si="16">P121+R121</f>
        <v>180</v>
      </c>
      <c r="P121" s="845">
        <v>180</v>
      </c>
      <c r="Q121" s="845"/>
      <c r="R121" s="964"/>
      <c r="S121" s="988">
        <f>T121+V121</f>
        <v>0</v>
      </c>
      <c r="T121" s="763">
        <v>0</v>
      </c>
      <c r="U121" s="763"/>
      <c r="V121" s="232"/>
      <c r="W121" s="364">
        <v>180</v>
      </c>
      <c r="X121" s="364">
        <v>180</v>
      </c>
      <c r="Y121" s="1148" t="s">
        <v>76</v>
      </c>
      <c r="Z121" s="130">
        <v>350</v>
      </c>
      <c r="AA121" s="130">
        <v>350</v>
      </c>
      <c r="AB121" s="131">
        <v>350</v>
      </c>
      <c r="AE121" s="13"/>
    </row>
    <row r="122" spans="1:31" ht="31.5" customHeight="1" x14ac:dyDescent="0.2">
      <c r="A122" s="2293"/>
      <c r="B122" s="2019"/>
      <c r="C122" s="2429"/>
      <c r="D122" s="1128"/>
      <c r="E122" s="2073"/>
      <c r="F122" s="1130"/>
      <c r="G122" s="1122"/>
      <c r="H122" s="1105"/>
      <c r="I122" s="2403"/>
      <c r="J122" s="965" t="s">
        <v>130</v>
      </c>
      <c r="K122" s="955">
        <f t="shared" si="15"/>
        <v>2.9</v>
      </c>
      <c r="L122" s="869">
        <v>2.9</v>
      </c>
      <c r="M122" s="910"/>
      <c r="N122" s="956"/>
      <c r="O122" s="868">
        <f t="shared" si="16"/>
        <v>0</v>
      </c>
      <c r="P122" s="957"/>
      <c r="Q122" s="957"/>
      <c r="R122" s="958"/>
      <c r="S122" s="989">
        <f>T122+V122</f>
        <v>0</v>
      </c>
      <c r="T122" s="959"/>
      <c r="U122" s="959"/>
      <c r="V122" s="873"/>
      <c r="W122" s="898"/>
      <c r="X122" s="898"/>
      <c r="Y122" s="889" t="s">
        <v>77</v>
      </c>
      <c r="Z122" s="960">
        <v>300</v>
      </c>
      <c r="AA122" s="960">
        <v>300</v>
      </c>
      <c r="AB122" s="961">
        <v>300</v>
      </c>
      <c r="AE122" s="13"/>
    </row>
    <row r="123" spans="1:31" ht="29.25" customHeight="1" x14ac:dyDescent="0.2">
      <c r="A123" s="2293"/>
      <c r="B123" s="2019"/>
      <c r="C123" s="2429"/>
      <c r="D123" s="1175"/>
      <c r="E123" s="2104"/>
      <c r="F123" s="1050"/>
      <c r="G123" s="1135"/>
      <c r="H123" s="1136"/>
      <c r="I123" s="2399"/>
      <c r="J123" s="951"/>
      <c r="K123" s="928">
        <f t="shared" si="15"/>
        <v>0</v>
      </c>
      <c r="L123" s="926"/>
      <c r="M123" s="684"/>
      <c r="N123" s="686"/>
      <c r="O123" s="723">
        <f t="shared" si="16"/>
        <v>0</v>
      </c>
      <c r="P123" s="952"/>
      <c r="Q123" s="952"/>
      <c r="R123" s="953"/>
      <c r="S123" s="268">
        <f>T123+V123</f>
        <v>0</v>
      </c>
      <c r="T123" s="954"/>
      <c r="U123" s="954"/>
      <c r="V123" s="224"/>
      <c r="W123" s="703"/>
      <c r="X123" s="703"/>
      <c r="Y123" s="968" t="s">
        <v>367</v>
      </c>
      <c r="Z123" s="969">
        <v>36</v>
      </c>
      <c r="AA123" s="969">
        <v>36</v>
      </c>
      <c r="AB123" s="970">
        <v>36</v>
      </c>
      <c r="AE123" s="13"/>
    </row>
    <row r="124" spans="1:31" ht="34.5" customHeight="1" x14ac:dyDescent="0.2">
      <c r="A124" s="2293"/>
      <c r="B124" s="2019"/>
      <c r="C124" s="2429"/>
      <c r="D124" s="1128" t="s">
        <v>11</v>
      </c>
      <c r="E124" s="2073" t="s">
        <v>108</v>
      </c>
      <c r="F124" s="1130"/>
      <c r="G124" s="1122" t="s">
        <v>54</v>
      </c>
      <c r="H124" s="1105" t="s">
        <v>40</v>
      </c>
      <c r="I124" s="2398" t="s">
        <v>252</v>
      </c>
      <c r="J124" s="971" t="s">
        <v>36</v>
      </c>
      <c r="K124" s="972">
        <f t="shared" si="15"/>
        <v>513.5</v>
      </c>
      <c r="L124" s="973">
        <v>513.5</v>
      </c>
      <c r="M124" s="880"/>
      <c r="N124" s="878"/>
      <c r="O124" s="974">
        <f t="shared" si="16"/>
        <v>672.4</v>
      </c>
      <c r="P124" s="975">
        <v>672.4</v>
      </c>
      <c r="Q124" s="880"/>
      <c r="R124" s="881"/>
      <c r="S124" s="882"/>
      <c r="T124" s="883"/>
      <c r="U124" s="883"/>
      <c r="V124" s="884"/>
      <c r="W124" s="885">
        <v>760</v>
      </c>
      <c r="X124" s="885">
        <v>900</v>
      </c>
      <c r="Y124" s="977" t="s">
        <v>272</v>
      </c>
      <c r="Z124" s="978">
        <v>18</v>
      </c>
      <c r="AA124" s="978">
        <v>18</v>
      </c>
      <c r="AB124" s="979">
        <v>18</v>
      </c>
      <c r="AE124" s="13"/>
    </row>
    <row r="125" spans="1:31" ht="31.5" customHeight="1" x14ac:dyDescent="0.2">
      <c r="A125" s="2293"/>
      <c r="B125" s="2019"/>
      <c r="C125" s="2429"/>
      <c r="D125" s="1175"/>
      <c r="E125" s="2427"/>
      <c r="F125" s="1050"/>
      <c r="G125" s="1135"/>
      <c r="H125" s="1136"/>
      <c r="I125" s="2399"/>
      <c r="J125" s="761" t="s">
        <v>130</v>
      </c>
      <c r="K125" s="922">
        <f t="shared" si="15"/>
        <v>40.700000000000003</v>
      </c>
      <c r="L125" s="704">
        <v>40.700000000000003</v>
      </c>
      <c r="M125" s="684"/>
      <c r="N125" s="686"/>
      <c r="O125" s="683">
        <f t="shared" si="16"/>
        <v>0</v>
      </c>
      <c r="P125" s="684"/>
      <c r="Q125" s="684"/>
      <c r="R125" s="685"/>
      <c r="S125" s="222">
        <f>T125+V125</f>
        <v>0</v>
      </c>
      <c r="T125" s="223"/>
      <c r="U125" s="223"/>
      <c r="V125" s="224"/>
      <c r="W125" s="703"/>
      <c r="X125" s="703"/>
      <c r="Y125" s="1151"/>
      <c r="Z125" s="60"/>
      <c r="AA125" s="60"/>
      <c r="AB125" s="149"/>
      <c r="AE125" s="13"/>
    </row>
    <row r="126" spans="1:31" ht="15" customHeight="1" x14ac:dyDescent="0.2">
      <c r="A126" s="1164"/>
      <c r="B126" s="1114"/>
      <c r="C126" s="1172"/>
      <c r="D126" s="1128" t="s">
        <v>38</v>
      </c>
      <c r="E126" s="2426" t="s">
        <v>75</v>
      </c>
      <c r="F126" s="1049"/>
      <c r="G126" s="1159" t="s">
        <v>54</v>
      </c>
      <c r="H126" s="1156" t="s">
        <v>40</v>
      </c>
      <c r="I126" s="2398" t="s">
        <v>233</v>
      </c>
      <c r="J126" s="971" t="s">
        <v>36</v>
      </c>
      <c r="K126" s="879">
        <f t="shared" si="15"/>
        <v>5</v>
      </c>
      <c r="L126" s="880">
        <v>5</v>
      </c>
      <c r="M126" s="880"/>
      <c r="N126" s="878"/>
      <c r="O126" s="879">
        <f t="shared" si="16"/>
        <v>5</v>
      </c>
      <c r="P126" s="880">
        <v>5</v>
      </c>
      <c r="Q126" s="880"/>
      <c r="R126" s="881"/>
      <c r="S126" s="882">
        <f>T126+V126</f>
        <v>0</v>
      </c>
      <c r="T126" s="883">
        <v>0</v>
      </c>
      <c r="U126" s="883"/>
      <c r="V126" s="884"/>
      <c r="W126" s="885">
        <v>5</v>
      </c>
      <c r="X126" s="885">
        <v>5</v>
      </c>
      <c r="Y126" s="977" t="s">
        <v>105</v>
      </c>
      <c r="Z126" s="978">
        <v>2</v>
      </c>
      <c r="AA126" s="978">
        <v>2</v>
      </c>
      <c r="AB126" s="979">
        <v>2</v>
      </c>
      <c r="AE126" s="13"/>
    </row>
    <row r="127" spans="1:31" ht="20.25" customHeight="1" x14ac:dyDescent="0.2">
      <c r="A127" s="1164"/>
      <c r="B127" s="1114"/>
      <c r="C127" s="1172"/>
      <c r="D127" s="1175"/>
      <c r="E127" s="2427"/>
      <c r="F127" s="1050"/>
      <c r="G127" s="1135"/>
      <c r="H127" s="1136"/>
      <c r="I127" s="2399"/>
      <c r="J127" s="761" t="s">
        <v>130</v>
      </c>
      <c r="K127" s="683">
        <f t="shared" si="15"/>
        <v>2.5</v>
      </c>
      <c r="L127" s="684">
        <v>2.5</v>
      </c>
      <c r="M127" s="684"/>
      <c r="N127" s="686"/>
      <c r="O127" s="683"/>
      <c r="P127" s="684"/>
      <c r="Q127" s="684"/>
      <c r="R127" s="685"/>
      <c r="S127" s="222"/>
      <c r="T127" s="223"/>
      <c r="U127" s="223"/>
      <c r="V127" s="224"/>
      <c r="W127" s="66"/>
      <c r="X127" s="66"/>
      <c r="Y127" s="62" t="s">
        <v>273</v>
      </c>
      <c r="Z127" s="60">
        <v>100</v>
      </c>
      <c r="AA127" s="60"/>
      <c r="AB127" s="149"/>
      <c r="AE127" s="13"/>
    </row>
    <row r="128" spans="1:31" ht="32.25" customHeight="1" x14ac:dyDescent="0.2">
      <c r="A128" s="1164"/>
      <c r="B128" s="1114"/>
      <c r="C128" s="1172"/>
      <c r="D128" s="1174" t="s">
        <v>53</v>
      </c>
      <c r="E128" s="1162" t="s">
        <v>80</v>
      </c>
      <c r="F128" s="1049"/>
      <c r="G128" s="1159" t="s">
        <v>54</v>
      </c>
      <c r="H128" s="1156" t="s">
        <v>40</v>
      </c>
      <c r="I128" s="1163" t="s">
        <v>233</v>
      </c>
      <c r="J128" s="971" t="s">
        <v>36</v>
      </c>
      <c r="K128" s="879">
        <f t="shared" si="15"/>
        <v>6</v>
      </c>
      <c r="L128" s="880">
        <v>6</v>
      </c>
      <c r="M128" s="880"/>
      <c r="N128" s="878"/>
      <c r="O128" s="904">
        <f t="shared" ref="O128:O133" si="17">P128+R128</f>
        <v>6</v>
      </c>
      <c r="P128" s="905">
        <v>6</v>
      </c>
      <c r="Q128" s="980"/>
      <c r="R128" s="981"/>
      <c r="S128" s="990">
        <f>T128+V128</f>
        <v>0</v>
      </c>
      <c r="T128" s="982">
        <v>0</v>
      </c>
      <c r="U128" s="982"/>
      <c r="V128" s="884"/>
      <c r="W128" s="885">
        <v>6</v>
      </c>
      <c r="X128" s="885">
        <v>6</v>
      </c>
      <c r="Y128" s="1148" t="s">
        <v>81</v>
      </c>
      <c r="Z128" s="130">
        <v>20</v>
      </c>
      <c r="AA128" s="130">
        <v>20</v>
      </c>
      <c r="AB128" s="131">
        <v>20</v>
      </c>
      <c r="AE128" s="13"/>
    </row>
    <row r="129" spans="1:41" ht="24" customHeight="1" x14ac:dyDescent="0.2">
      <c r="A129" s="1164"/>
      <c r="B129" s="1114"/>
      <c r="C129" s="1172"/>
      <c r="D129" s="1174" t="s">
        <v>54</v>
      </c>
      <c r="E129" s="1048" t="s">
        <v>107</v>
      </c>
      <c r="F129" s="2424"/>
      <c r="G129" s="2473" t="s">
        <v>54</v>
      </c>
      <c r="H129" s="2471" t="s">
        <v>40</v>
      </c>
      <c r="I129" s="2440" t="s">
        <v>235</v>
      </c>
      <c r="J129" s="971" t="s">
        <v>36</v>
      </c>
      <c r="K129" s="974">
        <f>L129+N129</f>
        <v>20</v>
      </c>
      <c r="L129" s="975">
        <v>20</v>
      </c>
      <c r="M129" s="975"/>
      <c r="N129" s="983"/>
      <c r="O129" s="901">
        <f t="shared" si="17"/>
        <v>10</v>
      </c>
      <c r="P129" s="975">
        <v>10</v>
      </c>
      <c r="Q129" s="975"/>
      <c r="R129" s="984"/>
      <c r="S129" s="882">
        <f>T129+V129</f>
        <v>0</v>
      </c>
      <c r="T129" s="883">
        <v>0</v>
      </c>
      <c r="U129" s="883"/>
      <c r="V129" s="884"/>
      <c r="W129" s="885">
        <v>10</v>
      </c>
      <c r="X129" s="885">
        <v>10</v>
      </c>
      <c r="Y129" s="61" t="s">
        <v>79</v>
      </c>
      <c r="Z129" s="130">
        <v>150</v>
      </c>
      <c r="AA129" s="130">
        <v>150</v>
      </c>
      <c r="AB129" s="131">
        <v>150</v>
      </c>
      <c r="AE129" s="13"/>
      <c r="AF129" s="766"/>
      <c r="AG129" s="766"/>
      <c r="AH129" s="766"/>
      <c r="AI129" s="766"/>
      <c r="AJ129" s="766"/>
      <c r="AK129" s="766"/>
      <c r="AL129" s="766"/>
      <c r="AM129" s="766"/>
      <c r="AN129" s="766"/>
      <c r="AO129" s="766"/>
    </row>
    <row r="130" spans="1:41" ht="20.25" customHeight="1" x14ac:dyDescent="0.2">
      <c r="A130" s="1164"/>
      <c r="B130" s="1114"/>
      <c r="C130" s="1172"/>
      <c r="D130" s="1174" t="s">
        <v>41</v>
      </c>
      <c r="E130" s="1409" t="s">
        <v>274</v>
      </c>
      <c r="F130" s="2425"/>
      <c r="G130" s="2474"/>
      <c r="H130" s="2472"/>
      <c r="I130" s="2468"/>
      <c r="J130" s="971" t="s">
        <v>36</v>
      </c>
      <c r="K130" s="974"/>
      <c r="L130" s="975"/>
      <c r="M130" s="975"/>
      <c r="N130" s="983"/>
      <c r="O130" s="901">
        <f t="shared" si="17"/>
        <v>80</v>
      </c>
      <c r="P130" s="975">
        <v>80</v>
      </c>
      <c r="Q130" s="975"/>
      <c r="R130" s="984"/>
      <c r="S130" s="882">
        <f>T130+V130</f>
        <v>0</v>
      </c>
      <c r="T130" s="883">
        <v>0</v>
      </c>
      <c r="U130" s="883"/>
      <c r="V130" s="884"/>
      <c r="W130" s="885">
        <v>20</v>
      </c>
      <c r="X130" s="885">
        <v>20</v>
      </c>
      <c r="Y130" s="61" t="s">
        <v>275</v>
      </c>
      <c r="Z130" s="942">
        <v>1</v>
      </c>
      <c r="AA130" s="942">
        <v>0.3</v>
      </c>
      <c r="AB130" s="1060">
        <v>0.3</v>
      </c>
      <c r="AE130" s="13"/>
      <c r="AF130" s="766"/>
      <c r="AG130" s="766"/>
      <c r="AH130" s="766"/>
      <c r="AI130" s="766"/>
      <c r="AJ130" s="766"/>
      <c r="AK130" s="766"/>
      <c r="AL130" s="766"/>
      <c r="AM130" s="766"/>
      <c r="AN130" s="766"/>
      <c r="AO130" s="766"/>
    </row>
    <row r="131" spans="1:41" ht="39" customHeight="1" x14ac:dyDescent="0.2">
      <c r="A131" s="1164"/>
      <c r="B131" s="1114"/>
      <c r="C131" s="1172"/>
      <c r="D131" s="1174" t="s">
        <v>55</v>
      </c>
      <c r="E131" s="1409" t="s">
        <v>276</v>
      </c>
      <c r="F131" s="2425"/>
      <c r="G131" s="2474"/>
      <c r="H131" s="2472"/>
      <c r="I131" s="2468"/>
      <c r="J131" s="971" t="s">
        <v>36</v>
      </c>
      <c r="K131" s="974"/>
      <c r="L131" s="975"/>
      <c r="M131" s="975"/>
      <c r="N131" s="983"/>
      <c r="O131" s="901">
        <f t="shared" si="17"/>
        <v>5</v>
      </c>
      <c r="P131" s="975">
        <v>5</v>
      </c>
      <c r="Q131" s="975"/>
      <c r="R131" s="984"/>
      <c r="S131" s="882">
        <f>T131+V131</f>
        <v>0</v>
      </c>
      <c r="T131" s="883">
        <v>0</v>
      </c>
      <c r="U131" s="883"/>
      <c r="V131" s="884"/>
      <c r="W131" s="885">
        <v>0</v>
      </c>
      <c r="X131" s="885">
        <v>5</v>
      </c>
      <c r="Y131" s="61" t="s">
        <v>277</v>
      </c>
      <c r="Z131" s="130">
        <v>3</v>
      </c>
      <c r="AA131" s="130"/>
      <c r="AB131" s="131">
        <v>3</v>
      </c>
      <c r="AE131" s="13"/>
      <c r="AF131" s="766"/>
      <c r="AG131" s="766"/>
      <c r="AH131" s="766"/>
      <c r="AI131" s="766"/>
      <c r="AJ131" s="766"/>
      <c r="AK131" s="766"/>
      <c r="AL131" s="766"/>
      <c r="AM131" s="766"/>
      <c r="AN131" s="766"/>
      <c r="AO131" s="766"/>
    </row>
    <row r="132" spans="1:41" ht="30" customHeight="1" x14ac:dyDescent="0.2">
      <c r="A132" s="1164"/>
      <c r="B132" s="1114"/>
      <c r="C132" s="1172"/>
      <c r="D132" s="841" t="s">
        <v>44</v>
      </c>
      <c r="E132" s="1411" t="s">
        <v>278</v>
      </c>
      <c r="F132" s="2425"/>
      <c r="G132" s="2474"/>
      <c r="H132" s="2472"/>
      <c r="I132" s="2468"/>
      <c r="J132" s="26" t="s">
        <v>36</v>
      </c>
      <c r="K132" s="708"/>
      <c r="L132" s="709"/>
      <c r="M132" s="709"/>
      <c r="N132" s="1258"/>
      <c r="O132" s="728">
        <f t="shared" si="17"/>
        <v>8</v>
      </c>
      <c r="P132" s="709">
        <v>8</v>
      </c>
      <c r="Q132" s="709"/>
      <c r="R132" s="770"/>
      <c r="S132" s="228">
        <f>T132+V132</f>
        <v>0</v>
      </c>
      <c r="T132" s="229">
        <v>0</v>
      </c>
      <c r="U132" s="229"/>
      <c r="V132" s="230"/>
      <c r="W132" s="695"/>
      <c r="X132" s="695">
        <v>5</v>
      </c>
      <c r="Y132" s="120" t="s">
        <v>279</v>
      </c>
      <c r="Z132" s="1062">
        <v>100</v>
      </c>
      <c r="AA132" s="1062"/>
      <c r="AB132" s="1063">
        <v>100</v>
      </c>
      <c r="AE132" s="13"/>
      <c r="AF132" s="766"/>
      <c r="AG132" s="766"/>
      <c r="AH132" s="766"/>
      <c r="AI132" s="766"/>
      <c r="AJ132" s="766"/>
      <c r="AK132" s="766"/>
      <c r="AL132" s="766"/>
      <c r="AM132" s="766"/>
      <c r="AN132" s="766"/>
      <c r="AO132" s="766"/>
    </row>
    <row r="133" spans="1:41" ht="39.75" customHeight="1" x14ac:dyDescent="0.2">
      <c r="A133" s="814"/>
      <c r="B133" s="1246"/>
      <c r="C133" s="1251"/>
      <c r="D133" s="1252" t="s">
        <v>161</v>
      </c>
      <c r="E133" s="1408" t="s">
        <v>328</v>
      </c>
      <c r="F133" s="1253"/>
      <c r="G133" s="1248"/>
      <c r="H133" s="707"/>
      <c r="I133" s="812"/>
      <c r="J133" s="846" t="s">
        <v>36</v>
      </c>
      <c r="K133" s="847"/>
      <c r="L133" s="848"/>
      <c r="M133" s="849"/>
      <c r="N133" s="337"/>
      <c r="O133" s="991">
        <f t="shared" si="17"/>
        <v>113</v>
      </c>
      <c r="P133" s="726">
        <v>113</v>
      </c>
      <c r="Q133" s="726"/>
      <c r="R133" s="850"/>
      <c r="S133" s="852"/>
      <c r="T133" s="1250"/>
      <c r="U133" s="329"/>
      <c r="V133" s="853"/>
      <c r="W133" s="1181"/>
      <c r="X133" s="851"/>
      <c r="Y133" s="1254" t="s">
        <v>302</v>
      </c>
      <c r="Z133" s="1255">
        <v>100</v>
      </c>
      <c r="AA133" s="1256"/>
      <c r="AB133" s="1257"/>
    </row>
    <row r="134" spans="1:41" ht="28.5" customHeight="1" x14ac:dyDescent="0.2">
      <c r="A134" s="1164"/>
      <c r="B134" s="1114"/>
      <c r="C134" s="1172"/>
      <c r="D134" s="841" t="s">
        <v>42</v>
      </c>
      <c r="E134" s="1061" t="s">
        <v>96</v>
      </c>
      <c r="F134" s="1050"/>
      <c r="G134" s="1135"/>
      <c r="H134" s="1136"/>
      <c r="I134" s="1176"/>
      <c r="J134" s="290" t="s">
        <v>36</v>
      </c>
      <c r="K134" s="728">
        <f>L134+N134</f>
        <v>100.3</v>
      </c>
      <c r="L134" s="729">
        <v>100.3</v>
      </c>
      <c r="M134" s="729"/>
      <c r="N134" s="863"/>
      <c r="O134" s="728"/>
      <c r="P134" s="729"/>
      <c r="Q134" s="729"/>
      <c r="R134" s="730"/>
      <c r="S134" s="228"/>
      <c r="T134" s="229"/>
      <c r="U134" s="229"/>
      <c r="V134" s="230"/>
      <c r="W134" s="695"/>
      <c r="X134" s="695"/>
      <c r="Y134" s="120"/>
      <c r="Z134" s="1062"/>
      <c r="AA134" s="1062"/>
      <c r="AB134" s="1063"/>
      <c r="AE134" s="13"/>
      <c r="AF134" s="766"/>
      <c r="AG134" s="766"/>
      <c r="AH134" s="766"/>
      <c r="AI134" s="766"/>
      <c r="AJ134" s="766"/>
      <c r="AK134" s="766"/>
      <c r="AL134" s="766"/>
      <c r="AM134" s="766"/>
      <c r="AN134" s="766"/>
      <c r="AO134" s="766"/>
    </row>
    <row r="135" spans="1:41" ht="18" customHeight="1" thickBot="1" x14ac:dyDescent="0.25">
      <c r="A135" s="1164"/>
      <c r="B135" s="1114"/>
      <c r="C135" s="831"/>
      <c r="D135" s="832"/>
      <c r="E135" s="944"/>
      <c r="F135" s="834"/>
      <c r="G135" s="835"/>
      <c r="H135" s="945"/>
      <c r="I135" s="2401" t="s">
        <v>225</v>
      </c>
      <c r="J135" s="2402"/>
      <c r="K135" s="950">
        <f>SUM(K121:K134)</f>
        <v>780.9</v>
      </c>
      <c r="L135" s="950">
        <f t="shared" ref="L135:X135" si="18">SUM(L121:L134)</f>
        <v>780.9</v>
      </c>
      <c r="M135" s="950">
        <f t="shared" si="18"/>
        <v>0</v>
      </c>
      <c r="N135" s="950">
        <f t="shared" si="18"/>
        <v>0</v>
      </c>
      <c r="O135" s="950">
        <f>SUM(O121:O134)</f>
        <v>1079.4000000000001</v>
      </c>
      <c r="P135" s="950">
        <f t="shared" si="18"/>
        <v>1079.4000000000001</v>
      </c>
      <c r="Q135" s="950">
        <f t="shared" si="18"/>
        <v>0</v>
      </c>
      <c r="R135" s="950">
        <f t="shared" si="18"/>
        <v>0</v>
      </c>
      <c r="S135" s="950">
        <f t="shared" si="18"/>
        <v>0</v>
      </c>
      <c r="T135" s="950">
        <f t="shared" si="18"/>
        <v>0</v>
      </c>
      <c r="U135" s="950">
        <f t="shared" si="18"/>
        <v>0</v>
      </c>
      <c r="V135" s="950">
        <f t="shared" si="18"/>
        <v>0</v>
      </c>
      <c r="W135" s="950">
        <f t="shared" si="18"/>
        <v>981</v>
      </c>
      <c r="X135" s="950">
        <f t="shared" si="18"/>
        <v>1131</v>
      </c>
      <c r="Y135" s="985"/>
      <c r="Z135" s="986"/>
      <c r="AA135" s="986"/>
      <c r="AB135" s="987"/>
      <c r="AE135" s="13"/>
      <c r="AF135" s="766"/>
      <c r="AG135" s="766"/>
      <c r="AH135" s="766"/>
      <c r="AI135" s="766"/>
      <c r="AJ135" s="766"/>
      <c r="AK135" s="766"/>
      <c r="AL135" s="766"/>
      <c r="AM135" s="766"/>
      <c r="AN135" s="766"/>
      <c r="AO135" s="766"/>
    </row>
    <row r="136" spans="1:41" ht="16.5" customHeight="1" x14ac:dyDescent="0.2">
      <c r="A136" s="2297" t="s">
        <v>9</v>
      </c>
      <c r="B136" s="2018" t="s">
        <v>11</v>
      </c>
      <c r="C136" s="2066" t="s">
        <v>11</v>
      </c>
      <c r="D136" s="2066"/>
      <c r="E136" s="2088" t="s">
        <v>89</v>
      </c>
      <c r="F136" s="1982" t="s">
        <v>91</v>
      </c>
      <c r="G136" s="2043" t="s">
        <v>41</v>
      </c>
      <c r="H136" s="1988" t="s">
        <v>90</v>
      </c>
      <c r="I136" s="2467" t="s">
        <v>234</v>
      </c>
      <c r="J136" s="289" t="s">
        <v>36</v>
      </c>
      <c r="K136" s="764">
        <f>L136+N136</f>
        <v>75.2</v>
      </c>
      <c r="L136" s="765"/>
      <c r="M136" s="765"/>
      <c r="N136" s="740">
        <v>75.2</v>
      </c>
      <c r="O136" s="764"/>
      <c r="P136" s="765"/>
      <c r="Q136" s="765"/>
      <c r="R136" s="994"/>
      <c r="S136" s="992"/>
      <c r="T136" s="266"/>
      <c r="U136" s="266"/>
      <c r="V136" s="237"/>
      <c r="W136" s="47"/>
      <c r="X136" s="47"/>
      <c r="Y136" s="2029"/>
      <c r="Z136" s="1131"/>
      <c r="AA136" s="1123"/>
      <c r="AB136" s="1125"/>
      <c r="AE136" s="13"/>
      <c r="AF136" s="766"/>
      <c r="AG136" s="766"/>
      <c r="AH136" s="766"/>
      <c r="AI136" s="766"/>
      <c r="AJ136" s="766"/>
      <c r="AK136" s="766"/>
      <c r="AL136" s="766"/>
      <c r="AM136" s="766"/>
      <c r="AN136" s="766"/>
      <c r="AO136" s="766"/>
    </row>
    <row r="137" spans="1:41" ht="17.25" customHeight="1" x14ac:dyDescent="0.2">
      <c r="A137" s="2293"/>
      <c r="B137" s="2019"/>
      <c r="C137" s="2071"/>
      <c r="D137" s="2071"/>
      <c r="E137" s="2089"/>
      <c r="F137" s="1983"/>
      <c r="G137" s="2044"/>
      <c r="H137" s="1989"/>
      <c r="I137" s="2468"/>
      <c r="J137" s="373" t="s">
        <v>130</v>
      </c>
      <c r="K137" s="991">
        <f>N137</f>
        <v>400</v>
      </c>
      <c r="L137" s="768"/>
      <c r="M137" s="768"/>
      <c r="N137" s="864">
        <v>400</v>
      </c>
      <c r="O137" s="991"/>
      <c r="P137" s="768"/>
      <c r="Q137" s="768"/>
      <c r="R137" s="995"/>
      <c r="S137" s="993"/>
      <c r="T137" s="267"/>
      <c r="U137" s="267"/>
      <c r="V137" s="227"/>
      <c r="W137" s="70"/>
      <c r="X137" s="70"/>
      <c r="Y137" s="2030"/>
      <c r="Z137" s="1132"/>
      <c r="AA137" s="32"/>
      <c r="AB137" s="150"/>
      <c r="AE137" s="13"/>
      <c r="AF137" s="766"/>
      <c r="AG137" s="766"/>
      <c r="AH137" s="766"/>
      <c r="AI137" s="766"/>
      <c r="AJ137" s="766"/>
      <c r="AK137" s="766"/>
      <c r="AL137" s="766"/>
      <c r="AM137" s="766"/>
      <c r="AN137" s="766"/>
      <c r="AO137" s="766"/>
    </row>
    <row r="138" spans="1:41" ht="17.25" customHeight="1" thickBot="1" x14ac:dyDescent="0.25">
      <c r="A138" s="2294"/>
      <c r="B138" s="2020"/>
      <c r="C138" s="2067"/>
      <c r="D138" s="2067"/>
      <c r="E138" s="2090"/>
      <c r="F138" s="1984"/>
      <c r="G138" s="2075"/>
      <c r="H138" s="1990"/>
      <c r="I138" s="2469"/>
      <c r="J138" s="288" t="s">
        <v>10</v>
      </c>
      <c r="K138" s="250">
        <f>SUM(K136:K137)</f>
        <v>475.2</v>
      </c>
      <c r="L138" s="250">
        <f>SUM(L136:L137)</f>
        <v>0</v>
      </c>
      <c r="M138" s="250">
        <f>SUM(M136:M137)</f>
        <v>0</v>
      </c>
      <c r="N138" s="255">
        <f>SUM(N136:N137)</f>
        <v>475.2</v>
      </c>
      <c r="O138" s="243"/>
      <c r="P138" s="250"/>
      <c r="Q138" s="250"/>
      <c r="R138" s="253"/>
      <c r="S138" s="250"/>
      <c r="T138" s="250"/>
      <c r="U138" s="250"/>
      <c r="V138" s="255"/>
      <c r="W138" s="286"/>
      <c r="X138" s="286"/>
      <c r="Y138" s="2076"/>
      <c r="Z138" s="1124"/>
      <c r="AA138" s="1124"/>
      <c r="AB138" s="1126"/>
      <c r="AE138" s="13"/>
      <c r="AF138" s="766"/>
      <c r="AG138" s="766"/>
      <c r="AH138" s="766"/>
      <c r="AI138" s="766"/>
      <c r="AJ138" s="766"/>
      <c r="AK138" s="766"/>
      <c r="AL138" s="766"/>
      <c r="AM138" s="766"/>
      <c r="AN138" s="766"/>
      <c r="AO138" s="766"/>
    </row>
    <row r="139" spans="1:41" ht="13.5" thickBot="1" x14ac:dyDescent="0.25">
      <c r="A139" s="817" t="s">
        <v>9</v>
      </c>
      <c r="B139" s="11" t="s">
        <v>11</v>
      </c>
      <c r="C139" s="2023" t="s">
        <v>12</v>
      </c>
      <c r="D139" s="2023"/>
      <c r="E139" s="2023"/>
      <c r="F139" s="2023"/>
      <c r="G139" s="2023"/>
      <c r="H139" s="2023"/>
      <c r="I139" s="2023"/>
      <c r="J139" s="1967"/>
      <c r="K139" s="24">
        <f t="shared" ref="K139:X139" si="19">K135+K138</f>
        <v>1256.0999999999999</v>
      </c>
      <c r="L139" s="24">
        <f t="shared" si="19"/>
        <v>780.9</v>
      </c>
      <c r="M139" s="24">
        <f t="shared" si="19"/>
        <v>0</v>
      </c>
      <c r="N139" s="762">
        <f t="shared" si="19"/>
        <v>475.2</v>
      </c>
      <c r="O139" s="182">
        <f t="shared" si="19"/>
        <v>1079.4000000000001</v>
      </c>
      <c r="P139" s="24">
        <f t="shared" si="19"/>
        <v>1079.4000000000001</v>
      </c>
      <c r="Q139" s="24">
        <f t="shared" si="19"/>
        <v>0</v>
      </c>
      <c r="R139" s="183">
        <f t="shared" si="19"/>
        <v>0</v>
      </c>
      <c r="S139" s="182">
        <f t="shared" si="19"/>
        <v>0</v>
      </c>
      <c r="T139" s="24">
        <f t="shared" si="19"/>
        <v>0</v>
      </c>
      <c r="U139" s="24">
        <f t="shared" si="19"/>
        <v>0</v>
      </c>
      <c r="V139" s="762">
        <f t="shared" si="19"/>
        <v>0</v>
      </c>
      <c r="W139" s="449">
        <f t="shared" si="19"/>
        <v>981</v>
      </c>
      <c r="X139" s="449">
        <f t="shared" si="19"/>
        <v>1131</v>
      </c>
      <c r="Y139" s="1968"/>
      <c r="Z139" s="1969"/>
      <c r="AA139" s="1969"/>
      <c r="AB139" s="1970"/>
      <c r="AF139" s="766"/>
      <c r="AG139" s="766"/>
      <c r="AH139" s="766"/>
      <c r="AI139" s="766"/>
      <c r="AJ139" s="766"/>
      <c r="AK139" s="766"/>
      <c r="AL139" s="766"/>
      <c r="AM139" s="766"/>
      <c r="AN139" s="766"/>
      <c r="AO139" s="766"/>
    </row>
    <row r="140" spans="1:41" ht="15.75" customHeight="1" thickBot="1" x14ac:dyDescent="0.25">
      <c r="A140" s="816" t="s">
        <v>9</v>
      </c>
      <c r="B140" s="11" t="s">
        <v>38</v>
      </c>
      <c r="C140" s="2077" t="s">
        <v>72</v>
      </c>
      <c r="D140" s="2078"/>
      <c r="E140" s="2078"/>
      <c r="F140" s="2078"/>
      <c r="G140" s="2078"/>
      <c r="H140" s="2078"/>
      <c r="I140" s="2078"/>
      <c r="J140" s="2078"/>
      <c r="K140" s="2078"/>
      <c r="L140" s="2078"/>
      <c r="M140" s="2078"/>
      <c r="N140" s="2078"/>
      <c r="O140" s="2078"/>
      <c r="P140" s="2078"/>
      <c r="Q140" s="2078"/>
      <c r="R140" s="2078"/>
      <c r="S140" s="2078"/>
      <c r="T140" s="2078"/>
      <c r="U140" s="2078"/>
      <c r="V140" s="2078"/>
      <c r="W140" s="2078"/>
      <c r="X140" s="2078"/>
      <c r="Y140" s="2078"/>
      <c r="Z140" s="2078"/>
      <c r="AA140" s="2078"/>
      <c r="AB140" s="2079"/>
      <c r="AF140" s="766"/>
      <c r="AG140" s="766"/>
      <c r="AH140" s="766"/>
      <c r="AI140" s="766"/>
      <c r="AJ140" s="766"/>
      <c r="AK140" s="766"/>
      <c r="AL140" s="766"/>
      <c r="AM140" s="766"/>
      <c r="AN140" s="766"/>
      <c r="AO140" s="766"/>
    </row>
    <row r="141" spans="1:41" ht="15.75" customHeight="1" x14ac:dyDescent="0.2">
      <c r="A141" s="2297" t="s">
        <v>9</v>
      </c>
      <c r="B141" s="2018" t="s">
        <v>38</v>
      </c>
      <c r="C141" s="2066" t="s">
        <v>9</v>
      </c>
      <c r="D141" s="2066"/>
      <c r="E141" s="2072" t="s">
        <v>82</v>
      </c>
      <c r="F141" s="2041"/>
      <c r="G141" s="2043" t="s">
        <v>54</v>
      </c>
      <c r="H141" s="2063" t="s">
        <v>40</v>
      </c>
      <c r="I141" s="2446" t="s">
        <v>236</v>
      </c>
      <c r="J141" s="771" t="s">
        <v>36</v>
      </c>
      <c r="K141" s="741">
        <f>L141+N141</f>
        <v>1233.5</v>
      </c>
      <c r="L141" s="742">
        <v>1233.5</v>
      </c>
      <c r="M141" s="742"/>
      <c r="N141" s="740"/>
      <c r="O141" s="741">
        <f>P141+R141</f>
        <v>2146.4000000000005</v>
      </c>
      <c r="P141" s="742">
        <f>2297.3-102.7-48.2</f>
        <v>2146.4000000000005</v>
      </c>
      <c r="Q141" s="742"/>
      <c r="R141" s="769"/>
      <c r="S141" s="235">
        <f>T141+V141</f>
        <v>0</v>
      </c>
      <c r="T141" s="236">
        <v>0</v>
      </c>
      <c r="U141" s="236"/>
      <c r="V141" s="237"/>
      <c r="W141" s="47">
        <v>2527.1</v>
      </c>
      <c r="X141" s="115">
        <v>2527.1</v>
      </c>
      <c r="Y141" s="2029" t="s">
        <v>198</v>
      </c>
      <c r="Z141" s="44">
        <v>3.7</v>
      </c>
      <c r="AA141" s="44">
        <v>3.7</v>
      </c>
      <c r="AB141" s="45">
        <v>3.7</v>
      </c>
      <c r="AE141" s="13"/>
      <c r="AF141" s="766"/>
      <c r="AG141" s="766"/>
      <c r="AH141" s="766"/>
      <c r="AI141" s="766"/>
      <c r="AJ141" s="766"/>
      <c r="AK141" s="766"/>
      <c r="AL141" s="766"/>
      <c r="AM141" s="766"/>
      <c r="AN141" s="766"/>
      <c r="AO141" s="766"/>
    </row>
    <row r="142" spans="1:41" ht="19.5" customHeight="1" x14ac:dyDescent="0.2">
      <c r="A142" s="2293"/>
      <c r="B142" s="2019"/>
      <c r="C142" s="2071"/>
      <c r="D142" s="2071"/>
      <c r="E142" s="2073"/>
      <c r="F142" s="2042"/>
      <c r="G142" s="2044"/>
      <c r="H142" s="2064"/>
      <c r="I142" s="2452"/>
      <c r="J142" s="290" t="s">
        <v>130</v>
      </c>
      <c r="K142" s="728">
        <f>L142+N142</f>
        <v>100</v>
      </c>
      <c r="L142" s="1167">
        <v>100</v>
      </c>
      <c r="M142" s="1167"/>
      <c r="N142" s="863"/>
      <c r="O142" s="728">
        <f>P142+R142</f>
        <v>0</v>
      </c>
      <c r="P142" s="1167"/>
      <c r="Q142" s="1167"/>
      <c r="R142" s="1168"/>
      <c r="S142" s="228">
        <f>T142+V142</f>
        <v>0</v>
      </c>
      <c r="T142" s="1169"/>
      <c r="U142" s="1169"/>
      <c r="V142" s="227"/>
      <c r="W142" s="70"/>
      <c r="X142" s="109"/>
      <c r="Y142" s="2030"/>
      <c r="Z142" s="43"/>
      <c r="AA142" s="32"/>
      <c r="AB142" s="150"/>
      <c r="AE142" s="13"/>
      <c r="AF142" s="766"/>
      <c r="AG142" s="766"/>
      <c r="AH142" s="766"/>
      <c r="AI142" s="766"/>
      <c r="AJ142" s="766"/>
      <c r="AK142" s="766"/>
      <c r="AL142" s="766"/>
      <c r="AM142" s="766"/>
      <c r="AN142" s="766"/>
      <c r="AO142" s="766"/>
    </row>
    <row r="143" spans="1:41" ht="15.75" customHeight="1" x14ac:dyDescent="0.2">
      <c r="A143" s="2293"/>
      <c r="B143" s="2019"/>
      <c r="C143" s="2071"/>
      <c r="D143" s="2071"/>
      <c r="E143" s="2073"/>
      <c r="F143" s="2042"/>
      <c r="G143" s="2044"/>
      <c r="H143" s="2064"/>
      <c r="I143" s="2452"/>
      <c r="J143" s="772"/>
      <c r="K143" s="773">
        <f>L143+N143</f>
        <v>0</v>
      </c>
      <c r="L143" s="774"/>
      <c r="M143" s="774"/>
      <c r="N143" s="863"/>
      <c r="O143" s="698"/>
      <c r="P143" s="774"/>
      <c r="Q143" s="774"/>
      <c r="R143" s="775"/>
      <c r="S143" s="222">
        <f>T143+V143</f>
        <v>0</v>
      </c>
      <c r="T143" s="231"/>
      <c r="U143" s="231"/>
      <c r="V143" s="232"/>
      <c r="W143" s="23"/>
      <c r="X143" s="110"/>
      <c r="Y143" s="2030"/>
      <c r="Z143" s="32"/>
      <c r="AA143" s="32"/>
      <c r="AB143" s="150"/>
      <c r="AE143" s="13"/>
      <c r="AF143" s="766"/>
      <c r="AG143" s="766"/>
      <c r="AH143" s="766"/>
      <c r="AI143" s="766"/>
      <c r="AJ143" s="766"/>
      <c r="AK143" s="766"/>
      <c r="AL143" s="766"/>
      <c r="AM143" s="766"/>
      <c r="AN143" s="766"/>
      <c r="AO143" s="766"/>
    </row>
    <row r="144" spans="1:41" ht="18" customHeight="1" thickBot="1" x14ac:dyDescent="0.25">
      <c r="A144" s="2294"/>
      <c r="B144" s="2020"/>
      <c r="C144" s="2067"/>
      <c r="D144" s="2067"/>
      <c r="E144" s="2074"/>
      <c r="F144" s="2068"/>
      <c r="G144" s="2075"/>
      <c r="H144" s="2065"/>
      <c r="I144" s="2470"/>
      <c r="J144" s="737" t="s">
        <v>10</v>
      </c>
      <c r="K144" s="250">
        <f t="shared" ref="K144:X144" si="20">SUM(K141:K143)</f>
        <v>1333.5</v>
      </c>
      <c r="L144" s="244">
        <f t="shared" si="20"/>
        <v>1333.5</v>
      </c>
      <c r="M144" s="244">
        <f t="shared" si="20"/>
        <v>0</v>
      </c>
      <c r="N144" s="249">
        <f t="shared" si="20"/>
        <v>0</v>
      </c>
      <c r="O144" s="243">
        <f t="shared" si="20"/>
        <v>2146.4000000000005</v>
      </c>
      <c r="P144" s="244">
        <f t="shared" si="20"/>
        <v>2146.4000000000005</v>
      </c>
      <c r="Q144" s="244">
        <f t="shared" si="20"/>
        <v>0</v>
      </c>
      <c r="R144" s="245">
        <f t="shared" si="20"/>
        <v>0</v>
      </c>
      <c r="S144" s="250">
        <f t="shared" si="20"/>
        <v>0</v>
      </c>
      <c r="T144" s="244">
        <f t="shared" si="20"/>
        <v>0</v>
      </c>
      <c r="U144" s="244">
        <f t="shared" si="20"/>
        <v>0</v>
      </c>
      <c r="V144" s="249">
        <f t="shared" si="20"/>
        <v>0</v>
      </c>
      <c r="W144" s="286">
        <f t="shared" si="20"/>
        <v>2527.1</v>
      </c>
      <c r="X144" s="253">
        <f t="shared" si="20"/>
        <v>2527.1</v>
      </c>
      <c r="Y144" s="2076"/>
      <c r="Z144" s="1124"/>
      <c r="AA144" s="1124"/>
      <c r="AB144" s="1126"/>
      <c r="AE144" s="13"/>
      <c r="AF144" s="766"/>
      <c r="AG144" s="766"/>
      <c r="AH144" s="766"/>
      <c r="AI144" s="766"/>
      <c r="AJ144" s="766"/>
      <c r="AK144" s="766"/>
      <c r="AL144" s="766"/>
      <c r="AM144" s="766"/>
      <c r="AN144" s="766"/>
      <c r="AO144" s="766"/>
    </row>
    <row r="145" spans="1:31" ht="17.25" customHeight="1" thickBot="1" x14ac:dyDescent="0.25">
      <c r="A145" s="817" t="s">
        <v>9</v>
      </c>
      <c r="B145" s="11" t="s">
        <v>38</v>
      </c>
      <c r="C145" s="2023" t="s">
        <v>12</v>
      </c>
      <c r="D145" s="2023"/>
      <c r="E145" s="2023"/>
      <c r="F145" s="2023"/>
      <c r="G145" s="2023"/>
      <c r="H145" s="2023"/>
      <c r="I145" s="2023"/>
      <c r="J145" s="1967"/>
      <c r="K145" s="24">
        <f>K144</f>
        <v>1333.5</v>
      </c>
      <c r="L145" s="24">
        <f t="shared" ref="L145:X145" si="21">L144</f>
        <v>1333.5</v>
      </c>
      <c r="M145" s="24">
        <f t="shared" si="21"/>
        <v>0</v>
      </c>
      <c r="N145" s="24">
        <f t="shared" si="21"/>
        <v>0</v>
      </c>
      <c r="O145" s="24">
        <f t="shared" si="21"/>
        <v>2146.4000000000005</v>
      </c>
      <c r="P145" s="24">
        <f t="shared" si="21"/>
        <v>2146.4000000000005</v>
      </c>
      <c r="Q145" s="24">
        <f t="shared" si="21"/>
        <v>0</v>
      </c>
      <c r="R145" s="24">
        <f t="shared" si="21"/>
        <v>0</v>
      </c>
      <c r="S145" s="24">
        <f t="shared" si="21"/>
        <v>0</v>
      </c>
      <c r="T145" s="24">
        <f t="shared" si="21"/>
        <v>0</v>
      </c>
      <c r="U145" s="24">
        <f t="shared" si="21"/>
        <v>0</v>
      </c>
      <c r="V145" s="24">
        <f t="shared" si="21"/>
        <v>0</v>
      </c>
      <c r="W145" s="24">
        <f t="shared" si="21"/>
        <v>2527.1</v>
      </c>
      <c r="X145" s="24">
        <f t="shared" si="21"/>
        <v>2527.1</v>
      </c>
      <c r="Y145" s="1968"/>
      <c r="Z145" s="1969"/>
      <c r="AA145" s="1969"/>
      <c r="AB145" s="1970"/>
    </row>
    <row r="146" spans="1:31" ht="15.75" customHeight="1" thickBot="1" x14ac:dyDescent="0.25">
      <c r="A146" s="816" t="s">
        <v>9</v>
      </c>
      <c r="B146" s="11" t="s">
        <v>53</v>
      </c>
      <c r="C146" s="2024" t="s">
        <v>73</v>
      </c>
      <c r="D146" s="2025"/>
      <c r="E146" s="2025"/>
      <c r="F146" s="2025"/>
      <c r="G146" s="2025"/>
      <c r="H146" s="2025"/>
      <c r="I146" s="2025"/>
      <c r="J146" s="2025"/>
      <c r="K146" s="2025"/>
      <c r="L146" s="2025"/>
      <c r="M146" s="2025"/>
      <c r="N146" s="2025"/>
      <c r="O146" s="2025"/>
      <c r="P146" s="2025"/>
      <c r="Q146" s="2025"/>
      <c r="R146" s="2025"/>
      <c r="S146" s="2025"/>
      <c r="T146" s="2025"/>
      <c r="U146" s="2025"/>
      <c r="V146" s="2025"/>
      <c r="W146" s="2025"/>
      <c r="X146" s="2025"/>
      <c r="Y146" s="2025"/>
      <c r="Z146" s="2025"/>
      <c r="AA146" s="2025"/>
      <c r="AB146" s="2026"/>
    </row>
    <row r="147" spans="1:31" ht="25.5" x14ac:dyDescent="0.2">
      <c r="A147" s="1160" t="s">
        <v>9</v>
      </c>
      <c r="B147" s="1113" t="s">
        <v>53</v>
      </c>
      <c r="C147" s="1087" t="s">
        <v>9</v>
      </c>
      <c r="D147" s="2448"/>
      <c r="E147" s="1150" t="s">
        <v>166</v>
      </c>
      <c r="F147" s="810"/>
      <c r="G147" s="1103" t="s">
        <v>54</v>
      </c>
      <c r="H147" s="1104" t="s">
        <v>40</v>
      </c>
      <c r="I147" s="2446" t="s">
        <v>236</v>
      </c>
      <c r="J147" s="15" t="s">
        <v>36</v>
      </c>
      <c r="K147" s="741">
        <f>L147+N148</f>
        <v>265.7</v>
      </c>
      <c r="L147" s="742">
        <v>265.7</v>
      </c>
      <c r="M147" s="717"/>
      <c r="N147" s="718"/>
      <c r="O147" s="716">
        <f>P147+R147</f>
        <v>300</v>
      </c>
      <c r="P147" s="717">
        <v>300</v>
      </c>
      <c r="Q147" s="717"/>
      <c r="R147" s="719"/>
      <c r="S147" s="235">
        <f>T147+V147</f>
        <v>0</v>
      </c>
      <c r="T147" s="236">
        <v>0</v>
      </c>
      <c r="U147" s="236"/>
      <c r="V147" s="248"/>
      <c r="W147" s="47">
        <v>300</v>
      </c>
      <c r="X147" s="115">
        <v>300</v>
      </c>
      <c r="Y147" s="2029" t="s">
        <v>84</v>
      </c>
      <c r="Z147" s="75">
        <v>285</v>
      </c>
      <c r="AA147" s="75">
        <v>285</v>
      </c>
      <c r="AB147" s="1125">
        <v>285</v>
      </c>
      <c r="AC147" s="72"/>
      <c r="AE147" s="13"/>
    </row>
    <row r="148" spans="1:31" ht="18" customHeight="1" x14ac:dyDescent="0.2">
      <c r="A148" s="2291"/>
      <c r="B148" s="2012"/>
      <c r="C148" s="2431"/>
      <c r="D148" s="2449"/>
      <c r="E148" s="2016" t="s">
        <v>83</v>
      </c>
      <c r="F148" s="2042"/>
      <c r="G148" s="2044"/>
      <c r="H148" s="2028"/>
      <c r="I148" s="2447"/>
      <c r="J148" s="25" t="s">
        <v>130</v>
      </c>
      <c r="K148" s="728">
        <f>L148+N149</f>
        <v>8.5</v>
      </c>
      <c r="L148" s="729">
        <v>8.5</v>
      </c>
      <c r="M148" s="690"/>
      <c r="N148" s="691">
        <v>0</v>
      </c>
      <c r="O148" s="1088"/>
      <c r="P148" s="1056"/>
      <c r="Q148" s="1056"/>
      <c r="R148" s="1057"/>
      <c r="S148" s="1093"/>
      <c r="T148" s="1090"/>
      <c r="U148" s="1090"/>
      <c r="V148" s="1092"/>
      <c r="W148" s="1091"/>
      <c r="X148" s="1089"/>
      <c r="Y148" s="2451"/>
      <c r="Z148" s="32"/>
      <c r="AA148" s="32"/>
      <c r="AB148" s="150"/>
    </row>
    <row r="149" spans="1:31" ht="18" customHeight="1" thickBot="1" x14ac:dyDescent="0.25">
      <c r="A149" s="2292"/>
      <c r="B149" s="2013"/>
      <c r="C149" s="2432"/>
      <c r="D149" s="2450"/>
      <c r="E149" s="2017"/>
      <c r="F149" s="2068"/>
      <c r="G149" s="2075"/>
      <c r="H149" s="2453"/>
      <c r="I149" s="1102"/>
      <c r="J149" s="291" t="s">
        <v>10</v>
      </c>
      <c r="K149" s="1094">
        <f>K148+K147</f>
        <v>274.2</v>
      </c>
      <c r="L149" s="1098">
        <f t="shared" ref="L149:X149" si="22">L148+L147</f>
        <v>274.2</v>
      </c>
      <c r="M149" s="1098">
        <f t="shared" si="22"/>
        <v>0</v>
      </c>
      <c r="N149" s="1100">
        <f t="shared" si="22"/>
        <v>0</v>
      </c>
      <c r="O149" s="1097">
        <f t="shared" si="22"/>
        <v>300</v>
      </c>
      <c r="P149" s="1098">
        <f t="shared" si="22"/>
        <v>300</v>
      </c>
      <c r="Q149" s="1098">
        <f t="shared" si="22"/>
        <v>0</v>
      </c>
      <c r="R149" s="1099">
        <f t="shared" si="22"/>
        <v>0</v>
      </c>
      <c r="S149" s="1101">
        <f t="shared" si="22"/>
        <v>0</v>
      </c>
      <c r="T149" s="1098">
        <f t="shared" si="22"/>
        <v>0</v>
      </c>
      <c r="U149" s="1098">
        <f t="shared" si="22"/>
        <v>0</v>
      </c>
      <c r="V149" s="1095">
        <f t="shared" si="22"/>
        <v>0</v>
      </c>
      <c r="W149" s="1096">
        <f t="shared" si="22"/>
        <v>300</v>
      </c>
      <c r="X149" s="1095">
        <f t="shared" si="22"/>
        <v>300</v>
      </c>
      <c r="Y149" s="2290"/>
      <c r="Z149" s="60"/>
      <c r="AA149" s="60"/>
      <c r="AB149" s="149"/>
    </row>
    <row r="150" spans="1:31" ht="16.5" customHeight="1" x14ac:dyDescent="0.2">
      <c r="A150" s="2293" t="s">
        <v>9</v>
      </c>
      <c r="B150" s="2019" t="s">
        <v>53</v>
      </c>
      <c r="C150" s="2014" t="s">
        <v>11</v>
      </c>
      <c r="D150" s="1986"/>
      <c r="E150" s="2006" t="s">
        <v>125</v>
      </c>
      <c r="F150" s="1983"/>
      <c r="G150" s="1986" t="s">
        <v>41</v>
      </c>
      <c r="H150" s="1989" t="s">
        <v>40</v>
      </c>
      <c r="I150" s="2452" t="s">
        <v>236</v>
      </c>
      <c r="J150" s="151" t="s">
        <v>36</v>
      </c>
      <c r="K150" s="683">
        <f>L150</f>
        <v>48.6</v>
      </c>
      <c r="L150" s="684">
        <v>48.6</v>
      </c>
      <c r="M150" s="684"/>
      <c r="N150" s="686"/>
      <c r="O150" s="683">
        <f>P150</f>
        <v>20.3</v>
      </c>
      <c r="P150" s="684">
        <v>20.3</v>
      </c>
      <c r="Q150" s="684"/>
      <c r="R150" s="685"/>
      <c r="S150" s="222">
        <f>T150+V150</f>
        <v>0</v>
      </c>
      <c r="T150" s="223">
        <v>0</v>
      </c>
      <c r="U150" s="223"/>
      <c r="V150" s="239"/>
      <c r="W150" s="702">
        <v>21</v>
      </c>
      <c r="X150" s="703">
        <v>21</v>
      </c>
      <c r="Y150" s="1107" t="s">
        <v>127</v>
      </c>
      <c r="Z150" s="1123">
        <v>44</v>
      </c>
      <c r="AA150" s="1123">
        <v>45</v>
      </c>
      <c r="AB150" s="1125">
        <v>45</v>
      </c>
      <c r="AE150" s="13"/>
    </row>
    <row r="151" spans="1:31" ht="17.25" customHeight="1" x14ac:dyDescent="0.2">
      <c r="A151" s="2293"/>
      <c r="B151" s="2019"/>
      <c r="C151" s="2014"/>
      <c r="D151" s="1986"/>
      <c r="E151" s="2006"/>
      <c r="F151" s="1983"/>
      <c r="G151" s="1986"/>
      <c r="H151" s="1989"/>
      <c r="I151" s="2452"/>
      <c r="J151" s="151"/>
      <c r="K151" s="714"/>
      <c r="L151" s="701"/>
      <c r="M151" s="701"/>
      <c r="N151" s="691"/>
      <c r="O151" s="683"/>
      <c r="P151" s="701"/>
      <c r="Q151" s="701"/>
      <c r="R151" s="715"/>
      <c r="S151" s="222"/>
      <c r="T151" s="231"/>
      <c r="U151" s="231"/>
      <c r="V151" s="252"/>
      <c r="W151" s="83"/>
      <c r="X151" s="23"/>
      <c r="Y151" s="27" t="s">
        <v>126</v>
      </c>
      <c r="Z151" s="32">
        <v>3</v>
      </c>
      <c r="AA151" s="33">
        <v>4</v>
      </c>
      <c r="AB151" s="150">
        <v>4</v>
      </c>
      <c r="AE151" s="13"/>
    </row>
    <row r="152" spans="1:31" ht="18.75" customHeight="1" thickBot="1" x14ac:dyDescent="0.25">
      <c r="A152" s="2294"/>
      <c r="B152" s="2020"/>
      <c r="C152" s="2015"/>
      <c r="D152" s="1987"/>
      <c r="E152" s="2007"/>
      <c r="F152" s="1984"/>
      <c r="G152" s="1987"/>
      <c r="H152" s="1990"/>
      <c r="I152" s="783"/>
      <c r="J152" s="291" t="s">
        <v>10</v>
      </c>
      <c r="K152" s="250">
        <f>SUM(K150:K151)</f>
        <v>48.6</v>
      </c>
      <c r="L152" s="244">
        <f>SUM(L150:L151)</f>
        <v>48.6</v>
      </c>
      <c r="M152" s="244">
        <f>SUM(M150:M151)</f>
        <v>0</v>
      </c>
      <c r="N152" s="249">
        <f>SUM(N150:N151)</f>
        <v>0</v>
      </c>
      <c r="O152" s="243">
        <f>O150</f>
        <v>20.3</v>
      </c>
      <c r="P152" s="250">
        <f t="shared" ref="P152:X152" si="23">P150</f>
        <v>20.3</v>
      </c>
      <c r="Q152" s="250">
        <f t="shared" si="23"/>
        <v>0</v>
      </c>
      <c r="R152" s="253">
        <f t="shared" si="23"/>
        <v>0</v>
      </c>
      <c r="S152" s="250">
        <f t="shared" si="23"/>
        <v>0</v>
      </c>
      <c r="T152" s="250">
        <f t="shared" si="23"/>
        <v>0</v>
      </c>
      <c r="U152" s="250">
        <f t="shared" si="23"/>
        <v>0</v>
      </c>
      <c r="V152" s="253">
        <f t="shared" si="23"/>
        <v>0</v>
      </c>
      <c r="W152" s="255">
        <f t="shared" si="23"/>
        <v>21</v>
      </c>
      <c r="X152" s="286">
        <f t="shared" si="23"/>
        <v>21</v>
      </c>
      <c r="Y152" s="28" t="s">
        <v>238</v>
      </c>
      <c r="Z152" s="1124">
        <v>230</v>
      </c>
      <c r="AA152" s="34">
        <v>240</v>
      </c>
      <c r="AB152" s="1126">
        <v>240</v>
      </c>
      <c r="AE152" s="13"/>
    </row>
    <row r="153" spans="1:31" ht="13.5" thickBot="1" x14ac:dyDescent="0.25">
      <c r="A153" s="1161" t="s">
        <v>9</v>
      </c>
      <c r="B153" s="1115" t="s">
        <v>53</v>
      </c>
      <c r="C153" s="2022" t="s">
        <v>12</v>
      </c>
      <c r="D153" s="2023"/>
      <c r="E153" s="2023"/>
      <c r="F153" s="2023"/>
      <c r="G153" s="2023"/>
      <c r="H153" s="2023"/>
      <c r="I153" s="2023"/>
      <c r="J153" s="1967"/>
      <c r="K153" s="24">
        <f>K152+K149</f>
        <v>322.8</v>
      </c>
      <c r="L153" s="24">
        <f t="shared" ref="L153:X153" si="24">L152+L149</f>
        <v>322.8</v>
      </c>
      <c r="M153" s="24">
        <f t="shared" si="24"/>
        <v>0</v>
      </c>
      <c r="N153" s="762">
        <f t="shared" si="24"/>
        <v>0</v>
      </c>
      <c r="O153" s="182">
        <f t="shared" si="24"/>
        <v>320.3</v>
      </c>
      <c r="P153" s="24">
        <f t="shared" si="24"/>
        <v>320.3</v>
      </c>
      <c r="Q153" s="24">
        <f t="shared" si="24"/>
        <v>0</v>
      </c>
      <c r="R153" s="183">
        <f t="shared" si="24"/>
        <v>0</v>
      </c>
      <c r="S153" s="24">
        <f t="shared" si="24"/>
        <v>0</v>
      </c>
      <c r="T153" s="24">
        <f t="shared" si="24"/>
        <v>0</v>
      </c>
      <c r="U153" s="24">
        <f t="shared" si="24"/>
        <v>0</v>
      </c>
      <c r="V153" s="24">
        <f t="shared" si="24"/>
        <v>0</v>
      </c>
      <c r="W153" s="24">
        <f t="shared" si="24"/>
        <v>321</v>
      </c>
      <c r="X153" s="24">
        <f t="shared" si="24"/>
        <v>321</v>
      </c>
      <c r="Y153" s="996"/>
      <c r="Z153" s="997"/>
      <c r="AA153" s="998"/>
      <c r="AB153" s="999"/>
    </row>
    <row r="154" spans="1:31" ht="16.5" customHeight="1" thickBot="1" x14ac:dyDescent="0.25">
      <c r="A154" s="816" t="s">
        <v>9</v>
      </c>
      <c r="B154" s="11" t="s">
        <v>109</v>
      </c>
      <c r="C154" s="2024" t="s">
        <v>110</v>
      </c>
      <c r="D154" s="2025"/>
      <c r="E154" s="2025"/>
      <c r="F154" s="2025"/>
      <c r="G154" s="2025"/>
      <c r="H154" s="2025"/>
      <c r="I154" s="2025"/>
      <c r="J154" s="2025"/>
      <c r="K154" s="2025"/>
      <c r="L154" s="2025"/>
      <c r="M154" s="2025"/>
      <c r="N154" s="2025"/>
      <c r="O154" s="2414"/>
      <c r="P154" s="2414"/>
      <c r="Q154" s="2414"/>
      <c r="R154" s="2414"/>
      <c r="S154" s="2025"/>
      <c r="T154" s="2025"/>
      <c r="U154" s="2025"/>
      <c r="V154" s="2025"/>
      <c r="W154" s="2025"/>
      <c r="X154" s="2025"/>
      <c r="Y154" s="2025"/>
      <c r="Z154" s="2025"/>
      <c r="AA154" s="2025"/>
      <c r="AB154" s="2026"/>
    </row>
    <row r="155" spans="1:31" ht="25.5" x14ac:dyDescent="0.2">
      <c r="A155" s="818" t="s">
        <v>9</v>
      </c>
      <c r="B155" s="1119" t="s">
        <v>54</v>
      </c>
      <c r="C155" s="1116" t="s">
        <v>9</v>
      </c>
      <c r="D155" s="784"/>
      <c r="E155" s="125" t="s">
        <v>118</v>
      </c>
      <c r="F155" s="1993"/>
      <c r="G155" s="1782"/>
      <c r="H155" s="1999">
        <v>6</v>
      </c>
      <c r="I155" s="1108"/>
      <c r="J155" s="780" t="s">
        <v>130</v>
      </c>
      <c r="K155" s="934">
        <f t="shared" ref="K155:K160" si="25">L155+N155</f>
        <v>1405.5</v>
      </c>
      <c r="L155" s="742">
        <v>1405.5</v>
      </c>
      <c r="M155" s="690"/>
      <c r="N155" s="691"/>
      <c r="O155" s="735">
        <f t="shared" ref="O155" si="26">+R155+P155</f>
        <v>0</v>
      </c>
      <c r="P155" s="736">
        <v>0</v>
      </c>
      <c r="Q155" s="717"/>
      <c r="R155" s="719"/>
      <c r="S155" s="235">
        <f t="shared" ref="S155" si="27">T155+V155</f>
        <v>0</v>
      </c>
      <c r="T155" s="236">
        <v>0</v>
      </c>
      <c r="U155" s="236"/>
      <c r="V155" s="237"/>
      <c r="W155" s="47">
        <v>0</v>
      </c>
      <c r="X155" s="115">
        <v>0</v>
      </c>
      <c r="Y155" s="1117"/>
      <c r="Z155" s="130"/>
      <c r="AA155" s="130"/>
      <c r="AB155" s="131"/>
    </row>
    <row r="156" spans="1:31" x14ac:dyDescent="0.2">
      <c r="A156" s="1170"/>
      <c r="B156" s="1110"/>
      <c r="C156" s="1111"/>
      <c r="D156" s="785" t="s">
        <v>9</v>
      </c>
      <c r="E156" s="126" t="s">
        <v>120</v>
      </c>
      <c r="F156" s="1994"/>
      <c r="G156" s="1789" t="s">
        <v>44</v>
      </c>
      <c r="H156" s="2000"/>
      <c r="I156" s="2413" t="s">
        <v>237</v>
      </c>
      <c r="J156" s="780" t="s">
        <v>36</v>
      </c>
      <c r="K156" s="862">
        <f t="shared" si="25"/>
        <v>676</v>
      </c>
      <c r="L156" s="729">
        <v>676</v>
      </c>
      <c r="M156" s="690"/>
      <c r="N156" s="691"/>
      <c r="O156" s="855">
        <f>P156+R156</f>
        <v>634</v>
      </c>
      <c r="P156" s="729">
        <f>583.4+50.6</f>
        <v>634</v>
      </c>
      <c r="Q156" s="729"/>
      <c r="R156" s="730">
        <v>0</v>
      </c>
      <c r="S156" s="773">
        <f>+T156+V156</f>
        <v>0</v>
      </c>
      <c r="T156" s="729">
        <v>0</v>
      </c>
      <c r="U156" s="729"/>
      <c r="V156" s="863">
        <v>0</v>
      </c>
      <c r="W156" s="1179">
        <v>634</v>
      </c>
      <c r="X156" s="862">
        <v>634</v>
      </c>
      <c r="Y156" s="67" t="s">
        <v>353</v>
      </c>
      <c r="Z156" s="130">
        <v>7</v>
      </c>
      <c r="AA156" s="130">
        <v>7</v>
      </c>
      <c r="AB156" s="131">
        <v>7</v>
      </c>
    </row>
    <row r="157" spans="1:31" x14ac:dyDescent="0.2">
      <c r="A157" s="1170"/>
      <c r="B157" s="1110"/>
      <c r="C157" s="1111"/>
      <c r="D157" s="1171" t="s">
        <v>11</v>
      </c>
      <c r="E157" s="1112" t="s">
        <v>121</v>
      </c>
      <c r="F157" s="1994"/>
      <c r="G157" s="1789" t="s">
        <v>44</v>
      </c>
      <c r="H157" s="2000"/>
      <c r="I157" s="2413"/>
      <c r="J157" s="780" t="s">
        <v>36</v>
      </c>
      <c r="K157" s="862">
        <f t="shared" si="25"/>
        <v>699.4</v>
      </c>
      <c r="L157" s="729">
        <v>699.4</v>
      </c>
      <c r="M157" s="690"/>
      <c r="N157" s="691"/>
      <c r="O157" s="855">
        <f t="shared" ref="O157:O160" si="28">P157+R157</f>
        <v>705</v>
      </c>
      <c r="P157" s="729">
        <f>682.2+22.8</f>
        <v>705</v>
      </c>
      <c r="Q157" s="729"/>
      <c r="R157" s="700">
        <v>0</v>
      </c>
      <c r="S157" s="773">
        <f>+V157+T157</f>
        <v>0</v>
      </c>
      <c r="T157" s="729">
        <v>0</v>
      </c>
      <c r="U157" s="729"/>
      <c r="V157" s="863">
        <v>0</v>
      </c>
      <c r="W157" s="1179">
        <v>705</v>
      </c>
      <c r="X157" s="862">
        <v>705</v>
      </c>
      <c r="Y157" s="67" t="s">
        <v>352</v>
      </c>
      <c r="Z157" s="130">
        <v>6</v>
      </c>
      <c r="AA157" s="130">
        <v>6</v>
      </c>
      <c r="AB157" s="131">
        <v>6</v>
      </c>
    </row>
    <row r="158" spans="1:31" x14ac:dyDescent="0.2">
      <c r="A158" s="1170"/>
      <c r="B158" s="1110"/>
      <c r="C158" s="1111"/>
      <c r="D158" s="785" t="s">
        <v>38</v>
      </c>
      <c r="E158" s="126" t="s">
        <v>122</v>
      </c>
      <c r="F158" s="1994"/>
      <c r="G158" s="1789" t="s">
        <v>42</v>
      </c>
      <c r="H158" s="2000"/>
      <c r="I158" s="2413"/>
      <c r="J158" s="780" t="s">
        <v>36</v>
      </c>
      <c r="K158" s="862">
        <f t="shared" si="25"/>
        <v>223.3</v>
      </c>
      <c r="L158" s="729">
        <v>223.3</v>
      </c>
      <c r="M158" s="690"/>
      <c r="N158" s="691"/>
      <c r="O158" s="855">
        <f t="shared" si="28"/>
        <v>231</v>
      </c>
      <c r="P158" s="729">
        <f>206.8+24.2</f>
        <v>231</v>
      </c>
      <c r="Q158" s="729"/>
      <c r="R158" s="700">
        <v>0</v>
      </c>
      <c r="S158" s="773">
        <f>+V158+T158</f>
        <v>0</v>
      </c>
      <c r="T158" s="729">
        <v>0</v>
      </c>
      <c r="U158" s="729"/>
      <c r="V158" s="863">
        <v>0</v>
      </c>
      <c r="W158" s="1179">
        <v>231</v>
      </c>
      <c r="X158" s="862">
        <v>231</v>
      </c>
      <c r="Y158" s="67" t="s">
        <v>353</v>
      </c>
      <c r="Z158" s="130">
        <v>5</v>
      </c>
      <c r="AA158" s="130">
        <v>5</v>
      </c>
      <c r="AB158" s="131">
        <v>5</v>
      </c>
    </row>
    <row r="159" spans="1:31" s="53" customFormat="1" x14ac:dyDescent="0.2">
      <c r="A159" s="1164"/>
      <c r="B159" s="1114"/>
      <c r="C159" s="71"/>
      <c r="D159" s="786" t="s">
        <v>53</v>
      </c>
      <c r="E159" s="126" t="s">
        <v>123</v>
      </c>
      <c r="F159" s="1994"/>
      <c r="G159" s="1789" t="s">
        <v>161</v>
      </c>
      <c r="H159" s="2000"/>
      <c r="I159" s="2413"/>
      <c r="J159" s="25" t="s">
        <v>36</v>
      </c>
      <c r="K159" s="1000">
        <f t="shared" si="25"/>
        <v>11070.4</v>
      </c>
      <c r="L159" s="729">
        <f>11431.3-360.9</f>
        <v>11070.4</v>
      </c>
      <c r="M159" s="787"/>
      <c r="N159" s="788"/>
      <c r="O159" s="855">
        <f t="shared" si="28"/>
        <v>10497.2</v>
      </c>
      <c r="P159" s="774">
        <v>10497.2</v>
      </c>
      <c r="Q159" s="725"/>
      <c r="R159" s="692">
        <v>0</v>
      </c>
      <c r="S159" s="228">
        <f>+V159+T159</f>
        <v>0</v>
      </c>
      <c r="T159" s="231">
        <v>0</v>
      </c>
      <c r="U159" s="231"/>
      <c r="V159" s="232">
        <v>0</v>
      </c>
      <c r="W159" s="1180">
        <v>10497.2</v>
      </c>
      <c r="X159" s="1066">
        <v>10497.2</v>
      </c>
      <c r="Y159" s="67" t="s">
        <v>353</v>
      </c>
      <c r="Z159" s="55">
        <v>97</v>
      </c>
      <c r="AA159" s="54">
        <v>97</v>
      </c>
      <c r="AB159" s="179">
        <v>97</v>
      </c>
    </row>
    <row r="160" spans="1:31" x14ac:dyDescent="0.2">
      <c r="A160" s="2291"/>
      <c r="B160" s="2012"/>
      <c r="C160" s="2014"/>
      <c r="D160" s="2411" t="s">
        <v>54</v>
      </c>
      <c r="E160" s="2016" t="s">
        <v>119</v>
      </c>
      <c r="F160" s="1994"/>
      <c r="G160" s="1783" t="s">
        <v>38</v>
      </c>
      <c r="H160" s="2000"/>
      <c r="I160" s="1108"/>
      <c r="J160" s="780" t="s">
        <v>36</v>
      </c>
      <c r="K160" s="862">
        <f t="shared" si="25"/>
        <v>17</v>
      </c>
      <c r="L160" s="729">
        <v>17</v>
      </c>
      <c r="M160" s="690"/>
      <c r="N160" s="691"/>
      <c r="O160" s="728">
        <f t="shared" si="28"/>
        <v>9.3000000000000007</v>
      </c>
      <c r="P160" s="862">
        <v>9.3000000000000007</v>
      </c>
      <c r="Q160" s="862"/>
      <c r="R160" s="1065">
        <v>0</v>
      </c>
      <c r="S160" s="228">
        <f>SUM(S155:S159)</f>
        <v>0</v>
      </c>
      <c r="T160" s="228">
        <f>SUM(T155:T159)</f>
        <v>0</v>
      </c>
      <c r="U160" s="228"/>
      <c r="V160" s="230">
        <f>SUM(V155:V159)</f>
        <v>0</v>
      </c>
      <c r="W160" s="1179">
        <v>9.3000000000000007</v>
      </c>
      <c r="X160" s="1065">
        <v>9.3000000000000007</v>
      </c>
      <c r="Y160" s="1148" t="s">
        <v>352</v>
      </c>
      <c r="Z160" s="130">
        <v>1</v>
      </c>
      <c r="AA160" s="130">
        <v>1</v>
      </c>
      <c r="AB160" s="131">
        <v>1</v>
      </c>
    </row>
    <row r="161" spans="1:50" ht="15" customHeight="1" thickBot="1" x14ac:dyDescent="0.25">
      <c r="A161" s="2292"/>
      <c r="B161" s="2013"/>
      <c r="C161" s="2015"/>
      <c r="D161" s="2412"/>
      <c r="E161" s="2017"/>
      <c r="F161" s="1995"/>
      <c r="G161" s="1784"/>
      <c r="H161" s="2001"/>
      <c r="I161" s="1109"/>
      <c r="J161" s="291" t="s">
        <v>10</v>
      </c>
      <c r="K161" s="278">
        <f>SUM(K155:K160)</f>
        <v>14091.6</v>
      </c>
      <c r="L161" s="278">
        <f t="shared" ref="L161:X161" si="29">SUM(L155:L160)</f>
        <v>14091.6</v>
      </c>
      <c r="M161" s="278">
        <f t="shared" si="29"/>
        <v>0</v>
      </c>
      <c r="N161" s="292">
        <f t="shared" si="29"/>
        <v>0</v>
      </c>
      <c r="O161" s="1067">
        <f>SUM(O155:O160)</f>
        <v>12076.5</v>
      </c>
      <c r="P161" s="573">
        <f>SUM(P155:P160)</f>
        <v>12076.5</v>
      </c>
      <c r="Q161" s="573">
        <f t="shared" si="29"/>
        <v>0</v>
      </c>
      <c r="R161" s="577">
        <f t="shared" si="29"/>
        <v>0</v>
      </c>
      <c r="S161" s="278">
        <f t="shared" si="29"/>
        <v>0</v>
      </c>
      <c r="T161" s="278">
        <f>SUM(T155:T160)</f>
        <v>0</v>
      </c>
      <c r="U161" s="278">
        <f t="shared" si="29"/>
        <v>0</v>
      </c>
      <c r="V161" s="292">
        <f t="shared" si="29"/>
        <v>0</v>
      </c>
      <c r="W161" s="294">
        <f>SUM(W155:W160)</f>
        <v>12076.5</v>
      </c>
      <c r="X161" s="279">
        <f t="shared" si="29"/>
        <v>12076.5</v>
      </c>
      <c r="Y161" s="28"/>
      <c r="Z161" s="1124"/>
      <c r="AA161" s="34"/>
      <c r="AB161" s="1126"/>
      <c r="AE161" s="13"/>
    </row>
    <row r="162" spans="1:50" ht="19.5" customHeight="1" x14ac:dyDescent="0.2">
      <c r="A162" s="2297" t="s">
        <v>9</v>
      </c>
      <c r="B162" s="2018" t="s">
        <v>54</v>
      </c>
      <c r="C162" s="2021" t="s">
        <v>11</v>
      </c>
      <c r="D162" s="1985"/>
      <c r="E162" s="2005" t="s">
        <v>372</v>
      </c>
      <c r="F162" s="1982"/>
      <c r="G162" s="1985" t="s">
        <v>54</v>
      </c>
      <c r="H162" s="1988" t="s">
        <v>40</v>
      </c>
      <c r="I162" s="2446" t="s">
        <v>286</v>
      </c>
      <c r="J162" s="25" t="s">
        <v>36</v>
      </c>
      <c r="K162" s="728"/>
      <c r="L162" s="729"/>
      <c r="M162" s="690"/>
      <c r="N162" s="691"/>
      <c r="O162" s="731"/>
      <c r="P162" s="732"/>
      <c r="Q162" s="684"/>
      <c r="R162" s="686"/>
      <c r="S162" s="240">
        <f>T162+V162</f>
        <v>0</v>
      </c>
      <c r="T162" s="229">
        <v>0</v>
      </c>
      <c r="U162" s="229"/>
      <c r="V162" s="230"/>
      <c r="W162" s="52">
        <v>0</v>
      </c>
      <c r="X162" s="56">
        <v>0</v>
      </c>
      <c r="Y162" s="1991" t="s">
        <v>374</v>
      </c>
      <c r="Z162" s="1123">
        <v>1</v>
      </c>
      <c r="AA162" s="1123"/>
      <c r="AB162" s="1125"/>
      <c r="AE162" s="13"/>
    </row>
    <row r="163" spans="1:50" ht="21" customHeight="1" x14ac:dyDescent="0.2">
      <c r="A163" s="2293"/>
      <c r="B163" s="2019"/>
      <c r="C163" s="2014"/>
      <c r="D163" s="1986"/>
      <c r="E163" s="2006"/>
      <c r="F163" s="1983"/>
      <c r="G163" s="1986"/>
      <c r="H163" s="1989"/>
      <c r="I163" s="2452"/>
      <c r="J163" s="151"/>
      <c r="K163" s="714">
        <f>L163</f>
        <v>25</v>
      </c>
      <c r="L163" s="701">
        <v>25</v>
      </c>
      <c r="M163" s="701"/>
      <c r="N163" s="692"/>
      <c r="O163" s="714"/>
      <c r="P163" s="701"/>
      <c r="Q163" s="701"/>
      <c r="R163" s="782"/>
      <c r="S163" s="238"/>
      <c r="T163" s="231"/>
      <c r="U163" s="231"/>
      <c r="V163" s="232"/>
      <c r="W163" s="23"/>
      <c r="X163" s="110"/>
      <c r="Y163" s="1992"/>
      <c r="Z163" s="32"/>
      <c r="AA163" s="33"/>
      <c r="AB163" s="150"/>
      <c r="AE163" s="13"/>
    </row>
    <row r="164" spans="1:50" ht="24" customHeight="1" thickBot="1" x14ac:dyDescent="0.25">
      <c r="A164" s="2294"/>
      <c r="B164" s="2020"/>
      <c r="C164" s="2015"/>
      <c r="D164" s="1987"/>
      <c r="E164" s="2007"/>
      <c r="F164" s="1984"/>
      <c r="G164" s="1987"/>
      <c r="H164" s="1990"/>
      <c r="I164" s="2466"/>
      <c r="J164" s="291" t="s">
        <v>10</v>
      </c>
      <c r="K164" s="250">
        <f>SUM(K162:K163)</f>
        <v>25</v>
      </c>
      <c r="L164" s="244">
        <f>SUM(L162:L163)</f>
        <v>25</v>
      </c>
      <c r="M164" s="244">
        <f>SUM(M162:M163)</f>
        <v>0</v>
      </c>
      <c r="N164" s="245">
        <f>SUM(N162:N163)</f>
        <v>0</v>
      </c>
      <c r="O164" s="250">
        <f>O162</f>
        <v>0</v>
      </c>
      <c r="P164" s="250">
        <f t="shared" ref="P164:X164" si="30">P162</f>
        <v>0</v>
      </c>
      <c r="Q164" s="250">
        <f t="shared" si="30"/>
        <v>0</v>
      </c>
      <c r="R164" s="255">
        <f t="shared" si="30"/>
        <v>0</v>
      </c>
      <c r="S164" s="243">
        <f t="shared" si="30"/>
        <v>0</v>
      </c>
      <c r="T164" s="250">
        <f t="shared" si="30"/>
        <v>0</v>
      </c>
      <c r="U164" s="250">
        <f t="shared" si="30"/>
        <v>0</v>
      </c>
      <c r="V164" s="255">
        <f t="shared" si="30"/>
        <v>0</v>
      </c>
      <c r="W164" s="286">
        <f t="shared" si="30"/>
        <v>0</v>
      </c>
      <c r="X164" s="253">
        <f t="shared" si="30"/>
        <v>0</v>
      </c>
      <c r="Y164" s="28"/>
      <c r="Z164" s="1124"/>
      <c r="AA164" s="34"/>
      <c r="AB164" s="1126"/>
      <c r="AE164" s="13"/>
    </row>
    <row r="165" spans="1:50" s="53" customFormat="1" ht="15.75" customHeight="1" x14ac:dyDescent="0.2">
      <c r="A165" s="2297" t="s">
        <v>9</v>
      </c>
      <c r="B165" s="169" t="s">
        <v>54</v>
      </c>
      <c r="C165" s="170" t="s">
        <v>38</v>
      </c>
      <c r="D165" s="789"/>
      <c r="E165" s="2005" t="s">
        <v>168</v>
      </c>
      <c r="F165" s="171"/>
      <c r="G165" s="172" t="s">
        <v>41</v>
      </c>
      <c r="H165" s="173">
        <v>6</v>
      </c>
      <c r="I165" s="2463" t="s">
        <v>254</v>
      </c>
      <c r="J165" s="157" t="s">
        <v>36</v>
      </c>
      <c r="K165" s="792">
        <f>L165+N165</f>
        <v>3.5</v>
      </c>
      <c r="L165" s="793">
        <v>3.5</v>
      </c>
      <c r="M165" s="790"/>
      <c r="N165" s="791"/>
      <c r="O165" s="792">
        <f>P165+R165</f>
        <v>0</v>
      </c>
      <c r="P165" s="793">
        <v>0</v>
      </c>
      <c r="Q165" s="793"/>
      <c r="R165" s="794"/>
      <c r="S165" s="795">
        <f>T165</f>
        <v>0</v>
      </c>
      <c r="T165" s="796">
        <v>0</v>
      </c>
      <c r="U165" s="796"/>
      <c r="V165" s="1177"/>
      <c r="W165" s="158"/>
      <c r="X165" s="159"/>
      <c r="Y165" s="2465" t="s">
        <v>185</v>
      </c>
      <c r="Z165" s="211">
        <v>100</v>
      </c>
      <c r="AA165" s="160"/>
      <c r="AB165" s="161"/>
    </row>
    <row r="166" spans="1:50" s="53" customFormat="1" ht="13.5" customHeight="1" x14ac:dyDescent="0.2">
      <c r="A166" s="2293"/>
      <c r="B166" s="155"/>
      <c r="C166" s="156"/>
      <c r="D166" s="797"/>
      <c r="E166" s="2006"/>
      <c r="F166" s="162"/>
      <c r="H166" s="163"/>
      <c r="I166" s="2403"/>
      <c r="J166" s="164"/>
      <c r="K166" s="798"/>
      <c r="L166" s="799"/>
      <c r="M166" s="799"/>
      <c r="N166" s="799"/>
      <c r="O166" s="800"/>
      <c r="P166" s="799"/>
      <c r="Q166" s="799"/>
      <c r="R166" s="801"/>
      <c r="S166" s="802"/>
      <c r="T166" s="803"/>
      <c r="U166" s="803"/>
      <c r="V166" s="803"/>
      <c r="W166" s="158"/>
      <c r="X166" s="159"/>
      <c r="Y166" s="2009"/>
      <c r="Z166" s="165"/>
      <c r="AA166" s="165"/>
      <c r="AB166" s="166"/>
    </row>
    <row r="167" spans="1:50" s="53" customFormat="1" ht="15" customHeight="1" thickBot="1" x14ac:dyDescent="0.25">
      <c r="A167" s="2294"/>
      <c r="B167" s="174"/>
      <c r="C167" s="175"/>
      <c r="D167" s="804"/>
      <c r="E167" s="2007"/>
      <c r="F167" s="176"/>
      <c r="G167" s="177"/>
      <c r="H167" s="178"/>
      <c r="I167" s="2464"/>
      <c r="J167" s="296" t="s">
        <v>10</v>
      </c>
      <c r="K167" s="805">
        <f>K165</f>
        <v>3.5</v>
      </c>
      <c r="L167" s="805">
        <f>L165</f>
        <v>3.5</v>
      </c>
      <c r="M167" s="806"/>
      <c r="N167" s="806"/>
      <c r="O167" s="807">
        <f>P167+R167</f>
        <v>0</v>
      </c>
      <c r="P167" s="806">
        <f>SUM(P165:P166)</f>
        <v>0</v>
      </c>
      <c r="Q167" s="806"/>
      <c r="R167" s="808">
        <f>SUM(R165:R166)</f>
        <v>0</v>
      </c>
      <c r="S167" s="805">
        <f>S165</f>
        <v>0</v>
      </c>
      <c r="T167" s="805">
        <f>T165</f>
        <v>0</v>
      </c>
      <c r="U167" s="806"/>
      <c r="V167" s="806">
        <f>SUM(V165:V166)</f>
        <v>0</v>
      </c>
      <c r="W167" s="297">
        <f>SUM(W165:W166)</f>
        <v>0</v>
      </c>
      <c r="X167" s="298">
        <f>SUM(X165:X166)</f>
        <v>0</v>
      </c>
      <c r="Y167" s="2009"/>
      <c r="Z167" s="212"/>
      <c r="AA167" s="167"/>
      <c r="AB167" s="168"/>
    </row>
    <row r="168" spans="1:50" ht="14.25" customHeight="1" thickBot="1" x14ac:dyDescent="0.25">
      <c r="A168" s="1161" t="s">
        <v>9</v>
      </c>
      <c r="B168" s="1115" t="s">
        <v>54</v>
      </c>
      <c r="C168" s="1965" t="s">
        <v>12</v>
      </c>
      <c r="D168" s="1966"/>
      <c r="E168" s="1966"/>
      <c r="F168" s="1966"/>
      <c r="G168" s="1966"/>
      <c r="H168" s="1966"/>
      <c r="I168" s="1966"/>
      <c r="J168" s="1967"/>
      <c r="K168" s="24">
        <f>K161+K167</f>
        <v>14095.1</v>
      </c>
      <c r="L168" s="24">
        <f t="shared" ref="L168:V168" si="31">L161+L167</f>
        <v>14095.1</v>
      </c>
      <c r="M168" s="24">
        <f t="shared" si="31"/>
        <v>0</v>
      </c>
      <c r="N168" s="24">
        <f t="shared" si="31"/>
        <v>0</v>
      </c>
      <c r="O168" s="24">
        <f t="shared" si="31"/>
        <v>12076.5</v>
      </c>
      <c r="P168" s="24">
        <f t="shared" si="31"/>
        <v>12076.5</v>
      </c>
      <c r="Q168" s="24">
        <f t="shared" si="31"/>
        <v>0</v>
      </c>
      <c r="R168" s="24">
        <f t="shared" si="31"/>
        <v>0</v>
      </c>
      <c r="S168" s="24">
        <f t="shared" si="31"/>
        <v>0</v>
      </c>
      <c r="T168" s="24">
        <f t="shared" si="31"/>
        <v>0</v>
      </c>
      <c r="U168" s="24">
        <f t="shared" si="31"/>
        <v>0</v>
      </c>
      <c r="V168" s="24">
        <f t="shared" si="31"/>
        <v>0</v>
      </c>
      <c r="W168" s="24">
        <f>W161+W167</f>
        <v>12076.5</v>
      </c>
      <c r="X168" s="24">
        <f>X161+X167</f>
        <v>12076.5</v>
      </c>
      <c r="Y168" s="1968"/>
      <c r="Z168" s="1969"/>
      <c r="AA168" s="1969"/>
      <c r="AB168" s="1970"/>
    </row>
    <row r="169" spans="1:50" ht="14.25" customHeight="1" thickBot="1" x14ac:dyDescent="0.25">
      <c r="A169" s="817" t="s">
        <v>9</v>
      </c>
      <c r="B169" s="2278" t="s">
        <v>13</v>
      </c>
      <c r="C169" s="2279"/>
      <c r="D169" s="2279"/>
      <c r="E169" s="2279"/>
      <c r="F169" s="2279"/>
      <c r="G169" s="2279"/>
      <c r="H169" s="2279"/>
      <c r="I169" s="2279"/>
      <c r="J169" s="2280"/>
      <c r="K169" s="819">
        <f t="shared" ref="K169:X169" si="32">SUM(K117,K139,K145,K153,K168)</f>
        <v>37642.400000000001</v>
      </c>
      <c r="L169" s="819">
        <f t="shared" si="32"/>
        <v>35212.199999999997</v>
      </c>
      <c r="M169" s="819">
        <f t="shared" si="32"/>
        <v>742.69999999999993</v>
      </c>
      <c r="N169" s="820">
        <f t="shared" si="32"/>
        <v>2430.1999999999998</v>
      </c>
      <c r="O169" s="821">
        <f t="shared" si="32"/>
        <v>37598.600000000006</v>
      </c>
      <c r="P169" s="819">
        <f t="shared" si="32"/>
        <v>35118.300000000003</v>
      </c>
      <c r="Q169" s="819">
        <f t="shared" si="32"/>
        <v>879.90000000000009</v>
      </c>
      <c r="R169" s="822">
        <f t="shared" si="32"/>
        <v>2335.1</v>
      </c>
      <c r="S169" s="819">
        <f t="shared" si="32"/>
        <v>0</v>
      </c>
      <c r="T169" s="819">
        <f t="shared" si="32"/>
        <v>0</v>
      </c>
      <c r="U169" s="819">
        <f t="shared" si="32"/>
        <v>0</v>
      </c>
      <c r="V169" s="820">
        <f t="shared" si="32"/>
        <v>0</v>
      </c>
      <c r="W169" s="823">
        <f t="shared" si="32"/>
        <v>35539.300000000003</v>
      </c>
      <c r="X169" s="822">
        <f t="shared" si="32"/>
        <v>34712.5</v>
      </c>
      <c r="Y169" s="2281"/>
      <c r="Z169" s="2282"/>
      <c r="AA169" s="2282"/>
      <c r="AB169" s="2283"/>
    </row>
    <row r="170" spans="1:50" ht="14.25" customHeight="1" thickBot="1" x14ac:dyDescent="0.25">
      <c r="A170" s="103" t="s">
        <v>55</v>
      </c>
      <c r="B170" s="2284" t="s">
        <v>128</v>
      </c>
      <c r="C170" s="2285"/>
      <c r="D170" s="2285"/>
      <c r="E170" s="2285"/>
      <c r="F170" s="2285"/>
      <c r="G170" s="2285"/>
      <c r="H170" s="2285"/>
      <c r="I170" s="2285"/>
      <c r="J170" s="2286"/>
      <c r="K170" s="104">
        <f>SUM(K169)</f>
        <v>37642.400000000001</v>
      </c>
      <c r="L170" s="104">
        <f t="shared" ref="L170:X170" si="33">SUM(L169)</f>
        <v>35212.199999999997</v>
      </c>
      <c r="M170" s="104">
        <f t="shared" si="33"/>
        <v>742.69999999999993</v>
      </c>
      <c r="N170" s="727">
        <f t="shared" si="33"/>
        <v>2430.1999999999998</v>
      </c>
      <c r="O170" s="104">
        <f t="shared" si="33"/>
        <v>37598.600000000006</v>
      </c>
      <c r="P170" s="104">
        <f t="shared" si="33"/>
        <v>35118.300000000003</v>
      </c>
      <c r="Q170" s="104">
        <f t="shared" si="33"/>
        <v>879.90000000000009</v>
      </c>
      <c r="R170" s="105">
        <f t="shared" si="33"/>
        <v>2335.1</v>
      </c>
      <c r="S170" s="720">
        <f>SUM(S169)</f>
        <v>0</v>
      </c>
      <c r="T170" s="104">
        <f t="shared" si="33"/>
        <v>0</v>
      </c>
      <c r="U170" s="104">
        <f t="shared" si="33"/>
        <v>0</v>
      </c>
      <c r="V170" s="727">
        <f t="shared" si="33"/>
        <v>0</v>
      </c>
      <c r="W170" s="105">
        <f t="shared" si="33"/>
        <v>35539.300000000003</v>
      </c>
      <c r="X170" s="1178">
        <f t="shared" si="33"/>
        <v>34712.5</v>
      </c>
      <c r="Y170" s="2287"/>
      <c r="Z170" s="2288"/>
      <c r="AA170" s="2288"/>
      <c r="AB170" s="2289"/>
    </row>
    <row r="171" spans="1:50" s="22" customFormat="1" ht="30" customHeight="1" x14ac:dyDescent="0.2">
      <c r="A171" s="2270" t="s">
        <v>373</v>
      </c>
      <c r="B171" s="2270"/>
      <c r="C171" s="2270"/>
      <c r="D171" s="2270"/>
      <c r="E171" s="2270"/>
      <c r="F171" s="2270"/>
      <c r="G171" s="2270"/>
      <c r="H171" s="2270"/>
      <c r="I171" s="2270"/>
      <c r="J171" s="2270"/>
      <c r="K171" s="2270"/>
      <c r="L171" s="2270"/>
      <c r="M171" s="2270"/>
      <c r="N171" s="2270"/>
      <c r="O171" s="2270"/>
      <c r="P171" s="2270"/>
      <c r="Q171" s="2270"/>
      <c r="R171" s="2270"/>
      <c r="S171" s="2270"/>
      <c r="T171" s="2270"/>
      <c r="U171" s="2270"/>
      <c r="V171" s="2270"/>
      <c r="W171" s="2270"/>
      <c r="X171" s="2270"/>
      <c r="Y171" s="2270"/>
      <c r="Z171" s="2270"/>
      <c r="AA171" s="2270"/>
      <c r="AB171" s="2270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</row>
    <row r="172" spans="1:50" s="22" customFormat="1" ht="14.25" customHeight="1" x14ac:dyDescent="0.2">
      <c r="A172" s="1962"/>
      <c r="B172" s="1962"/>
      <c r="C172" s="1962"/>
      <c r="D172" s="1962"/>
      <c r="E172" s="1962"/>
      <c r="F172" s="1962"/>
      <c r="G172" s="1962"/>
      <c r="H172" s="1962"/>
      <c r="I172" s="1962"/>
      <c r="J172" s="1962"/>
      <c r="K172" s="1962"/>
      <c r="L172" s="1962"/>
      <c r="M172" s="1962"/>
      <c r="N172" s="1962"/>
      <c r="O172" s="1962"/>
      <c r="P172" s="1962"/>
      <c r="Q172" s="1962"/>
      <c r="R172" s="1962"/>
      <c r="S172" s="1962"/>
      <c r="T172" s="1962"/>
      <c r="U172" s="1962"/>
      <c r="V172" s="1962"/>
      <c r="W172" s="63"/>
      <c r="X172" s="63"/>
      <c r="Y172" s="63"/>
      <c r="Z172" s="63"/>
      <c r="AA172" s="63"/>
      <c r="AB172" s="63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</row>
    <row r="173" spans="1:50" s="22" customFormat="1" ht="14.25" customHeight="1" thickBot="1" x14ac:dyDescent="0.25">
      <c r="A173" s="2271" t="s">
        <v>18</v>
      </c>
      <c r="B173" s="2271"/>
      <c r="C173" s="2271"/>
      <c r="D173" s="2271"/>
      <c r="E173" s="2271"/>
      <c r="F173" s="2271"/>
      <c r="G173" s="2271"/>
      <c r="H173" s="2271"/>
      <c r="I173" s="2271"/>
      <c r="J173" s="2271"/>
      <c r="K173" s="2271"/>
      <c r="L173" s="2271"/>
      <c r="M173" s="2271"/>
      <c r="N173" s="2271"/>
      <c r="O173" s="2271"/>
      <c r="P173" s="2271"/>
      <c r="Q173" s="2271"/>
      <c r="R173" s="2271"/>
      <c r="S173" s="2271"/>
      <c r="T173" s="2271"/>
      <c r="U173" s="2271"/>
      <c r="V173" s="2271"/>
      <c r="W173" s="2"/>
      <c r="X173" s="3"/>
      <c r="Y173" s="4"/>
      <c r="Z173" s="4"/>
      <c r="AA173" s="4"/>
      <c r="AB173" s="4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</row>
    <row r="174" spans="1:50" ht="45" customHeight="1" thickBot="1" x14ac:dyDescent="0.25">
      <c r="A174" s="2272" t="s">
        <v>14</v>
      </c>
      <c r="B174" s="2273"/>
      <c r="C174" s="2273"/>
      <c r="D174" s="2273"/>
      <c r="E174" s="2273"/>
      <c r="F174" s="2273"/>
      <c r="G174" s="2273"/>
      <c r="H174" s="2273"/>
      <c r="I174" s="2273"/>
      <c r="J174" s="2274"/>
      <c r="K174" s="2181" t="s">
        <v>239</v>
      </c>
      <c r="L174" s="2182"/>
      <c r="M174" s="2182"/>
      <c r="N174" s="2183"/>
      <c r="O174" s="2181" t="s">
        <v>240</v>
      </c>
      <c r="P174" s="2182"/>
      <c r="Q174" s="2182"/>
      <c r="R174" s="2183"/>
      <c r="S174" s="2272" t="s">
        <v>241</v>
      </c>
      <c r="T174" s="2273"/>
      <c r="U174" s="2273"/>
      <c r="V174" s="2273"/>
      <c r="W174" s="29" t="s">
        <v>245</v>
      </c>
      <c r="X174" s="29" t="s">
        <v>246</v>
      </c>
    </row>
    <row r="175" spans="1:50" ht="14.25" customHeight="1" x14ac:dyDescent="0.2">
      <c r="A175" s="2264" t="s">
        <v>19</v>
      </c>
      <c r="B175" s="2265"/>
      <c r="C175" s="2265"/>
      <c r="D175" s="2265"/>
      <c r="E175" s="2265"/>
      <c r="F175" s="2265"/>
      <c r="G175" s="2265"/>
      <c r="H175" s="2265"/>
      <c r="I175" s="2265"/>
      <c r="J175" s="2266"/>
      <c r="K175" s="2460">
        <f>SUM(K176:N181)</f>
        <v>34807.600000000006</v>
      </c>
      <c r="L175" s="2461"/>
      <c r="M175" s="2461"/>
      <c r="N175" s="2462"/>
      <c r="O175" s="2460">
        <f>SUM(O176:R181)</f>
        <v>35063.700000000004</v>
      </c>
      <c r="P175" s="2461"/>
      <c r="Q175" s="2461"/>
      <c r="R175" s="2462"/>
      <c r="S175" s="2460">
        <f>SUM(S176:V181)</f>
        <v>0</v>
      </c>
      <c r="T175" s="2461"/>
      <c r="U175" s="2461"/>
      <c r="V175" s="2462"/>
      <c r="W175" s="106">
        <f ca="1">SUM(W176:W181)</f>
        <v>35250.600000000006</v>
      </c>
      <c r="X175" s="106">
        <f ca="1">SUM(X176:X181)</f>
        <v>34477.500000000007</v>
      </c>
      <c r="Y175" s="57"/>
    </row>
    <row r="176" spans="1:50" ht="14.25" customHeight="1" x14ac:dyDescent="0.2">
      <c r="A176" s="2267" t="s">
        <v>25</v>
      </c>
      <c r="B176" s="2268"/>
      <c r="C176" s="2268"/>
      <c r="D176" s="2268"/>
      <c r="E176" s="2268"/>
      <c r="F176" s="2268"/>
      <c r="G176" s="2268"/>
      <c r="H176" s="2268"/>
      <c r="I176" s="2268"/>
      <c r="J176" s="2269"/>
      <c r="K176" s="2405">
        <f>SUMIF(J14:J170,"SB",K14:K170)</f>
        <v>30972.1</v>
      </c>
      <c r="L176" s="2406"/>
      <c r="M176" s="2406"/>
      <c r="N176" s="2407"/>
      <c r="O176" s="2405">
        <f>SUMIF(J14:J170,"SB",O14:O170)</f>
        <v>34739.400000000009</v>
      </c>
      <c r="P176" s="2406"/>
      <c r="Q176" s="2406"/>
      <c r="R176" s="2407"/>
      <c r="S176" s="2405">
        <f>SUMIF(J14:J170,"sb",S14:S170)</f>
        <v>0</v>
      </c>
      <c r="T176" s="2406"/>
      <c r="U176" s="2406"/>
      <c r="V176" s="2407"/>
      <c r="W176" s="30">
        <f>SUMIF(J14:J170,"SB",W14:W170)</f>
        <v>35120</v>
      </c>
      <c r="X176" s="30">
        <f>SUMIF(J14:J170,"SB",X14:X170)</f>
        <v>34343.200000000004</v>
      </c>
      <c r="Y176" s="81"/>
      <c r="AF176" s="1036"/>
    </row>
    <row r="177" spans="1:31" ht="14.25" customHeight="1" x14ac:dyDescent="0.2">
      <c r="A177" s="2245" t="s">
        <v>26</v>
      </c>
      <c r="B177" s="2246"/>
      <c r="C177" s="2246"/>
      <c r="D177" s="2246"/>
      <c r="E177" s="2246"/>
      <c r="F177" s="2246"/>
      <c r="G177" s="2246"/>
      <c r="H177" s="2246"/>
      <c r="I177" s="2246"/>
      <c r="J177" s="2247"/>
      <c r="K177" s="2405">
        <f>SUMIF(J14:J170,"SB(SP)",K14:K170)</f>
        <v>119.7</v>
      </c>
      <c r="L177" s="2406"/>
      <c r="M177" s="2406"/>
      <c r="N177" s="2407"/>
      <c r="O177" s="2405">
        <f>SUMIF(J14:J170,"SB(SP)",O14:O170)</f>
        <v>119.2</v>
      </c>
      <c r="P177" s="2406"/>
      <c r="Q177" s="2406"/>
      <c r="R177" s="2407"/>
      <c r="S177" s="2405">
        <f>SUMIF(J14:J170,"SB(SP)",S14:S170)</f>
        <v>0</v>
      </c>
      <c r="T177" s="2406"/>
      <c r="U177" s="2406"/>
      <c r="V177" s="2407"/>
      <c r="W177" s="30">
        <f>SUMIF(J14:J170,"SB(SP)",W14:W170)</f>
        <v>119.3</v>
      </c>
      <c r="X177" s="30">
        <f>SUMIF(J14:J170,"SB(SP)",X14:X170)</f>
        <v>119.3</v>
      </c>
    </row>
    <row r="178" spans="1:31" ht="14.25" customHeight="1" x14ac:dyDescent="0.2">
      <c r="A178" s="2245" t="s">
        <v>27</v>
      </c>
      <c r="B178" s="2246"/>
      <c r="C178" s="2246"/>
      <c r="D178" s="2246"/>
      <c r="E178" s="2246"/>
      <c r="F178" s="2246"/>
      <c r="G178" s="2246"/>
      <c r="H178" s="2246"/>
      <c r="I178" s="2246"/>
      <c r="J178" s="2247"/>
      <c r="K178" s="2405">
        <f>SUMIF(J14:J170,"SB(F)",K14:K170)</f>
        <v>0</v>
      </c>
      <c r="L178" s="2406"/>
      <c r="M178" s="2406"/>
      <c r="N178" s="2407"/>
      <c r="O178" s="2405">
        <f>SUMIF(J14:J170,"SB(F)",O14:O170)</f>
        <v>0</v>
      </c>
      <c r="P178" s="2406"/>
      <c r="Q178" s="2406"/>
      <c r="R178" s="2407"/>
      <c r="S178" s="2405">
        <f>SUMIF(J14:J170,"SB(F)",S14:S170)</f>
        <v>0</v>
      </c>
      <c r="T178" s="2406"/>
      <c r="U178" s="2406"/>
      <c r="V178" s="2407"/>
      <c r="W178" s="30">
        <f>SUMIF(J14:J170,"SB(F)",W14:W170)</f>
        <v>0</v>
      </c>
      <c r="X178" s="30">
        <f>SUMIF(J14:J170,"SB(F)",X14:X170)</f>
        <v>0</v>
      </c>
      <c r="Y178" s="59"/>
      <c r="Z178" s="1"/>
      <c r="AA178" s="1"/>
      <c r="AB178" s="1"/>
      <c r="AC178" s="1"/>
      <c r="AD178" s="1"/>
      <c r="AE178" s="1"/>
    </row>
    <row r="179" spans="1:31" ht="14.25" customHeight="1" x14ac:dyDescent="0.2">
      <c r="A179" s="2245" t="s">
        <v>131</v>
      </c>
      <c r="B179" s="2246"/>
      <c r="C179" s="2246"/>
      <c r="D179" s="2246"/>
      <c r="E179" s="2246"/>
      <c r="F179" s="2246"/>
      <c r="G179" s="2246"/>
      <c r="H179" s="2246"/>
      <c r="I179" s="2246"/>
      <c r="J179" s="2247"/>
      <c r="K179" s="2405">
        <f>SUMIF(J14:J170,"SB(L)",K14:K170)</f>
        <v>3117</v>
      </c>
      <c r="L179" s="2406"/>
      <c r="M179" s="2406"/>
      <c r="N179" s="2407"/>
      <c r="O179" s="2405">
        <f>SUMIF(J12:J160,"SB(L)",O12:O170)</f>
        <v>0</v>
      </c>
      <c r="P179" s="2406"/>
      <c r="Q179" s="2406"/>
      <c r="R179" s="2407"/>
      <c r="S179" s="2405">
        <f>SUMIF(J12:J160,"SB(L)",S12:S160)</f>
        <v>0</v>
      </c>
      <c r="T179" s="2406"/>
      <c r="U179" s="2406"/>
      <c r="V179" s="2407"/>
      <c r="W179" s="30">
        <f ca="1">SUMIF(J14:J170,"SB(L)",W14:W169)</f>
        <v>0</v>
      </c>
      <c r="X179" s="30">
        <f ca="1">SUMIF(K14:K170,"SB(L)",X14:X169)</f>
        <v>0</v>
      </c>
      <c r="Y179" s="59"/>
      <c r="Z179" s="1"/>
      <c r="AA179" s="1"/>
      <c r="AB179" s="1"/>
      <c r="AC179" s="1"/>
      <c r="AD179" s="1"/>
      <c r="AE179" s="1"/>
    </row>
    <row r="180" spans="1:31" x14ac:dyDescent="0.2">
      <c r="A180" s="2245" t="s">
        <v>180</v>
      </c>
      <c r="B180" s="2262"/>
      <c r="C180" s="2262"/>
      <c r="D180" s="2262"/>
      <c r="E180" s="2262"/>
      <c r="F180" s="2262"/>
      <c r="G180" s="2262"/>
      <c r="H180" s="2262"/>
      <c r="I180" s="2262"/>
      <c r="J180" s="2263"/>
      <c r="K180" s="2405">
        <f>SUMIF(J15:J171,"SB(VR)",K15:K171)</f>
        <v>0</v>
      </c>
      <c r="L180" s="2406"/>
      <c r="M180" s="2406"/>
      <c r="N180" s="2407"/>
      <c r="O180" s="2405">
        <f>SUMIF(J13:J161,"SB(VR)",O13:O161)</f>
        <v>205.1</v>
      </c>
      <c r="P180" s="2406"/>
      <c r="Q180" s="2406"/>
      <c r="R180" s="2407"/>
      <c r="S180" s="2405">
        <f>SUMIF(J13:J161,"SB(VR)",S13:S161)</f>
        <v>0</v>
      </c>
      <c r="T180" s="2406"/>
      <c r="U180" s="2406"/>
      <c r="V180" s="2407"/>
      <c r="W180" s="30">
        <f>SUMIF(J14:J170,"SB(VR)",W14:W170)</f>
        <v>0</v>
      </c>
      <c r="X180" s="30">
        <f>SUMIF(J14:J170,"SB(VR)",X14:X170)</f>
        <v>0</v>
      </c>
      <c r="Y180" s="59"/>
      <c r="Z180" s="1"/>
      <c r="AA180" s="1"/>
      <c r="AB180" s="1"/>
      <c r="AC180" s="1"/>
      <c r="AD180" s="1"/>
      <c r="AE180" s="1"/>
    </row>
    <row r="181" spans="1:31" x14ac:dyDescent="0.2">
      <c r="A181" s="2245" t="s">
        <v>28</v>
      </c>
      <c r="B181" s="2246"/>
      <c r="C181" s="2246"/>
      <c r="D181" s="2246"/>
      <c r="E181" s="2246"/>
      <c r="F181" s="2246"/>
      <c r="G181" s="2246"/>
      <c r="H181" s="2246"/>
      <c r="I181" s="2246"/>
      <c r="J181" s="2247"/>
      <c r="K181" s="2405">
        <f>SUMIF(J14:J170,"SB(P)",K14:K170)</f>
        <v>598.79999999999995</v>
      </c>
      <c r="L181" s="2406"/>
      <c r="M181" s="2406"/>
      <c r="N181" s="2407"/>
      <c r="O181" s="2405">
        <f>SUMIF(J14:J170,"SB(P)",O14:O170)</f>
        <v>0</v>
      </c>
      <c r="P181" s="2406"/>
      <c r="Q181" s="2406"/>
      <c r="R181" s="2407"/>
      <c r="S181" s="2405">
        <f>SUMIF(J14:J170,"SB(P)",S14:S170)</f>
        <v>0</v>
      </c>
      <c r="T181" s="2406"/>
      <c r="U181" s="2406"/>
      <c r="V181" s="2407"/>
      <c r="W181" s="30">
        <f>SUMIF(J14:J170,"SB(P)",W14:W170)</f>
        <v>11.3</v>
      </c>
      <c r="X181" s="30">
        <f>SUMIF(J14:J170,"SB(P)",X14:X170)</f>
        <v>15</v>
      </c>
    </row>
    <row r="182" spans="1:31" x14ac:dyDescent="0.2">
      <c r="A182" s="2259" t="s">
        <v>20</v>
      </c>
      <c r="B182" s="2260"/>
      <c r="C182" s="2260"/>
      <c r="D182" s="2260"/>
      <c r="E182" s="2260"/>
      <c r="F182" s="2260"/>
      <c r="G182" s="2260"/>
      <c r="H182" s="2260"/>
      <c r="I182" s="2260"/>
      <c r="J182" s="2261"/>
      <c r="K182" s="2408">
        <f>SUM(K183:N186)</f>
        <v>2834.8</v>
      </c>
      <c r="L182" s="2409"/>
      <c r="M182" s="2409"/>
      <c r="N182" s="2410"/>
      <c r="O182" s="2408">
        <f>SUM(O183:R186)</f>
        <v>2534.9</v>
      </c>
      <c r="P182" s="2409"/>
      <c r="Q182" s="2409"/>
      <c r="R182" s="2410"/>
      <c r="S182" s="2408">
        <f>SUM(S183:V186)</f>
        <v>0</v>
      </c>
      <c r="T182" s="2409"/>
      <c r="U182" s="2409"/>
      <c r="V182" s="2410"/>
      <c r="W182" s="107">
        <f>SUM(W183:W186)</f>
        <v>288.70000000000005</v>
      </c>
      <c r="X182" s="107">
        <f>SUM(X183:X186)</f>
        <v>235</v>
      </c>
    </row>
    <row r="183" spans="1:31" x14ac:dyDescent="0.2">
      <c r="A183" s="2253" t="s">
        <v>29</v>
      </c>
      <c r="B183" s="2254"/>
      <c r="C183" s="2254"/>
      <c r="D183" s="2254"/>
      <c r="E183" s="2254"/>
      <c r="F183" s="2254"/>
      <c r="G183" s="2254"/>
      <c r="H183" s="2254"/>
      <c r="I183" s="2254"/>
      <c r="J183" s="2255"/>
      <c r="K183" s="2405">
        <f>SUMIF(J14:J170,"ES",K14:K170)</f>
        <v>553.4</v>
      </c>
      <c r="L183" s="2406"/>
      <c r="M183" s="2406"/>
      <c r="N183" s="2407"/>
      <c r="O183" s="2405">
        <f>SUMIF(J14:J170,"ES",O14:O170)</f>
        <v>419.9</v>
      </c>
      <c r="P183" s="2406"/>
      <c r="Q183" s="2406"/>
      <c r="R183" s="2407"/>
      <c r="S183" s="2405">
        <f>SUMIF(J14:J170,"ES",S14:S170)</f>
        <v>0</v>
      </c>
      <c r="T183" s="2406"/>
      <c r="U183" s="2406"/>
      <c r="V183" s="2407"/>
      <c r="W183" s="30">
        <f>SUMIF(J14:J170,"ES",W14:W170)</f>
        <v>177.4</v>
      </c>
      <c r="X183" s="30">
        <f>SUMIF(J14:J170,"ES",X14:X170)</f>
        <v>220</v>
      </c>
    </row>
    <row r="184" spans="1:31" x14ac:dyDescent="0.2">
      <c r="A184" s="2256" t="s">
        <v>30</v>
      </c>
      <c r="B184" s="2257"/>
      <c r="C184" s="2257"/>
      <c r="D184" s="2257"/>
      <c r="E184" s="2257"/>
      <c r="F184" s="2257"/>
      <c r="G184" s="2257"/>
      <c r="H184" s="2257"/>
      <c r="I184" s="2257"/>
      <c r="J184" s="2258"/>
      <c r="K184" s="2405">
        <f>SUMIF(J14:J170,"KPP",K14:K170)</f>
        <v>0</v>
      </c>
      <c r="L184" s="2406"/>
      <c r="M184" s="2406"/>
      <c r="N184" s="2407"/>
      <c r="O184" s="2405">
        <f>SUMIF(J14:J170,"KPP",O14:O170)</f>
        <v>0</v>
      </c>
      <c r="P184" s="2406"/>
      <c r="Q184" s="2406"/>
      <c r="R184" s="2407"/>
      <c r="S184" s="2405">
        <f>SUMIF(J14:J170,"KPP",S14:S170)</f>
        <v>0</v>
      </c>
      <c r="T184" s="2406"/>
      <c r="U184" s="2406"/>
      <c r="V184" s="2407"/>
      <c r="W184" s="30">
        <f>SUMIF(J14:J170,"KPP",W14:W170)</f>
        <v>0</v>
      </c>
      <c r="X184" s="30">
        <f>SUMIF(J14:J170,"KPP",X14:X170)</f>
        <v>0</v>
      </c>
    </row>
    <row r="185" spans="1:31" x14ac:dyDescent="0.2">
      <c r="A185" s="2245" t="s">
        <v>31</v>
      </c>
      <c r="B185" s="2246"/>
      <c r="C185" s="2246"/>
      <c r="D185" s="2246"/>
      <c r="E185" s="2246"/>
      <c r="F185" s="2246"/>
      <c r="G185" s="2246"/>
      <c r="H185" s="2246"/>
      <c r="I185" s="2246"/>
      <c r="J185" s="2247"/>
      <c r="K185" s="2405">
        <f>SUMIF(J14:J170,"LRVB",K14:K170)</f>
        <v>93.4</v>
      </c>
      <c r="L185" s="2406"/>
      <c r="M185" s="2406"/>
      <c r="N185" s="2407"/>
      <c r="O185" s="2405">
        <f>SUMIF(J14:J170,"LRVB",O14:O170)</f>
        <v>77</v>
      </c>
      <c r="P185" s="2406"/>
      <c r="Q185" s="2406"/>
      <c r="R185" s="2407"/>
      <c r="S185" s="2405">
        <f>SUMIF(J14:J170,"LRVB",S14:S170)</f>
        <v>0</v>
      </c>
      <c r="T185" s="2406"/>
      <c r="U185" s="2406"/>
      <c r="V185" s="2407"/>
      <c r="W185" s="30">
        <f>SUMIF(J14:J170,"LRVB",W14:W170)</f>
        <v>11.3</v>
      </c>
      <c r="X185" s="30">
        <f>SUMIF(J14:J170,"LRVB",X14:X170)</f>
        <v>15</v>
      </c>
    </row>
    <row r="186" spans="1:31" x14ac:dyDescent="0.2">
      <c r="A186" s="2245" t="s">
        <v>32</v>
      </c>
      <c r="B186" s="2246"/>
      <c r="C186" s="2246"/>
      <c r="D186" s="2246"/>
      <c r="E186" s="2246"/>
      <c r="F186" s="2246"/>
      <c r="G186" s="2246"/>
      <c r="H186" s="2246"/>
      <c r="I186" s="2246"/>
      <c r="J186" s="2247"/>
      <c r="K186" s="2405">
        <f>SUMIF(J14:J170,"Kt",K14:K170)</f>
        <v>2188</v>
      </c>
      <c r="L186" s="2406"/>
      <c r="M186" s="2406"/>
      <c r="N186" s="2407"/>
      <c r="O186" s="2405">
        <f>SUMIF(J14:J170,"Kt",O14:O170)</f>
        <v>2038</v>
      </c>
      <c r="P186" s="2406"/>
      <c r="Q186" s="2406"/>
      <c r="R186" s="2407"/>
      <c r="S186" s="2405">
        <f>SUMIF(J14:J170,"Kt",S14:S170)</f>
        <v>0</v>
      </c>
      <c r="T186" s="2406"/>
      <c r="U186" s="2406"/>
      <c r="V186" s="2407"/>
      <c r="W186" s="30">
        <f>SUMIF(J14:J170,"Kt",W14:W170)</f>
        <v>100</v>
      </c>
      <c r="X186" s="30">
        <f>SUMIF(J14:J170,"Kt",X14:X170)</f>
        <v>0</v>
      </c>
      <c r="Z186" s="5"/>
      <c r="AA186" s="5"/>
      <c r="AB186" s="5"/>
    </row>
    <row r="187" spans="1:31" ht="13.5" thickBot="1" x14ac:dyDescent="0.25">
      <c r="A187" s="2250" t="s">
        <v>21</v>
      </c>
      <c r="B187" s="2251"/>
      <c r="C187" s="2251"/>
      <c r="D187" s="2251"/>
      <c r="E187" s="2251"/>
      <c r="F187" s="2251"/>
      <c r="G187" s="2251"/>
      <c r="H187" s="2251"/>
      <c r="I187" s="2251"/>
      <c r="J187" s="2252"/>
      <c r="K187" s="2454">
        <f>SUM(K175,K182)</f>
        <v>37642.400000000009</v>
      </c>
      <c r="L187" s="2455"/>
      <c r="M187" s="2455"/>
      <c r="N187" s="2456"/>
      <c r="O187" s="2457">
        <f>SUM(O175,O182)</f>
        <v>37598.600000000006</v>
      </c>
      <c r="P187" s="2458"/>
      <c r="Q187" s="2458"/>
      <c r="R187" s="2459"/>
      <c r="S187" s="2457">
        <f>SUM(S175,S182)</f>
        <v>0</v>
      </c>
      <c r="T187" s="2458"/>
      <c r="U187" s="2458"/>
      <c r="V187" s="2459"/>
      <c r="W187" s="108">
        <f ca="1">SUM(W175,W182)</f>
        <v>35539.300000000003</v>
      </c>
      <c r="X187" s="108">
        <f ca="1">SUM(X175,X182)</f>
        <v>34712.500000000007</v>
      </c>
      <c r="Z187" s="5"/>
      <c r="AA187" s="5"/>
      <c r="AB187" s="5"/>
    </row>
    <row r="188" spans="1:31" x14ac:dyDescent="0.2">
      <c r="K188" s="81"/>
      <c r="L188" s="81"/>
      <c r="O188" s="809" t="s">
        <v>345</v>
      </c>
      <c r="P188" s="2396">
        <f>O187/3.4528*1000</f>
        <v>10889307.228915665</v>
      </c>
      <c r="Q188" s="2397"/>
      <c r="R188" s="1867"/>
      <c r="S188" s="1867"/>
      <c r="T188" s="1867"/>
      <c r="U188" s="1867"/>
      <c r="V188" s="1867"/>
      <c r="W188" s="1867">
        <f ca="1">W187/3.4528*1000</f>
        <v>10292892.724745136</v>
      </c>
      <c r="X188" s="2394">
        <f ca="1">X187/3.4528*1000</f>
        <v>10053434.893419836</v>
      </c>
      <c r="Y188" s="2395"/>
      <c r="Z188" s="5"/>
      <c r="AA188" s="5"/>
      <c r="AB188" s="5"/>
    </row>
  </sheetData>
  <mergeCells count="412">
    <mergeCell ref="I62:I66"/>
    <mergeCell ref="E36:E38"/>
    <mergeCell ref="I76:J76"/>
    <mergeCell ref="S68:S70"/>
    <mergeCell ref="T68:T70"/>
    <mergeCell ref="U68:U70"/>
    <mergeCell ref="V68:V70"/>
    <mergeCell ref="W68:W70"/>
    <mergeCell ref="G88:G91"/>
    <mergeCell ref="G81:G82"/>
    <mergeCell ref="H81:H82"/>
    <mergeCell ref="Y96:Y97"/>
    <mergeCell ref="G111:G116"/>
    <mergeCell ref="AB79:AB80"/>
    <mergeCell ref="Y87:AB87"/>
    <mergeCell ref="I92:I94"/>
    <mergeCell ref="Y136:Y138"/>
    <mergeCell ref="Z79:Z80"/>
    <mergeCell ref="AA79:AA80"/>
    <mergeCell ref="AB77:AB78"/>
    <mergeCell ref="Z77:Z78"/>
    <mergeCell ref="AA77:AA78"/>
    <mergeCell ref="Y79:Y80"/>
    <mergeCell ref="I87:J87"/>
    <mergeCell ref="I135:J135"/>
    <mergeCell ref="I126:I127"/>
    <mergeCell ref="D36:D38"/>
    <mergeCell ref="I36:I38"/>
    <mergeCell ref="F36:F38"/>
    <mergeCell ref="Y36:Y37"/>
    <mergeCell ref="Y12:Y13"/>
    <mergeCell ref="Z12:Z13"/>
    <mergeCell ref="AA12:AA13"/>
    <mergeCell ref="I59:I61"/>
    <mergeCell ref="G12:G13"/>
    <mergeCell ref="H12:H13"/>
    <mergeCell ref="E18:E25"/>
    <mergeCell ref="F18:F25"/>
    <mergeCell ref="Y18:Y19"/>
    <mergeCell ref="E26:E31"/>
    <mergeCell ref="F26:F28"/>
    <mergeCell ref="F12:F13"/>
    <mergeCell ref="D49:D52"/>
    <mergeCell ref="Y39:Y40"/>
    <mergeCell ref="I41:J41"/>
    <mergeCell ref="I39:I40"/>
    <mergeCell ref="F29:F31"/>
    <mergeCell ref="H39:H40"/>
    <mergeCell ref="G39:G40"/>
    <mergeCell ref="G36:G38"/>
    <mergeCell ref="I26:I29"/>
    <mergeCell ref="I15:I17"/>
    <mergeCell ref="G54:G55"/>
    <mergeCell ref="H54:H55"/>
    <mergeCell ref="I49:I52"/>
    <mergeCell ref="E54:E56"/>
    <mergeCell ref="F54:F56"/>
    <mergeCell ref="E49:E52"/>
    <mergeCell ref="H36:H38"/>
    <mergeCell ref="F32:F33"/>
    <mergeCell ref="F34:F35"/>
    <mergeCell ref="A9:AB9"/>
    <mergeCell ref="AB12:AB13"/>
    <mergeCell ref="A15:A16"/>
    <mergeCell ref="B15:B16"/>
    <mergeCell ref="C15:C16"/>
    <mergeCell ref="A18:A25"/>
    <mergeCell ref="A12:A13"/>
    <mergeCell ref="B12:B13"/>
    <mergeCell ref="D12:D13"/>
    <mergeCell ref="E12:E13"/>
    <mergeCell ref="F15:F17"/>
    <mergeCell ref="B18:B25"/>
    <mergeCell ref="C18:C25"/>
    <mergeCell ref="D18:D25"/>
    <mergeCell ref="C12:C13"/>
    <mergeCell ref="E15:E17"/>
    <mergeCell ref="D15:D17"/>
    <mergeCell ref="G18:G25"/>
    <mergeCell ref="H18:H25"/>
    <mergeCell ref="A1:AB1"/>
    <mergeCell ref="A2:AB2"/>
    <mergeCell ref="A3:AB3"/>
    <mergeCell ref="Z4:AB4"/>
    <mergeCell ref="A5:A7"/>
    <mergeCell ref="B5:B7"/>
    <mergeCell ref="C5:C7"/>
    <mergeCell ref="D5:D7"/>
    <mergeCell ref="E5:E7"/>
    <mergeCell ref="F5:F7"/>
    <mergeCell ref="S6:S7"/>
    <mergeCell ref="T6:U6"/>
    <mergeCell ref="V6:V7"/>
    <mergeCell ref="Y6:Y7"/>
    <mergeCell ref="Z6:AB6"/>
    <mergeCell ref="S5:V5"/>
    <mergeCell ref="W5:W7"/>
    <mergeCell ref="I5:I7"/>
    <mergeCell ref="X5:X7"/>
    <mergeCell ref="Y5:AB5"/>
    <mergeCell ref="N6:N7"/>
    <mergeCell ref="O5:R5"/>
    <mergeCell ref="O6:O7"/>
    <mergeCell ref="K5:N5"/>
    <mergeCell ref="K6:K7"/>
    <mergeCell ref="L6:M6"/>
    <mergeCell ref="A8:AB8"/>
    <mergeCell ref="P6:Q6"/>
    <mergeCell ref="R6:R7"/>
    <mergeCell ref="J5:J7"/>
    <mergeCell ref="G15:G16"/>
    <mergeCell ref="A42:A43"/>
    <mergeCell ref="B42:B43"/>
    <mergeCell ref="C42:C43"/>
    <mergeCell ref="D42:D43"/>
    <mergeCell ref="E42:E43"/>
    <mergeCell ref="F42:F43"/>
    <mergeCell ref="G42:G43"/>
    <mergeCell ref="H42:H43"/>
    <mergeCell ref="D39:D40"/>
    <mergeCell ref="E39:E40"/>
    <mergeCell ref="F39:F40"/>
    <mergeCell ref="G5:G7"/>
    <mergeCell ref="H5:H7"/>
    <mergeCell ref="H15:H16"/>
    <mergeCell ref="I18:I20"/>
    <mergeCell ref="B10:AB10"/>
    <mergeCell ref="C11:AB11"/>
    <mergeCell ref="A44:A46"/>
    <mergeCell ref="B44:B46"/>
    <mergeCell ref="C44:C46"/>
    <mergeCell ref="D44:D46"/>
    <mergeCell ref="E44:E46"/>
    <mergeCell ref="F44:F46"/>
    <mergeCell ref="I44:I46"/>
    <mergeCell ref="A47:A48"/>
    <mergeCell ref="A54:A55"/>
    <mergeCell ref="G44:G46"/>
    <mergeCell ref="H44:H46"/>
    <mergeCell ref="I47:I48"/>
    <mergeCell ref="I53:J53"/>
    <mergeCell ref="B47:B48"/>
    <mergeCell ref="C47:C48"/>
    <mergeCell ref="D47:D48"/>
    <mergeCell ref="B54:B55"/>
    <mergeCell ref="C54:C55"/>
    <mergeCell ref="D54:D55"/>
    <mergeCell ref="A77:A78"/>
    <mergeCell ref="B77:B78"/>
    <mergeCell ref="C77:C78"/>
    <mergeCell ref="D77:D78"/>
    <mergeCell ref="E77:E78"/>
    <mergeCell ref="F77:F78"/>
    <mergeCell ref="G77:G78"/>
    <mergeCell ref="H77:H78"/>
    <mergeCell ref="Y77:Y78"/>
    <mergeCell ref="A59:A60"/>
    <mergeCell ref="B59:B60"/>
    <mergeCell ref="C59:C60"/>
    <mergeCell ref="D59:D60"/>
    <mergeCell ref="E59:E60"/>
    <mergeCell ref="F59:F60"/>
    <mergeCell ref="G59:G60"/>
    <mergeCell ref="H59:H60"/>
    <mergeCell ref="E62:E63"/>
    <mergeCell ref="A81:A82"/>
    <mergeCell ref="B81:B82"/>
    <mergeCell ref="C81:C82"/>
    <mergeCell ref="D81:D82"/>
    <mergeCell ref="E81:E82"/>
    <mergeCell ref="F81:F82"/>
    <mergeCell ref="I81:I82"/>
    <mergeCell ref="A79:A80"/>
    <mergeCell ref="B79:B80"/>
    <mergeCell ref="C79:C80"/>
    <mergeCell ref="D79:D80"/>
    <mergeCell ref="E79:E80"/>
    <mergeCell ref="F79:F80"/>
    <mergeCell ref="G79:G80"/>
    <mergeCell ref="H79:H80"/>
    <mergeCell ref="I79:I80"/>
    <mergeCell ref="A92:A95"/>
    <mergeCell ref="B92:B95"/>
    <mergeCell ref="C92:C95"/>
    <mergeCell ref="D92:D95"/>
    <mergeCell ref="E92:E95"/>
    <mergeCell ref="F92:F95"/>
    <mergeCell ref="Y92:Y93"/>
    <mergeCell ref="F103:F104"/>
    <mergeCell ref="G103:G104"/>
    <mergeCell ref="H103:H104"/>
    <mergeCell ref="I103:I104"/>
    <mergeCell ref="D101:D102"/>
    <mergeCell ref="E101:E102"/>
    <mergeCell ref="F101:F102"/>
    <mergeCell ref="G101:G102"/>
    <mergeCell ref="A96:A104"/>
    <mergeCell ref="B96:B104"/>
    <mergeCell ref="C96:C104"/>
    <mergeCell ref="E96:E97"/>
    <mergeCell ref="G98:G100"/>
    <mergeCell ref="E98:E99"/>
    <mergeCell ref="F98:F99"/>
    <mergeCell ref="H101:H102"/>
    <mergeCell ref="I101:I102"/>
    <mergeCell ref="B109:B110"/>
    <mergeCell ref="Y141:Y144"/>
    <mergeCell ref="I129:I132"/>
    <mergeCell ref="H129:H132"/>
    <mergeCell ref="G129:G132"/>
    <mergeCell ref="A111:A116"/>
    <mergeCell ref="B111:B116"/>
    <mergeCell ref="Y106:AB106"/>
    <mergeCell ref="Y111:Y112"/>
    <mergeCell ref="Z111:Z112"/>
    <mergeCell ref="D111:D116"/>
    <mergeCell ref="E111:E116"/>
    <mergeCell ref="F111:F112"/>
    <mergeCell ref="C107:C108"/>
    <mergeCell ref="D107:D108"/>
    <mergeCell ref="E107:E108"/>
    <mergeCell ref="I107:I108"/>
    <mergeCell ref="AA111:AA112"/>
    <mergeCell ref="AB111:AB112"/>
    <mergeCell ref="Z113:Z114"/>
    <mergeCell ref="AA113:AA114"/>
    <mergeCell ref="AB113:AB114"/>
    <mergeCell ref="I109:I110"/>
    <mergeCell ref="I111:I112"/>
    <mergeCell ref="A141:A144"/>
    <mergeCell ref="B141:B144"/>
    <mergeCell ref="C141:C144"/>
    <mergeCell ref="D141:D144"/>
    <mergeCell ref="E141:E144"/>
    <mergeCell ref="F141:F144"/>
    <mergeCell ref="G141:G144"/>
    <mergeCell ref="H141:H144"/>
    <mergeCell ref="I141:I144"/>
    <mergeCell ref="B136:B138"/>
    <mergeCell ref="C136:C138"/>
    <mergeCell ref="D136:D138"/>
    <mergeCell ref="E136:E138"/>
    <mergeCell ref="F136:F138"/>
    <mergeCell ref="I136:I138"/>
    <mergeCell ref="C139:J139"/>
    <mergeCell ref="Y139:AB139"/>
    <mergeCell ref="C140:AB140"/>
    <mergeCell ref="G136:G138"/>
    <mergeCell ref="H136:H138"/>
    <mergeCell ref="Y162:Y163"/>
    <mergeCell ref="A165:A167"/>
    <mergeCell ref="E165:E167"/>
    <mergeCell ref="I165:I167"/>
    <mergeCell ref="Y165:Y167"/>
    <mergeCell ref="A162:A164"/>
    <mergeCell ref="B162:B164"/>
    <mergeCell ref="C162:C164"/>
    <mergeCell ref="D162:D164"/>
    <mergeCell ref="E162:E164"/>
    <mergeCell ref="I162:I164"/>
    <mergeCell ref="F162:F164"/>
    <mergeCell ref="G162:G164"/>
    <mergeCell ref="H162:H164"/>
    <mergeCell ref="A171:AB171"/>
    <mergeCell ref="A172:V172"/>
    <mergeCell ref="A173:V173"/>
    <mergeCell ref="A174:J174"/>
    <mergeCell ref="K174:N174"/>
    <mergeCell ref="O174:R174"/>
    <mergeCell ref="S174:V174"/>
    <mergeCell ref="C168:J168"/>
    <mergeCell ref="Y168:AB168"/>
    <mergeCell ref="B169:J169"/>
    <mergeCell ref="Y169:AB169"/>
    <mergeCell ref="B170:J170"/>
    <mergeCell ref="Y170:AB170"/>
    <mergeCell ref="K177:N177"/>
    <mergeCell ref="O177:R177"/>
    <mergeCell ref="S177:V177"/>
    <mergeCell ref="A178:J178"/>
    <mergeCell ref="K178:N178"/>
    <mergeCell ref="O178:R178"/>
    <mergeCell ref="S178:V178"/>
    <mergeCell ref="A175:J175"/>
    <mergeCell ref="K175:N175"/>
    <mergeCell ref="O175:R175"/>
    <mergeCell ref="S175:V175"/>
    <mergeCell ref="A176:J176"/>
    <mergeCell ref="K176:N176"/>
    <mergeCell ref="O176:R176"/>
    <mergeCell ref="S176:V176"/>
    <mergeCell ref="A183:J183"/>
    <mergeCell ref="K183:N183"/>
    <mergeCell ref="O183:R183"/>
    <mergeCell ref="S183:V183"/>
    <mergeCell ref="A184:J184"/>
    <mergeCell ref="K184:N184"/>
    <mergeCell ref="O184:R184"/>
    <mergeCell ref="S184:V184"/>
    <mergeCell ref="A179:J179"/>
    <mergeCell ref="K179:N179"/>
    <mergeCell ref="O179:R179"/>
    <mergeCell ref="S179:V179"/>
    <mergeCell ref="A180:J180"/>
    <mergeCell ref="K180:N180"/>
    <mergeCell ref="O180:R180"/>
    <mergeCell ref="S180:V180"/>
    <mergeCell ref="A187:J187"/>
    <mergeCell ref="K187:N187"/>
    <mergeCell ref="O187:R187"/>
    <mergeCell ref="S187:V187"/>
    <mergeCell ref="A185:J185"/>
    <mergeCell ref="K185:N185"/>
    <mergeCell ref="O185:R185"/>
    <mergeCell ref="S185:V185"/>
    <mergeCell ref="A186:J186"/>
    <mergeCell ref="K186:N186"/>
    <mergeCell ref="O186:R186"/>
    <mergeCell ref="S186:V186"/>
    <mergeCell ref="I147:I148"/>
    <mergeCell ref="D147:D149"/>
    <mergeCell ref="Y147:Y149"/>
    <mergeCell ref="E150:E152"/>
    <mergeCell ref="F150:F152"/>
    <mergeCell ref="G150:G152"/>
    <mergeCell ref="H150:H152"/>
    <mergeCell ref="I150:I151"/>
    <mergeCell ref="C150:C152"/>
    <mergeCell ref="D150:D152"/>
    <mergeCell ref="H148:H149"/>
    <mergeCell ref="F129:F132"/>
    <mergeCell ref="E126:E127"/>
    <mergeCell ref="C109:C110"/>
    <mergeCell ref="C119:C125"/>
    <mergeCell ref="E124:E125"/>
    <mergeCell ref="D88:D91"/>
    <mergeCell ref="F88:F91"/>
    <mergeCell ref="C148:C149"/>
    <mergeCell ref="E148:E149"/>
    <mergeCell ref="F148:F149"/>
    <mergeCell ref="D109:D110"/>
    <mergeCell ref="D103:D104"/>
    <mergeCell ref="E103:E104"/>
    <mergeCell ref="E88:E89"/>
    <mergeCell ref="C118:AB118"/>
    <mergeCell ref="Y145:AB145"/>
    <mergeCell ref="G92:G95"/>
    <mergeCell ref="H92:H95"/>
    <mergeCell ref="I113:I116"/>
    <mergeCell ref="Y113:Y114"/>
    <mergeCell ref="Y115:Y116"/>
    <mergeCell ref="I88:I90"/>
    <mergeCell ref="H88:H91"/>
    <mergeCell ref="G109:G110"/>
    <mergeCell ref="X68:X70"/>
    <mergeCell ref="E68:E70"/>
    <mergeCell ref="K68:K70"/>
    <mergeCell ref="L68:L70"/>
    <mergeCell ref="M68:M70"/>
    <mergeCell ref="N68:N70"/>
    <mergeCell ref="O68:O70"/>
    <mergeCell ref="P68:P70"/>
    <mergeCell ref="Q68:Q70"/>
    <mergeCell ref="R68:R70"/>
    <mergeCell ref="A136:A138"/>
    <mergeCell ref="A181:J181"/>
    <mergeCell ref="K181:N181"/>
    <mergeCell ref="O181:R181"/>
    <mergeCell ref="S181:V181"/>
    <mergeCell ref="B150:B152"/>
    <mergeCell ref="A182:J182"/>
    <mergeCell ref="K182:N182"/>
    <mergeCell ref="A160:A161"/>
    <mergeCell ref="B160:B161"/>
    <mergeCell ref="C160:C161"/>
    <mergeCell ref="D160:D161"/>
    <mergeCell ref="E160:E161"/>
    <mergeCell ref="A148:A149"/>
    <mergeCell ref="B148:B149"/>
    <mergeCell ref="F155:F161"/>
    <mergeCell ref="H155:H161"/>
    <mergeCell ref="I156:I159"/>
    <mergeCell ref="G148:G149"/>
    <mergeCell ref="O182:R182"/>
    <mergeCell ref="S182:V182"/>
    <mergeCell ref="A177:J177"/>
    <mergeCell ref="C153:J153"/>
    <mergeCell ref="C154:AB154"/>
    <mergeCell ref="X188:Y188"/>
    <mergeCell ref="P188:Q188"/>
    <mergeCell ref="A150:A152"/>
    <mergeCell ref="G57:G58"/>
    <mergeCell ref="I57:I58"/>
    <mergeCell ref="H57:H58"/>
    <mergeCell ref="F57:F58"/>
    <mergeCell ref="I106:J106"/>
    <mergeCell ref="A88:A91"/>
    <mergeCell ref="B88:B91"/>
    <mergeCell ref="C88:C91"/>
    <mergeCell ref="I121:I123"/>
    <mergeCell ref="I124:I125"/>
    <mergeCell ref="A119:A125"/>
    <mergeCell ref="B119:B125"/>
    <mergeCell ref="C117:J117"/>
    <mergeCell ref="C111:C116"/>
    <mergeCell ref="E109:E110"/>
    <mergeCell ref="F109:F110"/>
    <mergeCell ref="E119:E120"/>
    <mergeCell ref="E121:E123"/>
    <mergeCell ref="A109:A110"/>
    <mergeCell ref="C146:AB146"/>
    <mergeCell ref="C145:J145"/>
  </mergeCells>
  <printOptions horizontalCentered="1"/>
  <pageMargins left="0.23622047244094491" right="0.23622047244094491" top="0.39370078740157483" bottom="0.11811023622047245" header="0" footer="0"/>
  <pageSetup paperSize="9" scale="73" orientation="landscape" r:id="rId1"/>
  <rowBreaks count="6" manualBreakCount="6">
    <brk id="35" max="27" man="1"/>
    <brk id="67" max="27" man="1"/>
    <brk id="95" max="27" man="1"/>
    <brk id="120" max="27" man="1"/>
    <brk id="146" max="27" man="1"/>
    <brk id="172" max="2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84"/>
  <sheetViews>
    <sheetView workbookViewId="0">
      <selection activeCell="V11" sqref="V11"/>
    </sheetView>
  </sheetViews>
  <sheetFormatPr defaultRowHeight="12.75" x14ac:dyDescent="0.2"/>
  <cols>
    <col min="1" max="3" width="2.7109375" style="10" customWidth="1"/>
    <col min="4" max="4" width="29.42578125" style="10" customWidth="1"/>
    <col min="5" max="5" width="2.7109375" style="48" customWidth="1"/>
    <col min="6" max="6" width="2.7109375" style="10" customWidth="1"/>
    <col min="7" max="7" width="2.7109375" style="65" customWidth="1"/>
    <col min="8" max="8" width="7.7109375" style="91" customWidth="1"/>
    <col min="9" max="9" width="8.5703125" style="10" customWidth="1"/>
    <col min="10" max="10" width="7.42578125" style="10" customWidth="1"/>
    <col min="11" max="11" width="6.140625" style="10" customWidth="1"/>
    <col min="12" max="12" width="6.7109375" style="10" customWidth="1"/>
    <col min="13" max="13" width="8.140625" style="10" customWidth="1"/>
    <col min="14" max="14" width="7.5703125" style="10" customWidth="1"/>
    <col min="15" max="15" width="23.5703125" style="10" customWidth="1"/>
    <col min="16" max="17" width="3.7109375" style="10" customWidth="1"/>
    <col min="18" max="18" width="3.85546875" style="10" customWidth="1"/>
    <col min="19" max="16384" width="9.140625" style="5"/>
  </cols>
  <sheetData>
    <row r="1" spans="1:22" ht="15.75" x14ac:dyDescent="0.2">
      <c r="O1" s="1963" t="s">
        <v>220</v>
      </c>
      <c r="P1" s="1964"/>
      <c r="Q1" s="1964"/>
      <c r="R1" s="1964"/>
    </row>
    <row r="2" spans="1:22" ht="15.75" x14ac:dyDescent="0.2">
      <c r="A2" s="2218" t="s">
        <v>202</v>
      </c>
      <c r="B2" s="2218"/>
      <c r="C2" s="2218"/>
      <c r="D2" s="2218"/>
      <c r="E2" s="2218"/>
      <c r="F2" s="2218"/>
      <c r="G2" s="2218"/>
      <c r="H2" s="2218"/>
      <c r="I2" s="2218"/>
      <c r="J2" s="2218"/>
      <c r="K2" s="2218"/>
      <c r="L2" s="2218"/>
      <c r="M2" s="2218"/>
      <c r="N2" s="2218"/>
      <c r="O2" s="2218"/>
      <c r="P2" s="2218"/>
      <c r="Q2" s="2218"/>
      <c r="R2" s="2218"/>
    </row>
    <row r="3" spans="1:22" ht="15.75" x14ac:dyDescent="0.2">
      <c r="A3" s="2219" t="s">
        <v>37</v>
      </c>
      <c r="B3" s="2219"/>
      <c r="C3" s="2219"/>
      <c r="D3" s="2219"/>
      <c r="E3" s="2219"/>
      <c r="F3" s="2219"/>
      <c r="G3" s="2219"/>
      <c r="H3" s="2219"/>
      <c r="I3" s="2219"/>
      <c r="J3" s="2219"/>
      <c r="K3" s="2219"/>
      <c r="L3" s="2219"/>
      <c r="M3" s="2219"/>
      <c r="N3" s="2219"/>
      <c r="O3" s="2219"/>
      <c r="P3" s="2219"/>
      <c r="Q3" s="2219"/>
      <c r="R3" s="2219"/>
    </row>
    <row r="4" spans="1:22" ht="15.75" x14ac:dyDescent="0.2">
      <c r="A4" s="2220" t="s">
        <v>23</v>
      </c>
      <c r="B4" s="2220"/>
      <c r="C4" s="2220"/>
      <c r="D4" s="2220"/>
      <c r="E4" s="2220"/>
      <c r="F4" s="2220"/>
      <c r="G4" s="2220"/>
      <c r="H4" s="2220"/>
      <c r="I4" s="2220"/>
      <c r="J4" s="2220"/>
      <c r="K4" s="2220"/>
      <c r="L4" s="2220"/>
      <c r="M4" s="2220"/>
      <c r="N4" s="2220"/>
      <c r="O4" s="2220"/>
      <c r="P4" s="2220"/>
      <c r="Q4" s="2220"/>
      <c r="R4" s="2220"/>
      <c r="S4" s="1"/>
      <c r="T4" s="1"/>
      <c r="U4" s="1"/>
      <c r="V4" s="1"/>
    </row>
    <row r="5" spans="1:22" ht="13.5" thickBot="1" x14ac:dyDescent="0.25">
      <c r="P5" s="2221" t="s">
        <v>0</v>
      </c>
      <c r="Q5" s="2221"/>
      <c r="R5" s="2221"/>
    </row>
    <row r="6" spans="1:22" x14ac:dyDescent="0.2">
      <c r="A6" s="2222" t="s">
        <v>24</v>
      </c>
      <c r="B6" s="2225" t="s">
        <v>1</v>
      </c>
      <c r="C6" s="2225" t="s">
        <v>2</v>
      </c>
      <c r="D6" s="2228" t="s">
        <v>16</v>
      </c>
      <c r="E6" s="2231" t="s">
        <v>3</v>
      </c>
      <c r="F6" s="2190" t="s">
        <v>189</v>
      </c>
      <c r="G6" s="2193" t="s">
        <v>4</v>
      </c>
      <c r="H6" s="2196" t="s">
        <v>5</v>
      </c>
      <c r="I6" s="2181" t="s">
        <v>141</v>
      </c>
      <c r="J6" s="2182"/>
      <c r="K6" s="2182"/>
      <c r="L6" s="2183"/>
      <c r="M6" s="2184" t="s">
        <v>33</v>
      </c>
      <c r="N6" s="2184" t="s">
        <v>142</v>
      </c>
      <c r="O6" s="2187" t="s">
        <v>15</v>
      </c>
      <c r="P6" s="2188"/>
      <c r="Q6" s="2188"/>
      <c r="R6" s="2189"/>
    </row>
    <row r="7" spans="1:22" x14ac:dyDescent="0.2">
      <c r="A7" s="2223"/>
      <c r="B7" s="2226"/>
      <c r="C7" s="2226"/>
      <c r="D7" s="2229"/>
      <c r="E7" s="2232"/>
      <c r="F7" s="2191"/>
      <c r="G7" s="2194"/>
      <c r="H7" s="2197"/>
      <c r="I7" s="2234" t="s">
        <v>6</v>
      </c>
      <c r="J7" s="2235" t="s">
        <v>7</v>
      </c>
      <c r="K7" s="2236"/>
      <c r="L7" s="2237" t="s">
        <v>22</v>
      </c>
      <c r="M7" s="2185"/>
      <c r="N7" s="2185"/>
      <c r="O7" s="2239" t="s">
        <v>16</v>
      </c>
      <c r="P7" s="2235" t="s">
        <v>8</v>
      </c>
      <c r="Q7" s="2241"/>
      <c r="R7" s="2242"/>
    </row>
    <row r="8" spans="1:22" ht="61.5" thickBot="1" x14ac:dyDescent="0.25">
      <c r="A8" s="2224"/>
      <c r="B8" s="2227"/>
      <c r="C8" s="2227"/>
      <c r="D8" s="2230"/>
      <c r="E8" s="2233"/>
      <c r="F8" s="2192"/>
      <c r="G8" s="2195"/>
      <c r="H8" s="2198"/>
      <c r="I8" s="2224"/>
      <c r="J8" s="7" t="s">
        <v>6</v>
      </c>
      <c r="K8" s="6" t="s">
        <v>17</v>
      </c>
      <c r="L8" s="2238"/>
      <c r="M8" s="2186"/>
      <c r="N8" s="2186"/>
      <c r="O8" s="2240"/>
      <c r="P8" s="8" t="s">
        <v>34</v>
      </c>
      <c r="Q8" s="8" t="s">
        <v>35</v>
      </c>
      <c r="R8" s="9" t="s">
        <v>143</v>
      </c>
    </row>
    <row r="9" spans="1:22" s="31" customFormat="1" x14ac:dyDescent="0.2">
      <c r="A9" s="2178" t="s">
        <v>135</v>
      </c>
      <c r="B9" s="2179"/>
      <c r="C9" s="2179"/>
      <c r="D9" s="2179"/>
      <c r="E9" s="2179"/>
      <c r="F9" s="2179"/>
      <c r="G9" s="2179"/>
      <c r="H9" s="2179"/>
      <c r="I9" s="2179"/>
      <c r="J9" s="2179"/>
      <c r="K9" s="2179"/>
      <c r="L9" s="2179"/>
      <c r="M9" s="2179"/>
      <c r="N9" s="2179"/>
      <c r="O9" s="2179"/>
      <c r="P9" s="2179"/>
      <c r="Q9" s="2179"/>
      <c r="R9" s="2180"/>
    </row>
    <row r="10" spans="1:22" s="31" customFormat="1" x14ac:dyDescent="0.2">
      <c r="A10" s="2199" t="s">
        <v>85</v>
      </c>
      <c r="B10" s="2200"/>
      <c r="C10" s="2200"/>
      <c r="D10" s="2200"/>
      <c r="E10" s="2200"/>
      <c r="F10" s="2200"/>
      <c r="G10" s="2200"/>
      <c r="H10" s="2200"/>
      <c r="I10" s="2200"/>
      <c r="J10" s="2200"/>
      <c r="K10" s="2200"/>
      <c r="L10" s="2200"/>
      <c r="M10" s="2200"/>
      <c r="N10" s="2200"/>
      <c r="O10" s="2200"/>
      <c r="P10" s="2200"/>
      <c r="Q10" s="2200"/>
      <c r="R10" s="2201"/>
    </row>
    <row r="11" spans="1:22" ht="25.5" x14ac:dyDescent="0.2">
      <c r="A11" s="98" t="s">
        <v>9</v>
      </c>
      <c r="B11" s="2202" t="s">
        <v>136</v>
      </c>
      <c r="C11" s="2203"/>
      <c r="D11" s="2203"/>
      <c r="E11" s="2203"/>
      <c r="F11" s="2203"/>
      <c r="G11" s="2203"/>
      <c r="H11" s="2203"/>
      <c r="I11" s="2203"/>
      <c r="J11" s="2203"/>
      <c r="K11" s="2203"/>
      <c r="L11" s="2203"/>
      <c r="M11" s="2203"/>
      <c r="N11" s="2203"/>
      <c r="O11" s="2203"/>
      <c r="P11" s="2203"/>
      <c r="Q11" s="2203"/>
      <c r="R11" s="2204"/>
    </row>
    <row r="12" spans="1:22" x14ac:dyDescent="0.2">
      <c r="A12" s="96" t="s">
        <v>9</v>
      </c>
      <c r="B12" s="97" t="s">
        <v>9</v>
      </c>
      <c r="C12" s="2205" t="s">
        <v>70</v>
      </c>
      <c r="D12" s="2206"/>
      <c r="E12" s="2206"/>
      <c r="F12" s="2206"/>
      <c r="G12" s="2206"/>
      <c r="H12" s="2206"/>
      <c r="I12" s="2206"/>
      <c r="J12" s="2206"/>
      <c r="K12" s="2206"/>
      <c r="L12" s="2206"/>
      <c r="M12" s="2206"/>
      <c r="N12" s="2206"/>
      <c r="O12" s="2206"/>
      <c r="P12" s="2206"/>
      <c r="Q12" s="2206"/>
      <c r="R12" s="2207"/>
    </row>
    <row r="13" spans="1:22" x14ac:dyDescent="0.2">
      <c r="A13" s="2003" t="s">
        <v>9</v>
      </c>
      <c r="B13" s="2101" t="s">
        <v>9</v>
      </c>
      <c r="C13" s="2122" t="s">
        <v>9</v>
      </c>
      <c r="D13" s="2164" t="s">
        <v>112</v>
      </c>
      <c r="E13" s="2042"/>
      <c r="F13" s="2044" t="s">
        <v>44</v>
      </c>
      <c r="G13" s="1989" t="s">
        <v>40</v>
      </c>
      <c r="H13" s="140" t="s">
        <v>36</v>
      </c>
      <c r="I13" s="324">
        <f>J13+L13</f>
        <v>979.7</v>
      </c>
      <c r="J13" s="226">
        <f>949.7-99.9</f>
        <v>849.80000000000007</v>
      </c>
      <c r="K13" s="226"/>
      <c r="L13" s="251">
        <f>30+99.9</f>
        <v>129.9</v>
      </c>
      <c r="M13" s="325">
        <v>1841.4</v>
      </c>
      <c r="N13" s="46">
        <v>826.4</v>
      </c>
      <c r="O13" s="2106"/>
      <c r="P13" s="2214"/>
      <c r="Q13" s="2214"/>
      <c r="R13" s="2216"/>
    </row>
    <row r="14" spans="1:22" x14ac:dyDescent="0.2">
      <c r="A14" s="2003"/>
      <c r="B14" s="2101"/>
      <c r="C14" s="2122"/>
      <c r="D14" s="2164"/>
      <c r="E14" s="2042"/>
      <c r="F14" s="2044"/>
      <c r="G14" s="1989"/>
      <c r="H14" s="140"/>
      <c r="I14" s="324"/>
      <c r="J14" s="226"/>
      <c r="K14" s="226"/>
      <c r="L14" s="251"/>
      <c r="M14" s="82"/>
      <c r="N14" s="70"/>
      <c r="O14" s="2107"/>
      <c r="P14" s="2215"/>
      <c r="Q14" s="2215"/>
      <c r="R14" s="2217"/>
    </row>
    <row r="15" spans="1:22" x14ac:dyDescent="0.2">
      <c r="A15" s="2003"/>
      <c r="B15" s="2101"/>
      <c r="C15" s="2122"/>
      <c r="D15" s="2016" t="s">
        <v>46</v>
      </c>
      <c r="E15" s="2243"/>
      <c r="F15" s="2173"/>
      <c r="G15" s="2161"/>
      <c r="H15" s="140"/>
      <c r="I15" s="326"/>
      <c r="J15" s="226"/>
      <c r="K15" s="226"/>
      <c r="L15" s="251"/>
      <c r="M15" s="325"/>
      <c r="N15" s="46"/>
      <c r="O15" s="2174" t="s">
        <v>97</v>
      </c>
      <c r="P15" s="118">
        <v>3.5</v>
      </c>
      <c r="Q15" s="118">
        <v>3.4</v>
      </c>
      <c r="R15" s="119">
        <v>3.5</v>
      </c>
    </row>
    <row r="16" spans="1:22" x14ac:dyDescent="0.2">
      <c r="A16" s="2003"/>
      <c r="B16" s="2101"/>
      <c r="C16" s="2122"/>
      <c r="D16" s="2177"/>
      <c r="E16" s="2244"/>
      <c r="F16" s="2095"/>
      <c r="G16" s="2096"/>
      <c r="H16" s="327"/>
      <c r="I16" s="328"/>
      <c r="J16" s="329"/>
      <c r="K16" s="329"/>
      <c r="L16" s="330"/>
      <c r="M16" s="331"/>
      <c r="N16" s="332"/>
      <c r="O16" s="2107"/>
      <c r="P16" s="60"/>
      <c r="Q16" s="60"/>
      <c r="R16" s="149"/>
      <c r="S16" s="14"/>
      <c r="U16" s="13"/>
    </row>
    <row r="17" spans="1:28" x14ac:dyDescent="0.2">
      <c r="A17" s="2003"/>
      <c r="B17" s="2101"/>
      <c r="C17" s="2122"/>
      <c r="D17" s="2175" t="s">
        <v>47</v>
      </c>
      <c r="E17" s="2125"/>
      <c r="F17" s="2092"/>
      <c r="G17" s="1989"/>
      <c r="H17" s="320"/>
      <c r="I17" s="326"/>
      <c r="J17" s="226"/>
      <c r="K17" s="226"/>
      <c r="L17" s="251"/>
      <c r="M17" s="333"/>
      <c r="N17" s="334"/>
      <c r="O17" s="2145" t="s">
        <v>49</v>
      </c>
      <c r="P17" s="665">
        <v>5</v>
      </c>
      <c r="Q17" s="665">
        <v>5</v>
      </c>
      <c r="R17" s="667">
        <v>5</v>
      </c>
    </row>
    <row r="18" spans="1:28" x14ac:dyDescent="0.2">
      <c r="A18" s="2003"/>
      <c r="B18" s="2101"/>
      <c r="C18" s="2122"/>
      <c r="D18" s="2175"/>
      <c r="E18" s="2125"/>
      <c r="F18" s="2092"/>
      <c r="G18" s="1989"/>
      <c r="H18" s="327"/>
      <c r="I18" s="328"/>
      <c r="J18" s="329"/>
      <c r="K18" s="329"/>
      <c r="L18" s="330"/>
      <c r="M18" s="331"/>
      <c r="N18" s="332"/>
      <c r="O18" s="2176"/>
      <c r="P18" s="665"/>
      <c r="Q18" s="665"/>
      <c r="R18" s="667"/>
    </row>
    <row r="19" spans="1:28" x14ac:dyDescent="0.2">
      <c r="A19" s="2003"/>
      <c r="B19" s="2101"/>
      <c r="C19" s="2122"/>
      <c r="D19" s="2016" t="s">
        <v>48</v>
      </c>
      <c r="E19" s="2159"/>
      <c r="F19" s="2160"/>
      <c r="G19" s="2161"/>
      <c r="H19" s="320"/>
      <c r="I19" s="326"/>
      <c r="J19" s="226"/>
      <c r="K19" s="226"/>
      <c r="L19" s="251"/>
      <c r="M19" s="333"/>
      <c r="N19" s="334"/>
      <c r="O19" s="2145" t="s">
        <v>113</v>
      </c>
      <c r="P19" s="517">
        <v>4</v>
      </c>
      <c r="Q19" s="517">
        <v>4</v>
      </c>
      <c r="R19" s="516">
        <v>4</v>
      </c>
    </row>
    <row r="20" spans="1:28" x14ac:dyDescent="0.2">
      <c r="A20" s="2003"/>
      <c r="B20" s="2101"/>
      <c r="C20" s="2122"/>
      <c r="D20" s="2175"/>
      <c r="E20" s="2125"/>
      <c r="F20" s="2092"/>
      <c r="G20" s="1989"/>
      <c r="H20" s="320"/>
      <c r="I20" s="326"/>
      <c r="J20" s="226"/>
      <c r="K20" s="226"/>
      <c r="L20" s="251"/>
      <c r="M20" s="333"/>
      <c r="N20" s="334"/>
      <c r="O20" s="2030"/>
      <c r="P20" s="665"/>
      <c r="Q20" s="665"/>
      <c r="R20" s="667"/>
    </row>
    <row r="21" spans="1:28" ht="25.5" x14ac:dyDescent="0.2">
      <c r="A21" s="2003"/>
      <c r="B21" s="2101"/>
      <c r="C21" s="2122"/>
      <c r="D21" s="2175"/>
      <c r="E21" s="2125"/>
      <c r="F21" s="2092"/>
      <c r="G21" s="1989"/>
      <c r="H21" s="320"/>
      <c r="I21" s="326"/>
      <c r="J21" s="226"/>
      <c r="K21" s="226"/>
      <c r="L21" s="251"/>
      <c r="M21" s="333"/>
      <c r="N21" s="334"/>
      <c r="O21" s="639" t="s">
        <v>147</v>
      </c>
      <c r="P21" s="665">
        <v>20</v>
      </c>
      <c r="Q21" s="665"/>
      <c r="R21" s="667"/>
    </row>
    <row r="22" spans="1:28" x14ac:dyDescent="0.2">
      <c r="A22" s="2003"/>
      <c r="B22" s="2101"/>
      <c r="C22" s="2122"/>
      <c r="D22" s="2175"/>
      <c r="E22" s="2125"/>
      <c r="F22" s="2092"/>
      <c r="G22" s="1989"/>
      <c r="H22" s="320"/>
      <c r="I22" s="326"/>
      <c r="J22" s="226"/>
      <c r="K22" s="226"/>
      <c r="L22" s="251"/>
      <c r="M22" s="333"/>
      <c r="N22" s="334"/>
      <c r="O22" s="17" t="s">
        <v>140</v>
      </c>
      <c r="P22" s="665">
        <v>1</v>
      </c>
      <c r="Q22" s="665">
        <v>1</v>
      </c>
      <c r="R22" s="667">
        <v>1</v>
      </c>
    </row>
    <row r="23" spans="1:28" x14ac:dyDescent="0.2">
      <c r="A23" s="2003"/>
      <c r="B23" s="2101"/>
      <c r="C23" s="2122"/>
      <c r="D23" s="2175"/>
      <c r="E23" s="2125"/>
      <c r="F23" s="2092"/>
      <c r="G23" s="1989"/>
      <c r="H23" s="320"/>
      <c r="I23" s="326"/>
      <c r="J23" s="226"/>
      <c r="K23" s="226"/>
      <c r="L23" s="251"/>
      <c r="M23" s="321"/>
      <c r="N23" s="322"/>
      <c r="O23" s="17" t="s">
        <v>50</v>
      </c>
      <c r="P23" s="665">
        <v>44</v>
      </c>
      <c r="Q23" s="665">
        <v>30</v>
      </c>
      <c r="R23" s="667">
        <v>30</v>
      </c>
    </row>
    <row r="24" spans="1:28" x14ac:dyDescent="0.2">
      <c r="A24" s="2003"/>
      <c r="B24" s="2101"/>
      <c r="C24" s="2122"/>
      <c r="D24" s="2175"/>
      <c r="E24" s="2125"/>
      <c r="F24" s="2092"/>
      <c r="G24" s="1989"/>
      <c r="H24" s="320"/>
      <c r="I24" s="326"/>
      <c r="J24" s="226"/>
      <c r="K24" s="226"/>
      <c r="L24" s="251"/>
      <c r="M24" s="321"/>
      <c r="N24" s="322"/>
      <c r="O24" s="17" t="s">
        <v>51</v>
      </c>
      <c r="P24" s="665">
        <v>8</v>
      </c>
      <c r="Q24" s="665">
        <v>10</v>
      </c>
      <c r="R24" s="667">
        <v>10</v>
      </c>
    </row>
    <row r="25" spans="1:28" x14ac:dyDescent="0.2">
      <c r="A25" s="2003"/>
      <c r="B25" s="2101"/>
      <c r="C25" s="2122"/>
      <c r="D25" s="2175"/>
      <c r="E25" s="2155"/>
      <c r="F25" s="2092"/>
      <c r="G25" s="1989"/>
      <c r="H25" s="327"/>
      <c r="I25" s="328"/>
      <c r="J25" s="329"/>
      <c r="K25" s="329"/>
      <c r="L25" s="330"/>
      <c r="M25" s="331"/>
      <c r="N25" s="332"/>
      <c r="O25" s="62" t="s">
        <v>52</v>
      </c>
      <c r="P25" s="677">
        <v>28</v>
      </c>
      <c r="Q25" s="677">
        <v>30</v>
      </c>
      <c r="R25" s="678">
        <v>30</v>
      </c>
    </row>
    <row r="26" spans="1:28" ht="25.5" x14ac:dyDescent="0.2">
      <c r="A26" s="95"/>
      <c r="B26" s="645"/>
      <c r="C26" s="656"/>
      <c r="D26" s="2166" t="s">
        <v>201</v>
      </c>
      <c r="E26" s="2159" t="s">
        <v>171</v>
      </c>
      <c r="F26" s="675"/>
      <c r="G26" s="85"/>
      <c r="H26" s="335"/>
      <c r="I26" s="326"/>
      <c r="J26" s="226"/>
      <c r="K26" s="329"/>
      <c r="L26" s="330"/>
      <c r="M26" s="321"/>
      <c r="N26" s="332"/>
      <c r="O26" s="213" t="s">
        <v>186</v>
      </c>
      <c r="P26" s="214">
        <v>1</v>
      </c>
      <c r="Q26" s="205">
        <v>1</v>
      </c>
      <c r="R26" s="86"/>
      <c r="AA26" s="14"/>
      <c r="AB26" s="14"/>
    </row>
    <row r="27" spans="1:28" ht="13.5" thickBot="1" x14ac:dyDescent="0.25">
      <c r="A27" s="99"/>
      <c r="B27" s="653"/>
      <c r="C27" s="657"/>
      <c r="D27" s="2167"/>
      <c r="E27" s="2168"/>
      <c r="F27" s="662"/>
      <c r="G27" s="93"/>
      <c r="H27" s="610"/>
      <c r="I27" s="611"/>
      <c r="J27" s="351"/>
      <c r="K27" s="573"/>
      <c r="L27" s="577"/>
      <c r="M27" s="612"/>
      <c r="N27" s="578"/>
      <c r="O27" s="18" t="s">
        <v>187</v>
      </c>
      <c r="P27" s="613">
        <v>100</v>
      </c>
      <c r="Q27" s="87">
        <v>100</v>
      </c>
      <c r="R27" s="88"/>
      <c r="AA27" s="14"/>
      <c r="AB27" s="14"/>
    </row>
    <row r="28" spans="1:28" x14ac:dyDescent="0.2">
      <c r="A28" s="371"/>
      <c r="B28" s="652"/>
      <c r="C28" s="655"/>
      <c r="D28" s="2169" t="s">
        <v>190</v>
      </c>
      <c r="E28" s="2171" t="s">
        <v>171</v>
      </c>
      <c r="F28" s="661"/>
      <c r="G28" s="92"/>
      <c r="H28" s="579" t="s">
        <v>94</v>
      </c>
      <c r="I28" s="274">
        <f>J28</f>
        <v>150</v>
      </c>
      <c r="J28" s="276">
        <v>150</v>
      </c>
      <c r="K28" s="580"/>
      <c r="L28" s="581"/>
      <c r="M28" s="614">
        <v>100</v>
      </c>
      <c r="N28" s="615"/>
      <c r="O28" s="616" t="s">
        <v>163</v>
      </c>
      <c r="P28" s="617">
        <v>1</v>
      </c>
      <c r="Q28" s="664"/>
      <c r="R28" s="582"/>
      <c r="S28" s="147"/>
      <c r="AA28" s="14"/>
      <c r="AB28" s="14"/>
    </row>
    <row r="29" spans="1:28" x14ac:dyDescent="0.2">
      <c r="A29" s="95"/>
      <c r="B29" s="645"/>
      <c r="C29" s="656"/>
      <c r="D29" s="2170"/>
      <c r="E29" s="2172"/>
      <c r="F29" s="648"/>
      <c r="G29" s="85"/>
      <c r="H29" s="419"/>
      <c r="I29" s="420"/>
      <c r="J29" s="416"/>
      <c r="K29" s="416"/>
      <c r="L29" s="417"/>
      <c r="M29" s="421"/>
      <c r="N29" s="418"/>
      <c r="O29" s="78" t="s">
        <v>162</v>
      </c>
      <c r="P29" s="204">
        <v>50</v>
      </c>
      <c r="Q29" s="677">
        <v>50</v>
      </c>
      <c r="R29" s="122"/>
      <c r="AA29" s="14"/>
      <c r="AB29" s="14"/>
    </row>
    <row r="30" spans="1:28" x14ac:dyDescent="0.2">
      <c r="A30" s="95"/>
      <c r="B30" s="645"/>
      <c r="C30" s="656"/>
      <c r="D30" s="2208" t="s">
        <v>210</v>
      </c>
      <c r="E30" s="2212" t="s">
        <v>212</v>
      </c>
      <c r="F30" s="546"/>
      <c r="G30" s="547" t="s">
        <v>90</v>
      </c>
      <c r="H30" s="548" t="s">
        <v>36</v>
      </c>
      <c r="I30" s="549">
        <f>J30</f>
        <v>200</v>
      </c>
      <c r="J30" s="385">
        <v>200</v>
      </c>
      <c r="K30" s="550"/>
      <c r="L30" s="551"/>
      <c r="M30" s="552"/>
      <c r="N30" s="553"/>
      <c r="O30" s="2210" t="s">
        <v>211</v>
      </c>
      <c r="P30" s="559">
        <v>0.33</v>
      </c>
      <c r="Q30" s="554"/>
      <c r="R30" s="86"/>
      <c r="AA30" s="14"/>
      <c r="AB30" s="14"/>
    </row>
    <row r="31" spans="1:28" x14ac:dyDescent="0.2">
      <c r="A31" s="95"/>
      <c r="B31" s="645"/>
      <c r="C31" s="656"/>
      <c r="D31" s="2209"/>
      <c r="E31" s="2213"/>
      <c r="F31" s="555"/>
      <c r="G31" s="547"/>
      <c r="H31" s="556"/>
      <c r="I31" s="557"/>
      <c r="J31" s="550"/>
      <c r="K31" s="550"/>
      <c r="L31" s="551"/>
      <c r="M31" s="552"/>
      <c r="N31" s="553"/>
      <c r="O31" s="2211"/>
      <c r="P31" s="560"/>
      <c r="Q31" s="554"/>
      <c r="R31" s="86"/>
      <c r="AA31" s="14"/>
      <c r="AB31" s="14"/>
    </row>
    <row r="32" spans="1:28" ht="26.25" thickBot="1" x14ac:dyDescent="0.25">
      <c r="A32" s="629"/>
      <c r="B32" s="653"/>
      <c r="C32" s="657"/>
      <c r="D32" s="634"/>
      <c r="E32" s="660"/>
      <c r="F32" s="662"/>
      <c r="G32" s="625"/>
      <c r="H32" s="285" t="s">
        <v>10</v>
      </c>
      <c r="I32" s="544" t="s">
        <v>213</v>
      </c>
      <c r="J32" s="558" t="s">
        <v>214</v>
      </c>
      <c r="K32" s="244">
        <f>K13</f>
        <v>0</v>
      </c>
      <c r="L32" s="245">
        <f>L13</f>
        <v>129.9</v>
      </c>
      <c r="M32" s="250">
        <f>M13+M28</f>
        <v>1941.4</v>
      </c>
      <c r="N32" s="243">
        <f>N13</f>
        <v>826.4</v>
      </c>
      <c r="O32" s="339"/>
      <c r="P32" s="561"/>
      <c r="Q32" s="87"/>
      <c r="R32" s="88"/>
      <c r="AA32" s="14"/>
      <c r="AB32" s="14"/>
    </row>
    <row r="33" spans="1:18" x14ac:dyDescent="0.2">
      <c r="A33" s="2003" t="s">
        <v>9</v>
      </c>
      <c r="B33" s="2101" t="s">
        <v>9</v>
      </c>
      <c r="C33" s="2122" t="s">
        <v>11</v>
      </c>
      <c r="D33" s="2164" t="s">
        <v>114</v>
      </c>
      <c r="E33" s="2125"/>
      <c r="F33" s="2092" t="s">
        <v>54</v>
      </c>
      <c r="G33" s="1989" t="s">
        <v>40</v>
      </c>
      <c r="H33" s="16" t="s">
        <v>36</v>
      </c>
      <c r="I33" s="254">
        <f>J33+L33</f>
        <v>6410.1</v>
      </c>
      <c r="J33" s="226">
        <v>6405.6</v>
      </c>
      <c r="K33" s="226"/>
      <c r="L33" s="227">
        <v>4.5</v>
      </c>
      <c r="M33" s="346">
        <f>7481+130</f>
        <v>7611</v>
      </c>
      <c r="N33" s="112">
        <f>7481+130</f>
        <v>7611</v>
      </c>
      <c r="O33" s="338"/>
      <c r="P33" s="670"/>
      <c r="Q33" s="670"/>
      <c r="R33" s="672"/>
    </row>
    <row r="34" spans="1:18" x14ac:dyDescent="0.2">
      <c r="A34" s="2003"/>
      <c r="B34" s="2101"/>
      <c r="C34" s="2122"/>
      <c r="D34" s="2165"/>
      <c r="E34" s="2125"/>
      <c r="F34" s="2092"/>
      <c r="G34" s="1989"/>
      <c r="H34" s="340" t="s">
        <v>61</v>
      </c>
      <c r="I34" s="254">
        <f>J34+L34</f>
        <v>3.5</v>
      </c>
      <c r="J34" s="226">
        <v>3.5</v>
      </c>
      <c r="K34" s="226"/>
      <c r="L34" s="227"/>
      <c r="M34" s="334">
        <v>3.5</v>
      </c>
      <c r="N34" s="345">
        <v>3.5</v>
      </c>
      <c r="O34" s="17"/>
      <c r="P34" s="670"/>
      <c r="Q34" s="670"/>
      <c r="R34" s="672"/>
    </row>
    <row r="35" spans="1:18" ht="15.75" x14ac:dyDescent="0.2">
      <c r="A35" s="2003"/>
      <c r="B35" s="2101"/>
      <c r="C35" s="2122"/>
      <c r="D35" s="2143" t="s">
        <v>191</v>
      </c>
      <c r="E35" s="2159"/>
      <c r="F35" s="2160" t="s">
        <v>41</v>
      </c>
      <c r="G35" s="2161"/>
      <c r="H35" s="16"/>
      <c r="I35" s="254"/>
      <c r="J35" s="226"/>
      <c r="K35" s="226"/>
      <c r="L35" s="227"/>
      <c r="M35" s="46"/>
      <c r="N35" s="112"/>
      <c r="O35" s="61" t="s">
        <v>148</v>
      </c>
      <c r="P35" s="669">
        <v>3.7</v>
      </c>
      <c r="Q35" s="669">
        <v>3.7</v>
      </c>
      <c r="R35" s="671">
        <v>3.7</v>
      </c>
    </row>
    <row r="36" spans="1:18" ht="15.75" x14ac:dyDescent="0.2">
      <c r="A36" s="2003"/>
      <c r="B36" s="2101"/>
      <c r="C36" s="2122"/>
      <c r="D36" s="2006"/>
      <c r="E36" s="2125"/>
      <c r="F36" s="2092"/>
      <c r="G36" s="1989"/>
      <c r="H36" s="340"/>
      <c r="I36" s="254"/>
      <c r="J36" s="226"/>
      <c r="K36" s="226"/>
      <c r="L36" s="227"/>
      <c r="M36" s="70"/>
      <c r="N36" s="109"/>
      <c r="O36" s="17" t="s">
        <v>193</v>
      </c>
      <c r="P36" s="670">
        <v>2.5</v>
      </c>
      <c r="Q36" s="670">
        <v>2.5</v>
      </c>
      <c r="R36" s="672">
        <v>2.5</v>
      </c>
    </row>
    <row r="37" spans="1:18" x14ac:dyDescent="0.2">
      <c r="A37" s="2003"/>
      <c r="B37" s="2101"/>
      <c r="C37" s="2122"/>
      <c r="D37" s="2006"/>
      <c r="E37" s="2125"/>
      <c r="F37" s="2092"/>
      <c r="G37" s="1989"/>
      <c r="H37" s="340"/>
      <c r="I37" s="254"/>
      <c r="J37" s="226"/>
      <c r="K37" s="226"/>
      <c r="L37" s="227"/>
      <c r="M37" s="36"/>
      <c r="N37" s="181"/>
      <c r="O37" s="2030" t="s">
        <v>98</v>
      </c>
      <c r="P37" s="2132">
        <v>20</v>
      </c>
      <c r="Q37" s="2132">
        <v>20</v>
      </c>
      <c r="R37" s="2134">
        <v>20</v>
      </c>
    </row>
    <row r="38" spans="1:18" x14ac:dyDescent="0.2">
      <c r="A38" s="2003"/>
      <c r="B38" s="2101"/>
      <c r="C38" s="2122"/>
      <c r="D38" s="2140"/>
      <c r="E38" s="2155"/>
      <c r="F38" s="2156"/>
      <c r="G38" s="2096"/>
      <c r="H38" s="342"/>
      <c r="I38" s="343"/>
      <c r="J38" s="329"/>
      <c r="K38" s="329"/>
      <c r="L38" s="344"/>
      <c r="M38" s="332"/>
      <c r="N38" s="337"/>
      <c r="O38" s="2154"/>
      <c r="P38" s="2162"/>
      <c r="Q38" s="2162"/>
      <c r="R38" s="2163"/>
    </row>
    <row r="39" spans="1:18" ht="25.5" x14ac:dyDescent="0.2">
      <c r="A39" s="2003"/>
      <c r="B39" s="2101"/>
      <c r="C39" s="2122"/>
      <c r="D39" s="2006" t="s">
        <v>56</v>
      </c>
      <c r="E39" s="2125"/>
      <c r="F39" s="2092"/>
      <c r="G39" s="1989"/>
      <c r="H39" s="340"/>
      <c r="I39" s="254"/>
      <c r="J39" s="226"/>
      <c r="K39" s="226"/>
      <c r="L39" s="227"/>
      <c r="M39" s="334"/>
      <c r="N39" s="345"/>
      <c r="O39" s="639" t="s">
        <v>58</v>
      </c>
      <c r="P39" s="665">
        <v>44</v>
      </c>
      <c r="Q39" s="665">
        <v>44</v>
      </c>
      <c r="R39" s="667">
        <v>44</v>
      </c>
    </row>
    <row r="40" spans="1:18" x14ac:dyDescent="0.2">
      <c r="A40" s="2003"/>
      <c r="B40" s="2101"/>
      <c r="C40" s="2122"/>
      <c r="D40" s="2006"/>
      <c r="E40" s="2125"/>
      <c r="F40" s="2092"/>
      <c r="G40" s="1989"/>
      <c r="H40" s="340"/>
      <c r="I40" s="254"/>
      <c r="J40" s="226"/>
      <c r="K40" s="226"/>
      <c r="L40" s="227"/>
      <c r="M40" s="322"/>
      <c r="N40" s="336"/>
      <c r="O40" s="2030" t="s">
        <v>194</v>
      </c>
      <c r="P40" s="2132">
        <v>387</v>
      </c>
      <c r="Q40" s="2132">
        <v>387</v>
      </c>
      <c r="R40" s="2134">
        <v>387</v>
      </c>
    </row>
    <row r="41" spans="1:18" x14ac:dyDescent="0.2">
      <c r="A41" s="2003"/>
      <c r="B41" s="2101"/>
      <c r="C41" s="2122"/>
      <c r="D41" s="2006"/>
      <c r="E41" s="2125"/>
      <c r="F41" s="2092"/>
      <c r="G41" s="1989"/>
      <c r="H41" s="415"/>
      <c r="I41" s="422"/>
      <c r="J41" s="416"/>
      <c r="K41" s="416"/>
      <c r="L41" s="423"/>
      <c r="M41" s="418"/>
      <c r="N41" s="424"/>
      <c r="O41" s="2030"/>
      <c r="P41" s="2162"/>
      <c r="Q41" s="2162"/>
      <c r="R41" s="2163"/>
    </row>
    <row r="42" spans="1:18" ht="25.5" x14ac:dyDescent="0.2">
      <c r="A42" s="628"/>
      <c r="B42" s="645"/>
      <c r="C42" s="656"/>
      <c r="D42" s="2143" t="s">
        <v>99</v>
      </c>
      <c r="E42" s="2159"/>
      <c r="F42" s="2160"/>
      <c r="G42" s="2161"/>
      <c r="H42" s="16" t="s">
        <v>36</v>
      </c>
      <c r="I42" s="254">
        <f>J42+L42</f>
        <v>114.5</v>
      </c>
      <c r="J42" s="226">
        <v>114.5</v>
      </c>
      <c r="K42" s="226"/>
      <c r="L42" s="227"/>
      <c r="M42" s="46"/>
      <c r="N42" s="112"/>
      <c r="O42" s="120" t="s">
        <v>149</v>
      </c>
      <c r="P42" s="121">
        <v>2.5</v>
      </c>
      <c r="Q42" s="68">
        <v>3</v>
      </c>
      <c r="R42" s="69">
        <v>3</v>
      </c>
    </row>
    <row r="43" spans="1:18" x14ac:dyDescent="0.2">
      <c r="A43" s="628"/>
      <c r="B43" s="645"/>
      <c r="C43" s="656"/>
      <c r="D43" s="2006"/>
      <c r="E43" s="2125"/>
      <c r="F43" s="2092"/>
      <c r="G43" s="1989"/>
      <c r="H43" s="151" t="s">
        <v>181</v>
      </c>
      <c r="I43" s="222">
        <f>J43+L43</f>
        <v>15</v>
      </c>
      <c r="J43" s="223">
        <v>15</v>
      </c>
      <c r="K43" s="223"/>
      <c r="L43" s="224"/>
      <c r="M43" s="66"/>
      <c r="N43" s="111"/>
      <c r="O43" s="2145" t="s">
        <v>101</v>
      </c>
      <c r="P43" s="341">
        <v>1</v>
      </c>
      <c r="Q43" s="517">
        <v>1</v>
      </c>
      <c r="R43" s="516">
        <v>1</v>
      </c>
    </row>
    <row r="44" spans="1:18" ht="13.5" thickBot="1" x14ac:dyDescent="0.25">
      <c r="A44" s="95"/>
      <c r="B44" s="645"/>
      <c r="C44" s="656"/>
      <c r="D44" s="2006"/>
      <c r="E44" s="2125"/>
      <c r="F44" s="2092"/>
      <c r="G44" s="1989"/>
      <c r="H44" s="287" t="s">
        <v>10</v>
      </c>
      <c r="I44" s="233">
        <f>I42+I34+I33+I43</f>
        <v>6543.1</v>
      </c>
      <c r="J44" s="233">
        <f>J42+J34+J33+J43</f>
        <v>6538.6</v>
      </c>
      <c r="K44" s="233">
        <f>K42+K34+K33</f>
        <v>0</v>
      </c>
      <c r="L44" s="283">
        <f>L42+L34+L33</f>
        <v>4.5</v>
      </c>
      <c r="M44" s="284">
        <f>M42+M34+M33</f>
        <v>7614.5</v>
      </c>
      <c r="N44" s="233">
        <f>N42+N34+N33</f>
        <v>7614.5</v>
      </c>
      <c r="O44" s="2094"/>
      <c r="P44" s="663"/>
      <c r="Q44" s="665"/>
      <c r="R44" s="667"/>
    </row>
    <row r="45" spans="1:18" x14ac:dyDescent="0.2">
      <c r="A45" s="2002" t="s">
        <v>9</v>
      </c>
      <c r="B45" s="2112" t="s">
        <v>9</v>
      </c>
      <c r="C45" s="2121" t="s">
        <v>38</v>
      </c>
      <c r="D45" s="2150" t="s">
        <v>115</v>
      </c>
      <c r="E45" s="2124" t="s">
        <v>170</v>
      </c>
      <c r="F45" s="2127" t="s">
        <v>41</v>
      </c>
      <c r="G45" s="1988" t="s">
        <v>40</v>
      </c>
      <c r="H45" s="15" t="s">
        <v>36</v>
      </c>
      <c r="I45" s="235">
        <f>J45+L45</f>
        <v>1355.2</v>
      </c>
      <c r="J45" s="235">
        <f>1292.2+10</f>
        <v>1302.2</v>
      </c>
      <c r="K45" s="235">
        <v>710.7</v>
      </c>
      <c r="L45" s="389">
        <f>63-10</f>
        <v>53</v>
      </c>
      <c r="M45" s="391">
        <v>1592.1</v>
      </c>
      <c r="N45" s="349">
        <v>1146.0999999999999</v>
      </c>
      <c r="O45" s="626"/>
      <c r="P45" s="132"/>
      <c r="Q45" s="132"/>
      <c r="R45" s="38"/>
    </row>
    <row r="46" spans="1:18" x14ac:dyDescent="0.2">
      <c r="A46" s="2003"/>
      <c r="B46" s="2101"/>
      <c r="C46" s="2122"/>
      <c r="D46" s="2151"/>
      <c r="E46" s="2125"/>
      <c r="F46" s="2092"/>
      <c r="G46" s="1989"/>
      <c r="H46" s="16" t="s">
        <v>61</v>
      </c>
      <c r="I46" s="254">
        <f>J46+L46</f>
        <v>116.2</v>
      </c>
      <c r="J46" s="254">
        <v>116.2</v>
      </c>
      <c r="K46" s="254">
        <v>31.7</v>
      </c>
      <c r="L46" s="384">
        <f>L51+L53+L56</f>
        <v>0</v>
      </c>
      <c r="M46" s="322">
        <v>115.8</v>
      </c>
      <c r="N46" s="336">
        <v>115.8</v>
      </c>
      <c r="O46" s="639"/>
      <c r="P46" s="670"/>
      <c r="Q46" s="670"/>
      <c r="R46" s="672"/>
    </row>
    <row r="47" spans="1:18" x14ac:dyDescent="0.2">
      <c r="A47" s="2003"/>
      <c r="B47" s="2101"/>
      <c r="C47" s="2122"/>
      <c r="D47" s="2143" t="s">
        <v>164</v>
      </c>
      <c r="E47" s="2157"/>
      <c r="F47" s="2092"/>
      <c r="G47" s="1989"/>
      <c r="H47" s="16"/>
      <c r="I47" s="254"/>
      <c r="J47" s="226"/>
      <c r="K47" s="226"/>
      <c r="L47" s="227"/>
      <c r="M47" s="46"/>
      <c r="N47" s="112"/>
      <c r="O47" s="61" t="s">
        <v>86</v>
      </c>
      <c r="P47" s="669">
        <v>0.17649999999999999</v>
      </c>
      <c r="Q47" s="669">
        <v>0.17649999999999999</v>
      </c>
      <c r="R47" s="671">
        <v>0.17649999999999999</v>
      </c>
    </row>
    <row r="48" spans="1:18" x14ac:dyDescent="0.2">
      <c r="A48" s="2003"/>
      <c r="B48" s="2101"/>
      <c r="C48" s="2122"/>
      <c r="D48" s="2006"/>
      <c r="E48" s="2157"/>
      <c r="F48" s="2092"/>
      <c r="G48" s="1989"/>
      <c r="H48" s="16"/>
      <c r="I48" s="254"/>
      <c r="J48" s="226"/>
      <c r="K48" s="226"/>
      <c r="L48" s="227"/>
      <c r="M48" s="46"/>
      <c r="N48" s="112"/>
      <c r="O48" s="2030" t="s">
        <v>87</v>
      </c>
      <c r="P48" s="670">
        <v>5.0299999999999997E-2</v>
      </c>
      <c r="Q48" s="670">
        <v>5.0299999999999997E-2</v>
      </c>
      <c r="R48" s="672">
        <v>5.0299999999999997E-2</v>
      </c>
    </row>
    <row r="49" spans="1:21" ht="13.5" thickBot="1" x14ac:dyDescent="0.25">
      <c r="A49" s="2004"/>
      <c r="B49" s="2113"/>
      <c r="C49" s="2123"/>
      <c r="D49" s="2007"/>
      <c r="E49" s="2158"/>
      <c r="F49" s="2128"/>
      <c r="G49" s="1990"/>
      <c r="H49" s="572"/>
      <c r="I49" s="278"/>
      <c r="J49" s="573"/>
      <c r="K49" s="573"/>
      <c r="L49" s="574"/>
      <c r="M49" s="575"/>
      <c r="N49" s="576"/>
      <c r="O49" s="2076"/>
      <c r="P49" s="515"/>
      <c r="Q49" s="515"/>
      <c r="R49" s="514"/>
    </row>
    <row r="50" spans="1:21" x14ac:dyDescent="0.2">
      <c r="A50" s="2002"/>
      <c r="B50" s="2112"/>
      <c r="C50" s="2121"/>
      <c r="D50" s="2005" t="s">
        <v>59</v>
      </c>
      <c r="E50" s="2124"/>
      <c r="F50" s="2127"/>
      <c r="G50" s="1988"/>
      <c r="H50" s="347"/>
      <c r="I50" s="348"/>
      <c r="J50" s="276"/>
      <c r="K50" s="276"/>
      <c r="L50" s="277"/>
      <c r="M50" s="346"/>
      <c r="N50" s="571"/>
      <c r="O50" s="2029" t="s">
        <v>60</v>
      </c>
      <c r="P50" s="664">
        <v>3</v>
      </c>
      <c r="Q50" s="664">
        <v>3</v>
      </c>
      <c r="R50" s="666">
        <v>3</v>
      </c>
    </row>
    <row r="51" spans="1:21" x14ac:dyDescent="0.2">
      <c r="A51" s="2003"/>
      <c r="B51" s="2101"/>
      <c r="C51" s="2122"/>
      <c r="D51" s="2006"/>
      <c r="E51" s="2125"/>
      <c r="F51" s="2092"/>
      <c r="G51" s="1989"/>
      <c r="H51" s="16"/>
      <c r="I51" s="254"/>
      <c r="J51" s="226"/>
      <c r="K51" s="226"/>
      <c r="L51" s="227"/>
      <c r="M51" s="46"/>
      <c r="N51" s="112"/>
      <c r="O51" s="2030"/>
      <c r="P51" s="665"/>
      <c r="Q51" s="665"/>
      <c r="R51" s="667"/>
    </row>
    <row r="52" spans="1:21" x14ac:dyDescent="0.2">
      <c r="A52" s="2003"/>
      <c r="B52" s="2101"/>
      <c r="C52" s="2122"/>
      <c r="D52" s="2143" t="s">
        <v>144</v>
      </c>
      <c r="E52" s="2125"/>
      <c r="F52" s="2092"/>
      <c r="G52" s="1989"/>
      <c r="H52" s="16"/>
      <c r="I52" s="254"/>
      <c r="J52" s="226"/>
      <c r="K52" s="226"/>
      <c r="L52" s="227"/>
      <c r="M52" s="46"/>
      <c r="N52" s="112"/>
      <c r="O52" s="2145" t="s">
        <v>195</v>
      </c>
      <c r="P52" s="517">
        <v>2</v>
      </c>
      <c r="Q52" s="517">
        <v>2</v>
      </c>
      <c r="R52" s="516">
        <v>2</v>
      </c>
    </row>
    <row r="53" spans="1:21" x14ac:dyDescent="0.2">
      <c r="A53" s="2003"/>
      <c r="B53" s="2101"/>
      <c r="C53" s="2122"/>
      <c r="D53" s="2140"/>
      <c r="E53" s="2155"/>
      <c r="F53" s="2156"/>
      <c r="G53" s="2096"/>
      <c r="H53" s="151"/>
      <c r="I53" s="222"/>
      <c r="J53" s="223"/>
      <c r="K53" s="223"/>
      <c r="L53" s="224"/>
      <c r="M53" s="66"/>
      <c r="N53" s="111"/>
      <c r="O53" s="2154"/>
      <c r="P53" s="677"/>
      <c r="Q53" s="677"/>
      <c r="R53" s="678"/>
    </row>
    <row r="54" spans="1:21" x14ac:dyDescent="0.2">
      <c r="A54" s="628"/>
      <c r="B54" s="645"/>
      <c r="C54" s="656"/>
      <c r="D54" s="2143" t="s">
        <v>205</v>
      </c>
      <c r="E54" s="674"/>
      <c r="F54" s="675" t="s">
        <v>38</v>
      </c>
      <c r="G54" s="676"/>
      <c r="H54" s="12"/>
      <c r="I54" s="367"/>
      <c r="J54" s="231"/>
      <c r="K54" s="231"/>
      <c r="L54" s="232"/>
      <c r="M54" s="364"/>
      <c r="N54" s="365"/>
      <c r="O54" s="2145" t="s">
        <v>63</v>
      </c>
      <c r="P54" s="669">
        <v>15.5</v>
      </c>
      <c r="Q54" s="669">
        <v>15.5</v>
      </c>
      <c r="R54" s="671">
        <v>15.5</v>
      </c>
    </row>
    <row r="55" spans="1:21" x14ac:dyDescent="0.2">
      <c r="A55" s="628"/>
      <c r="B55" s="645"/>
      <c r="C55" s="656"/>
      <c r="D55" s="2152"/>
      <c r="E55" s="659"/>
      <c r="F55" s="648"/>
      <c r="G55" s="624"/>
      <c r="H55" s="16"/>
      <c r="I55" s="324"/>
      <c r="J55" s="226"/>
      <c r="K55" s="226"/>
      <c r="L55" s="227"/>
      <c r="M55" s="46"/>
      <c r="N55" s="112"/>
      <c r="O55" s="2030"/>
      <c r="P55" s="665"/>
      <c r="Q55" s="665"/>
      <c r="R55" s="667"/>
      <c r="U55" s="89"/>
    </row>
    <row r="56" spans="1:21" ht="25.5" x14ac:dyDescent="0.2">
      <c r="A56" s="628"/>
      <c r="B56" s="645"/>
      <c r="C56" s="656"/>
      <c r="D56" s="2153"/>
      <c r="E56" s="679"/>
      <c r="F56" s="649"/>
      <c r="G56" s="650"/>
      <c r="H56" s="151"/>
      <c r="I56" s="238"/>
      <c r="J56" s="223"/>
      <c r="K56" s="223"/>
      <c r="L56" s="224"/>
      <c r="M56" s="37"/>
      <c r="N56" s="390"/>
      <c r="O56" s="67" t="s">
        <v>62</v>
      </c>
      <c r="P56" s="68">
        <v>102</v>
      </c>
      <c r="Q56" s="68">
        <v>102</v>
      </c>
      <c r="R56" s="69">
        <v>102</v>
      </c>
      <c r="U56" s="89"/>
    </row>
    <row r="57" spans="1:21" ht="25.5" x14ac:dyDescent="0.2">
      <c r="A57" s="628"/>
      <c r="B57" s="645"/>
      <c r="C57" s="656"/>
      <c r="D57" s="647" t="s">
        <v>160</v>
      </c>
      <c r="E57" s="659"/>
      <c r="F57" s="648"/>
      <c r="G57" s="624"/>
      <c r="H57" s="16"/>
      <c r="I57" s="324"/>
      <c r="J57" s="226"/>
      <c r="K57" s="226"/>
      <c r="L57" s="227"/>
      <c r="M57" s="36"/>
      <c r="N57" s="181"/>
      <c r="O57" s="651" t="s">
        <v>152</v>
      </c>
      <c r="P57" s="677">
        <v>1</v>
      </c>
      <c r="Q57" s="677"/>
      <c r="R57" s="678"/>
    </row>
    <row r="58" spans="1:21" x14ac:dyDescent="0.2">
      <c r="A58" s="628"/>
      <c r="B58" s="645"/>
      <c r="C58" s="656"/>
      <c r="D58" s="124" t="s">
        <v>153</v>
      </c>
      <c r="E58" s="659"/>
      <c r="F58" s="648"/>
      <c r="G58" s="624"/>
      <c r="H58" s="16"/>
      <c r="I58" s="324"/>
      <c r="J58" s="226"/>
      <c r="K58" s="226"/>
      <c r="L58" s="227"/>
      <c r="M58" s="36"/>
      <c r="N58" s="181"/>
      <c r="O58" s="67" t="s">
        <v>151</v>
      </c>
      <c r="P58" s="68">
        <v>1</v>
      </c>
      <c r="Q58" s="68"/>
      <c r="R58" s="69"/>
    </row>
    <row r="59" spans="1:21" x14ac:dyDescent="0.2">
      <c r="A59" s="628"/>
      <c r="B59" s="645"/>
      <c r="C59" s="656"/>
      <c r="D59" s="139" t="s">
        <v>156</v>
      </c>
      <c r="E59" s="659"/>
      <c r="F59" s="648"/>
      <c r="G59" s="624"/>
      <c r="H59" s="340"/>
      <c r="I59" s="324"/>
      <c r="J59" s="226"/>
      <c r="K59" s="226"/>
      <c r="L59" s="227"/>
      <c r="M59" s="36"/>
      <c r="N59" s="181"/>
      <c r="O59" s="2145" t="s">
        <v>204</v>
      </c>
      <c r="P59" s="517"/>
      <c r="Q59" s="517">
        <v>10</v>
      </c>
      <c r="R59" s="516">
        <v>90</v>
      </c>
    </row>
    <row r="60" spans="1:21" x14ac:dyDescent="0.2">
      <c r="A60" s="628"/>
      <c r="B60" s="645"/>
      <c r="C60" s="656"/>
      <c r="D60" s="2006"/>
      <c r="E60" s="659"/>
      <c r="F60" s="648"/>
      <c r="G60" s="624"/>
      <c r="H60" s="151"/>
      <c r="I60" s="238"/>
      <c r="J60" s="223"/>
      <c r="K60" s="223"/>
      <c r="L60" s="224"/>
      <c r="M60" s="37"/>
      <c r="N60" s="390"/>
      <c r="O60" s="2154"/>
      <c r="P60" s="677"/>
      <c r="Q60" s="677"/>
      <c r="R60" s="678"/>
    </row>
    <row r="61" spans="1:21" ht="13.5" thickBot="1" x14ac:dyDescent="0.25">
      <c r="A61" s="629"/>
      <c r="B61" s="653"/>
      <c r="C61" s="657"/>
      <c r="D61" s="2007"/>
      <c r="E61" s="660"/>
      <c r="F61" s="662"/>
      <c r="G61" s="625"/>
      <c r="H61" s="288" t="s">
        <v>10</v>
      </c>
      <c r="I61" s="293">
        <f t="shared" ref="I61:N61" si="0">I45+I46</f>
        <v>1471.4</v>
      </c>
      <c r="J61" s="244">
        <f t="shared" si="0"/>
        <v>1418.4</v>
      </c>
      <c r="K61" s="244">
        <f t="shared" si="0"/>
        <v>742.40000000000009</v>
      </c>
      <c r="L61" s="255">
        <f t="shared" si="0"/>
        <v>53</v>
      </c>
      <c r="M61" s="286">
        <f t="shared" si="0"/>
        <v>1707.8999999999999</v>
      </c>
      <c r="N61" s="255">
        <f t="shared" si="0"/>
        <v>1261.8999999999999</v>
      </c>
      <c r="O61" s="644"/>
      <c r="P61" s="515"/>
      <c r="Q61" s="515"/>
      <c r="R61" s="514"/>
    </row>
    <row r="62" spans="1:21" x14ac:dyDescent="0.2">
      <c r="A62" s="2002" t="s">
        <v>9</v>
      </c>
      <c r="B62" s="2112" t="s">
        <v>9</v>
      </c>
      <c r="C62" s="2121" t="s">
        <v>53</v>
      </c>
      <c r="D62" s="2150" t="s">
        <v>116</v>
      </c>
      <c r="E62" s="2124"/>
      <c r="F62" s="2127" t="s">
        <v>41</v>
      </c>
      <c r="G62" s="1988" t="s">
        <v>40</v>
      </c>
      <c r="H62" s="347" t="s">
        <v>36</v>
      </c>
      <c r="I62" s="348">
        <f>J62</f>
        <v>6017.6</v>
      </c>
      <c r="J62" s="348">
        <v>6017.6</v>
      </c>
      <c r="K62" s="348">
        <f>K64+K67</f>
        <v>0</v>
      </c>
      <c r="L62" s="353">
        <f>L64+L67</f>
        <v>0</v>
      </c>
      <c r="M62" s="352">
        <v>7827.6</v>
      </c>
      <c r="N62" s="354">
        <v>8062</v>
      </c>
      <c r="O62" s="2029"/>
      <c r="P62" s="2131"/>
      <c r="Q62" s="2131"/>
      <c r="R62" s="2133"/>
    </row>
    <row r="63" spans="1:21" x14ac:dyDescent="0.2">
      <c r="A63" s="2003"/>
      <c r="B63" s="2101"/>
      <c r="C63" s="2122"/>
      <c r="D63" s="2151"/>
      <c r="E63" s="2125"/>
      <c r="F63" s="2092"/>
      <c r="G63" s="1989"/>
      <c r="H63" s="16"/>
      <c r="I63" s="254"/>
      <c r="J63" s="226"/>
      <c r="K63" s="226"/>
      <c r="L63" s="227"/>
      <c r="M63" s="46"/>
      <c r="N63" s="112"/>
      <c r="O63" s="2030"/>
      <c r="P63" s="2132"/>
      <c r="Q63" s="2132"/>
      <c r="R63" s="2134"/>
    </row>
    <row r="64" spans="1:21" x14ac:dyDescent="0.2">
      <c r="A64" s="2003"/>
      <c r="B64" s="2101"/>
      <c r="C64" s="2122"/>
      <c r="D64" s="2143" t="s">
        <v>65</v>
      </c>
      <c r="E64" s="2125"/>
      <c r="F64" s="2092"/>
      <c r="G64" s="1989"/>
      <c r="H64" s="16"/>
      <c r="I64" s="254"/>
      <c r="J64" s="226"/>
      <c r="K64" s="226"/>
      <c r="L64" s="227"/>
      <c r="M64" s="46"/>
      <c r="N64" s="112"/>
      <c r="O64" s="2145" t="s">
        <v>100</v>
      </c>
      <c r="P64" s="2146">
        <v>7.7</v>
      </c>
      <c r="Q64" s="2146">
        <v>7.8</v>
      </c>
      <c r="R64" s="2141">
        <v>7.8</v>
      </c>
    </row>
    <row r="65" spans="1:19" x14ac:dyDescent="0.2">
      <c r="A65" s="2003"/>
      <c r="B65" s="2101"/>
      <c r="C65" s="2122"/>
      <c r="D65" s="2006"/>
      <c r="E65" s="2125"/>
      <c r="F65" s="2092"/>
      <c r="G65" s="1989"/>
      <c r="H65" s="16"/>
      <c r="I65" s="254"/>
      <c r="J65" s="226"/>
      <c r="K65" s="226"/>
      <c r="L65" s="227"/>
      <c r="M65" s="46"/>
      <c r="N65" s="112"/>
      <c r="O65" s="2030"/>
      <c r="P65" s="2147"/>
      <c r="Q65" s="2147"/>
      <c r="R65" s="2142"/>
    </row>
    <row r="66" spans="1:19" x14ac:dyDescent="0.2">
      <c r="A66" s="2003"/>
      <c r="B66" s="2101"/>
      <c r="C66" s="2122"/>
      <c r="D66" s="2006"/>
      <c r="E66" s="2125"/>
      <c r="F66" s="2092"/>
      <c r="G66" s="1989"/>
      <c r="H66" s="355"/>
      <c r="I66" s="343"/>
      <c r="J66" s="329"/>
      <c r="K66" s="329"/>
      <c r="L66" s="344"/>
      <c r="M66" s="356"/>
      <c r="N66" s="357"/>
      <c r="O66" s="62"/>
      <c r="P66" s="677"/>
      <c r="Q66" s="677"/>
      <c r="R66" s="678"/>
    </row>
    <row r="67" spans="1:19" x14ac:dyDescent="0.2">
      <c r="A67" s="2003"/>
      <c r="B67" s="2101"/>
      <c r="C67" s="2122"/>
      <c r="D67" s="2143" t="s">
        <v>64</v>
      </c>
      <c r="E67" s="2144" t="s">
        <v>184</v>
      </c>
      <c r="F67" s="2092"/>
      <c r="G67" s="1989"/>
      <c r="H67" s="16"/>
      <c r="I67" s="254"/>
      <c r="J67" s="226"/>
      <c r="K67" s="226"/>
      <c r="L67" s="227"/>
      <c r="M67" s="46"/>
      <c r="N67" s="112"/>
      <c r="O67" s="2030" t="s">
        <v>196</v>
      </c>
      <c r="P67" s="2148">
        <v>14.215999999999999</v>
      </c>
      <c r="Q67" s="2148">
        <v>14.4</v>
      </c>
      <c r="R67" s="2149">
        <v>14.6</v>
      </c>
    </row>
    <row r="68" spans="1:19" x14ac:dyDescent="0.2">
      <c r="A68" s="2003"/>
      <c r="B68" s="2101"/>
      <c r="C68" s="2122"/>
      <c r="D68" s="2006"/>
      <c r="E68" s="2144"/>
      <c r="F68" s="2092"/>
      <c r="G68" s="1989"/>
      <c r="H68" s="16"/>
      <c r="I68" s="254"/>
      <c r="J68" s="226"/>
      <c r="K68" s="226"/>
      <c r="L68" s="227"/>
      <c r="M68" s="46"/>
      <c r="N68" s="112"/>
      <c r="O68" s="2030"/>
      <c r="P68" s="2148"/>
      <c r="Q68" s="2148"/>
      <c r="R68" s="2149"/>
    </row>
    <row r="69" spans="1:19" x14ac:dyDescent="0.2">
      <c r="A69" s="2003"/>
      <c r="B69" s="2101"/>
      <c r="C69" s="2122"/>
      <c r="D69" s="2006"/>
      <c r="E69" s="2144"/>
      <c r="F69" s="2092"/>
      <c r="G69" s="1989"/>
      <c r="H69" s="16"/>
      <c r="I69" s="254"/>
      <c r="J69" s="226"/>
      <c r="K69" s="226"/>
      <c r="L69" s="227"/>
      <c r="M69" s="36"/>
      <c r="N69" s="181"/>
      <c r="O69" s="17" t="s">
        <v>145</v>
      </c>
      <c r="P69" s="113">
        <v>420</v>
      </c>
      <c r="Q69" s="113">
        <v>0</v>
      </c>
      <c r="R69" s="114">
        <v>0</v>
      </c>
    </row>
    <row r="70" spans="1:19" x14ac:dyDescent="0.2">
      <c r="A70" s="2003"/>
      <c r="B70" s="2101"/>
      <c r="C70" s="2122"/>
      <c r="D70" s="2140"/>
      <c r="E70" s="2144"/>
      <c r="F70" s="2092"/>
      <c r="G70" s="1989"/>
      <c r="H70" s="355"/>
      <c r="I70" s="343"/>
      <c r="J70" s="329"/>
      <c r="K70" s="329"/>
      <c r="L70" s="344"/>
      <c r="M70" s="356"/>
      <c r="N70" s="357"/>
      <c r="O70" s="62" t="s">
        <v>197</v>
      </c>
      <c r="P70" s="677">
        <v>89</v>
      </c>
      <c r="Q70" s="677">
        <v>100</v>
      </c>
      <c r="R70" s="678">
        <v>100</v>
      </c>
    </row>
    <row r="71" spans="1:19" x14ac:dyDescent="0.2">
      <c r="A71" s="2003"/>
      <c r="B71" s="2101"/>
      <c r="C71" s="2122"/>
      <c r="D71" s="2006" t="s">
        <v>66</v>
      </c>
      <c r="E71" s="2125"/>
      <c r="F71" s="2092"/>
      <c r="G71" s="1989"/>
      <c r="H71" s="16"/>
      <c r="I71" s="254"/>
      <c r="J71" s="226"/>
      <c r="K71" s="226"/>
      <c r="L71" s="227"/>
      <c r="M71" s="46"/>
      <c r="N71" s="112"/>
      <c r="O71" s="61" t="s">
        <v>102</v>
      </c>
      <c r="P71" s="517"/>
      <c r="Q71" s="517">
        <v>27</v>
      </c>
      <c r="R71" s="516"/>
    </row>
    <row r="72" spans="1:19" x14ac:dyDescent="0.2">
      <c r="A72" s="2003"/>
      <c r="B72" s="2101"/>
      <c r="C72" s="2122"/>
      <c r="D72" s="2140"/>
      <c r="E72" s="2125"/>
      <c r="F72" s="2092"/>
      <c r="G72" s="1989"/>
      <c r="H72" s="355"/>
      <c r="I72" s="343"/>
      <c r="J72" s="329"/>
      <c r="K72" s="329"/>
      <c r="L72" s="344"/>
      <c r="M72" s="356"/>
      <c r="N72" s="357"/>
      <c r="O72" s="62"/>
      <c r="P72" s="677"/>
      <c r="Q72" s="677"/>
      <c r="R72" s="678"/>
    </row>
    <row r="73" spans="1:19" x14ac:dyDescent="0.2">
      <c r="A73" s="2003"/>
      <c r="B73" s="2101"/>
      <c r="C73" s="2122"/>
      <c r="D73" s="2006" t="s">
        <v>67</v>
      </c>
      <c r="E73" s="2125"/>
      <c r="F73" s="2092"/>
      <c r="G73" s="1989"/>
      <c r="H73" s="12" t="s">
        <v>94</v>
      </c>
      <c r="I73" s="225">
        <f>J73</f>
        <v>2038</v>
      </c>
      <c r="J73" s="231">
        <v>2038</v>
      </c>
      <c r="K73" s="231"/>
      <c r="L73" s="232"/>
      <c r="M73" s="364"/>
      <c r="N73" s="365"/>
      <c r="O73" s="17" t="s">
        <v>68</v>
      </c>
      <c r="P73" s="665"/>
      <c r="Q73" s="665">
        <v>94</v>
      </c>
      <c r="R73" s="667"/>
    </row>
    <row r="74" spans="1:19" ht="13.5" thickBot="1" x14ac:dyDescent="0.25">
      <c r="A74" s="2004"/>
      <c r="B74" s="2113"/>
      <c r="C74" s="2123"/>
      <c r="D74" s="2007"/>
      <c r="E74" s="2126"/>
      <c r="F74" s="2128"/>
      <c r="G74" s="1990"/>
      <c r="H74" s="572"/>
      <c r="I74" s="278"/>
      <c r="J74" s="573"/>
      <c r="K74" s="573"/>
      <c r="L74" s="574"/>
      <c r="M74" s="575"/>
      <c r="N74" s="576"/>
      <c r="O74" s="18"/>
      <c r="P74" s="515"/>
      <c r="Q74" s="515"/>
      <c r="R74" s="514"/>
    </row>
    <row r="75" spans="1:19" ht="25.5" x14ac:dyDescent="0.2">
      <c r="A75" s="628"/>
      <c r="B75" s="645"/>
      <c r="C75" s="656"/>
      <c r="D75" s="647" t="s">
        <v>132</v>
      </c>
      <c r="E75" s="659"/>
      <c r="F75" s="648"/>
      <c r="G75" s="624"/>
      <c r="H75" s="16"/>
      <c r="I75" s="254"/>
      <c r="J75" s="226"/>
      <c r="K75" s="226"/>
      <c r="L75" s="227"/>
      <c r="M75" s="46"/>
      <c r="N75" s="112"/>
      <c r="O75" s="62" t="s">
        <v>117</v>
      </c>
      <c r="P75" s="677"/>
      <c r="Q75" s="677">
        <v>33</v>
      </c>
      <c r="R75" s="678">
        <v>33</v>
      </c>
    </row>
    <row r="76" spans="1:19" x14ac:dyDescent="0.2">
      <c r="A76" s="2003"/>
      <c r="B76" s="2101"/>
      <c r="C76" s="2122"/>
      <c r="D76" s="2006" t="s">
        <v>133</v>
      </c>
      <c r="E76" s="2125"/>
      <c r="F76" s="2092"/>
      <c r="G76" s="1989"/>
      <c r="H76" s="151"/>
      <c r="I76" s="222"/>
      <c r="J76" s="223"/>
      <c r="K76" s="223"/>
      <c r="L76" s="224"/>
      <c r="M76" s="66"/>
      <c r="N76" s="111"/>
      <c r="O76" s="2030" t="s">
        <v>69</v>
      </c>
      <c r="P76" s="665"/>
      <c r="Q76" s="665">
        <v>9</v>
      </c>
      <c r="R76" s="667">
        <v>7</v>
      </c>
    </row>
    <row r="77" spans="1:19" ht="13.5" thickBot="1" x14ac:dyDescent="0.25">
      <c r="A77" s="2004"/>
      <c r="B77" s="2113"/>
      <c r="C77" s="2123"/>
      <c r="D77" s="2007"/>
      <c r="E77" s="2126"/>
      <c r="F77" s="2128"/>
      <c r="G77" s="1990"/>
      <c r="H77" s="288" t="s">
        <v>10</v>
      </c>
      <c r="I77" s="250">
        <f>I62+I73</f>
        <v>8055.6</v>
      </c>
      <c r="J77" s="244">
        <f>J62+J73</f>
        <v>8055.6</v>
      </c>
      <c r="K77" s="244">
        <f>SUM(K76:K76)</f>
        <v>0</v>
      </c>
      <c r="L77" s="249">
        <f>SUM(L76:L76)</f>
        <v>0</v>
      </c>
      <c r="M77" s="286">
        <f>M62</f>
        <v>7827.6</v>
      </c>
      <c r="N77" s="253">
        <f>N62</f>
        <v>8062</v>
      </c>
      <c r="O77" s="2076"/>
      <c r="P77" s="515"/>
      <c r="Q77" s="515"/>
      <c r="R77" s="514"/>
    </row>
    <row r="78" spans="1:19" x14ac:dyDescent="0.2">
      <c r="A78" s="2002" t="s">
        <v>9</v>
      </c>
      <c r="B78" s="2112" t="s">
        <v>9</v>
      </c>
      <c r="C78" s="2121" t="s">
        <v>54</v>
      </c>
      <c r="D78" s="2137" t="s">
        <v>167</v>
      </c>
      <c r="E78" s="2124"/>
      <c r="F78" s="2127" t="s">
        <v>38</v>
      </c>
      <c r="G78" s="2063" t="s">
        <v>95</v>
      </c>
      <c r="H78" s="15" t="s">
        <v>36</v>
      </c>
      <c r="I78" s="247">
        <f>J78+L78</f>
        <v>610.4</v>
      </c>
      <c r="J78" s="236">
        <v>610.4</v>
      </c>
      <c r="K78" s="236"/>
      <c r="L78" s="248"/>
      <c r="M78" s="47">
        <f>50+577</f>
        <v>627</v>
      </c>
      <c r="N78" s="47">
        <f>50+577</f>
        <v>627</v>
      </c>
      <c r="O78" s="2029" t="s">
        <v>103</v>
      </c>
      <c r="P78" s="664">
        <f>57+15</f>
        <v>72</v>
      </c>
      <c r="Q78" s="664">
        <f>15+57</f>
        <v>72</v>
      </c>
      <c r="R78" s="666">
        <f>15+57</f>
        <v>72</v>
      </c>
    </row>
    <row r="79" spans="1:19" x14ac:dyDescent="0.2">
      <c r="A79" s="2003"/>
      <c r="B79" s="2101"/>
      <c r="C79" s="2122"/>
      <c r="D79" s="2138"/>
      <c r="E79" s="2125"/>
      <c r="F79" s="2092"/>
      <c r="G79" s="2064"/>
      <c r="H79" s="25"/>
      <c r="I79" s="240">
        <f>J79+L79</f>
        <v>0</v>
      </c>
      <c r="J79" s="226"/>
      <c r="K79" s="226"/>
      <c r="L79" s="251"/>
      <c r="M79" s="70"/>
      <c r="N79" s="70"/>
      <c r="O79" s="2030"/>
      <c r="P79" s="665"/>
      <c r="Q79" s="665"/>
      <c r="R79" s="667"/>
    </row>
    <row r="80" spans="1:19" x14ac:dyDescent="0.2">
      <c r="A80" s="2003"/>
      <c r="B80" s="2101"/>
      <c r="C80" s="2122"/>
      <c r="D80" s="2138"/>
      <c r="E80" s="2125"/>
      <c r="F80" s="2092"/>
      <c r="G80" s="2064"/>
      <c r="H80" s="16"/>
      <c r="I80" s="238">
        <f>J80+L80</f>
        <v>0</v>
      </c>
      <c r="J80" s="231"/>
      <c r="K80" s="231"/>
      <c r="L80" s="252"/>
      <c r="M80" s="23"/>
      <c r="N80" s="23"/>
      <c r="O80" s="17"/>
      <c r="P80" s="665"/>
      <c r="Q80" s="665"/>
      <c r="R80" s="667"/>
      <c r="S80" s="49"/>
    </row>
    <row r="81" spans="1:21" ht="13.5" thickBot="1" x14ac:dyDescent="0.25">
      <c r="A81" s="2004"/>
      <c r="B81" s="2113"/>
      <c r="C81" s="2123"/>
      <c r="D81" s="2139"/>
      <c r="E81" s="2126"/>
      <c r="F81" s="2128"/>
      <c r="G81" s="2065"/>
      <c r="H81" s="288" t="s">
        <v>10</v>
      </c>
      <c r="I81" s="243">
        <f t="shared" ref="I81:N81" si="1">SUM(I78:I80)</f>
        <v>610.4</v>
      </c>
      <c r="J81" s="250">
        <f t="shared" si="1"/>
        <v>610.4</v>
      </c>
      <c r="K81" s="250">
        <f t="shared" si="1"/>
        <v>0</v>
      </c>
      <c r="L81" s="253">
        <f t="shared" si="1"/>
        <v>0</v>
      </c>
      <c r="M81" s="286">
        <f t="shared" si="1"/>
        <v>627</v>
      </c>
      <c r="N81" s="286">
        <f t="shared" si="1"/>
        <v>627</v>
      </c>
      <c r="O81" s="18"/>
      <c r="P81" s="515"/>
      <c r="Q81" s="515"/>
      <c r="R81" s="514"/>
    </row>
    <row r="82" spans="1:21" x14ac:dyDescent="0.2">
      <c r="A82" s="2002" t="s">
        <v>9</v>
      </c>
      <c r="B82" s="2112" t="s">
        <v>9</v>
      </c>
      <c r="C82" s="2121" t="s">
        <v>41</v>
      </c>
      <c r="D82" s="2108" t="s">
        <v>154</v>
      </c>
      <c r="E82" s="1982" t="s">
        <v>91</v>
      </c>
      <c r="F82" s="2127" t="s">
        <v>54</v>
      </c>
      <c r="G82" s="623" t="s">
        <v>90</v>
      </c>
      <c r="H82" s="15" t="s">
        <v>36</v>
      </c>
      <c r="I82" s="235">
        <f>J82+L82</f>
        <v>3.5</v>
      </c>
      <c r="J82" s="236">
        <f>1.9+1.6</f>
        <v>3.5</v>
      </c>
      <c r="K82" s="236"/>
      <c r="L82" s="237"/>
      <c r="M82" s="47"/>
      <c r="N82" s="115"/>
      <c r="O82" s="2029" t="s">
        <v>111</v>
      </c>
      <c r="P82" s="2129">
        <v>12</v>
      </c>
      <c r="Q82" s="2131"/>
      <c r="R82" s="2133"/>
    </row>
    <row r="83" spans="1:21" x14ac:dyDescent="0.2">
      <c r="A83" s="2003"/>
      <c r="B83" s="2101"/>
      <c r="C83" s="2122"/>
      <c r="D83" s="2116"/>
      <c r="E83" s="1983"/>
      <c r="F83" s="2092"/>
      <c r="G83" s="624"/>
      <c r="H83" s="25" t="s">
        <v>88</v>
      </c>
      <c r="I83" s="228">
        <f>J83+L83</f>
        <v>598.79999999999995</v>
      </c>
      <c r="J83" s="226"/>
      <c r="K83" s="226"/>
      <c r="L83" s="227">
        <v>598.79999999999995</v>
      </c>
      <c r="M83" s="70"/>
      <c r="N83" s="109"/>
      <c r="O83" s="2030"/>
      <c r="P83" s="2130"/>
      <c r="Q83" s="2132"/>
      <c r="R83" s="2134"/>
    </row>
    <row r="84" spans="1:21" x14ac:dyDescent="0.2">
      <c r="A84" s="2003"/>
      <c r="B84" s="2101"/>
      <c r="C84" s="2122"/>
      <c r="D84" s="2116"/>
      <c r="E84" s="50"/>
      <c r="F84" s="2092"/>
      <c r="G84" s="676" t="s">
        <v>203</v>
      </c>
      <c r="H84" s="25" t="s">
        <v>92</v>
      </c>
      <c r="I84" s="222">
        <f>J84+L84</f>
        <v>0</v>
      </c>
      <c r="J84" s="231"/>
      <c r="K84" s="231"/>
      <c r="L84" s="232"/>
      <c r="M84" s="23"/>
      <c r="N84" s="110"/>
      <c r="O84" s="2030"/>
      <c r="P84" s="64"/>
      <c r="Q84" s="64"/>
      <c r="R84" s="667"/>
    </row>
    <row r="85" spans="1:21" x14ac:dyDescent="0.2">
      <c r="A85" s="2003"/>
      <c r="B85" s="2101"/>
      <c r="C85" s="2122"/>
      <c r="D85" s="2116"/>
      <c r="E85" s="50"/>
      <c r="F85" s="2092"/>
      <c r="G85" s="624"/>
      <c r="H85" s="25" t="s">
        <v>36</v>
      </c>
      <c r="I85" s="228">
        <f>J85+L85</f>
        <v>0.5</v>
      </c>
      <c r="J85" s="229">
        <v>0.5</v>
      </c>
      <c r="K85" s="229">
        <v>0.3</v>
      </c>
      <c r="L85" s="230"/>
      <c r="M85" s="129"/>
      <c r="N85" s="180"/>
      <c r="O85" s="2135"/>
      <c r="P85" s="665"/>
      <c r="Q85" s="665"/>
      <c r="R85" s="667"/>
    </row>
    <row r="86" spans="1:21" x14ac:dyDescent="0.2">
      <c r="A86" s="2003"/>
      <c r="B86" s="2101"/>
      <c r="C86" s="2122"/>
      <c r="D86" s="2116"/>
      <c r="E86" s="50"/>
      <c r="F86" s="2092"/>
      <c r="G86" s="624"/>
      <c r="H86" s="16" t="s">
        <v>36</v>
      </c>
      <c r="I86" s="254"/>
      <c r="J86" s="226"/>
      <c r="K86" s="226"/>
      <c r="L86" s="227"/>
      <c r="M86" s="36"/>
      <c r="N86" s="181"/>
      <c r="O86" s="2135"/>
      <c r="P86" s="64"/>
      <c r="Q86" s="64"/>
      <c r="R86" s="667"/>
    </row>
    <row r="87" spans="1:21" ht="13.5" thickBot="1" x14ac:dyDescent="0.25">
      <c r="A87" s="2004"/>
      <c r="B87" s="2113"/>
      <c r="C87" s="2123"/>
      <c r="D87" s="2117"/>
      <c r="E87" s="51"/>
      <c r="F87" s="2128"/>
      <c r="G87" s="625"/>
      <c r="H87" s="288" t="s">
        <v>10</v>
      </c>
      <c r="I87" s="250">
        <f>SUM(I82:I86)</f>
        <v>602.79999999999995</v>
      </c>
      <c r="J87" s="250">
        <f>SUM(J82:J86)</f>
        <v>4</v>
      </c>
      <c r="K87" s="250">
        <f>SUM(K82:K86)</f>
        <v>0.3</v>
      </c>
      <c r="L87" s="255">
        <f>SUM(L82:L86)</f>
        <v>598.79999999999995</v>
      </c>
      <c r="M87" s="286">
        <f>M86</f>
        <v>0</v>
      </c>
      <c r="N87" s="250">
        <f>SUM(N82:N86)</f>
        <v>0</v>
      </c>
      <c r="O87" s="2136"/>
      <c r="P87" s="515"/>
      <c r="Q87" s="515"/>
      <c r="R87" s="514"/>
    </row>
    <row r="88" spans="1:21" x14ac:dyDescent="0.2">
      <c r="A88" s="2002" t="s">
        <v>9</v>
      </c>
      <c r="B88" s="2112" t="s">
        <v>9</v>
      </c>
      <c r="C88" s="2121" t="s">
        <v>55</v>
      </c>
      <c r="D88" s="2005" t="s">
        <v>129</v>
      </c>
      <c r="E88" s="2124"/>
      <c r="F88" s="2127" t="s">
        <v>54</v>
      </c>
      <c r="G88" s="1988" t="s">
        <v>40</v>
      </c>
      <c r="H88" s="15" t="s">
        <v>36</v>
      </c>
      <c r="I88" s="247">
        <f>J88+L88</f>
        <v>150</v>
      </c>
      <c r="J88" s="236">
        <v>150</v>
      </c>
      <c r="K88" s="236"/>
      <c r="L88" s="237"/>
      <c r="M88" s="47"/>
      <c r="N88" s="47"/>
      <c r="O88" s="626" t="s">
        <v>57</v>
      </c>
      <c r="P88" s="665">
        <v>4</v>
      </c>
      <c r="Q88" s="665"/>
      <c r="R88" s="667"/>
    </row>
    <row r="89" spans="1:21" x14ac:dyDescent="0.2">
      <c r="A89" s="2003"/>
      <c r="B89" s="2101"/>
      <c r="C89" s="2122"/>
      <c r="D89" s="2006"/>
      <c r="E89" s="2125"/>
      <c r="F89" s="2092"/>
      <c r="G89" s="1989"/>
      <c r="H89" s="123"/>
      <c r="I89" s="240"/>
      <c r="J89" s="229"/>
      <c r="K89" s="229"/>
      <c r="L89" s="230"/>
      <c r="M89" s="52"/>
      <c r="N89" s="52"/>
      <c r="O89" s="17"/>
      <c r="P89" s="665"/>
      <c r="Q89" s="665"/>
      <c r="R89" s="667"/>
    </row>
    <row r="90" spans="1:21" ht="13.5" thickBot="1" x14ac:dyDescent="0.25">
      <c r="A90" s="2004"/>
      <c r="B90" s="2113"/>
      <c r="C90" s="2123"/>
      <c r="D90" s="2007"/>
      <c r="E90" s="2126"/>
      <c r="F90" s="2128"/>
      <c r="G90" s="625"/>
      <c r="H90" s="288" t="s">
        <v>10</v>
      </c>
      <c r="I90" s="250">
        <f t="shared" ref="I90:N90" si="2">SUM(I88:I89)</f>
        <v>150</v>
      </c>
      <c r="J90" s="244">
        <f t="shared" si="2"/>
        <v>150</v>
      </c>
      <c r="K90" s="244">
        <f t="shared" si="2"/>
        <v>0</v>
      </c>
      <c r="L90" s="244">
        <f t="shared" si="2"/>
        <v>0</v>
      </c>
      <c r="M90" s="286">
        <f t="shared" si="2"/>
        <v>0</v>
      </c>
      <c r="N90" s="286">
        <f t="shared" si="2"/>
        <v>0</v>
      </c>
      <c r="O90" s="18"/>
      <c r="P90" s="515"/>
      <c r="Q90" s="515"/>
      <c r="R90" s="514"/>
    </row>
    <row r="91" spans="1:21" x14ac:dyDescent="0.2">
      <c r="A91" s="2002" t="s">
        <v>9</v>
      </c>
      <c r="B91" s="2112" t="s">
        <v>9</v>
      </c>
      <c r="C91" s="2114" t="s">
        <v>44</v>
      </c>
      <c r="D91" s="2108" t="s">
        <v>188</v>
      </c>
      <c r="E91" s="2118" t="s">
        <v>169</v>
      </c>
      <c r="F91" s="2043" t="s">
        <v>53</v>
      </c>
      <c r="G91" s="1988" t="s">
        <v>90</v>
      </c>
      <c r="H91" s="347" t="s">
        <v>92</v>
      </c>
      <c r="I91" s="235">
        <f>J91+L91</f>
        <v>445</v>
      </c>
      <c r="J91" s="276"/>
      <c r="K91" s="276"/>
      <c r="L91" s="277">
        <v>445</v>
      </c>
      <c r="M91" s="319">
        <v>49.5</v>
      </c>
      <c r="N91" s="115"/>
      <c r="O91" s="2057" t="s">
        <v>200</v>
      </c>
      <c r="P91" s="152">
        <v>50</v>
      </c>
      <c r="Q91" s="152">
        <v>50</v>
      </c>
      <c r="R91" s="153"/>
    </row>
    <row r="92" spans="1:21" x14ac:dyDescent="0.2">
      <c r="A92" s="2003"/>
      <c r="B92" s="2101"/>
      <c r="C92" s="2102"/>
      <c r="D92" s="2116"/>
      <c r="E92" s="2119"/>
      <c r="F92" s="2044"/>
      <c r="G92" s="1989"/>
      <c r="H92" s="12" t="s">
        <v>36</v>
      </c>
      <c r="I92" s="222">
        <f>L92</f>
        <v>0.1</v>
      </c>
      <c r="J92" s="231"/>
      <c r="K92" s="231"/>
      <c r="L92" s="232">
        <v>0.1</v>
      </c>
      <c r="M92" s="84"/>
      <c r="N92" s="56"/>
      <c r="O92" s="2106"/>
      <c r="P92" s="76"/>
      <c r="Q92" s="76"/>
      <c r="R92" s="77"/>
    </row>
    <row r="93" spans="1:21" x14ac:dyDescent="0.2">
      <c r="A93" s="2003"/>
      <c r="B93" s="2101"/>
      <c r="C93" s="2102"/>
      <c r="D93" s="2116"/>
      <c r="E93" s="2119"/>
      <c r="F93" s="2044"/>
      <c r="G93" s="1989"/>
      <c r="H93" s="12" t="s">
        <v>93</v>
      </c>
      <c r="I93" s="222">
        <f>J93+L93</f>
        <v>93.4</v>
      </c>
      <c r="J93" s="231"/>
      <c r="K93" s="231"/>
      <c r="L93" s="232">
        <v>93.4</v>
      </c>
      <c r="M93" s="84">
        <v>10.4</v>
      </c>
      <c r="N93" s="109"/>
      <c r="O93" s="2107"/>
      <c r="P93" s="79"/>
      <c r="Q93" s="79"/>
      <c r="R93" s="154"/>
    </row>
    <row r="94" spans="1:21" ht="29.25" thickBot="1" x14ac:dyDescent="0.25">
      <c r="A94" s="2004"/>
      <c r="B94" s="2113"/>
      <c r="C94" s="2115"/>
      <c r="D94" s="2117"/>
      <c r="E94" s="2120"/>
      <c r="F94" s="2075"/>
      <c r="G94" s="1990"/>
      <c r="H94" s="288" t="s">
        <v>10</v>
      </c>
      <c r="I94" s="250">
        <f t="shared" ref="I94:N94" si="3">SUM(I91:I93)</f>
        <v>538.5</v>
      </c>
      <c r="J94" s="250">
        <f t="shared" si="3"/>
        <v>0</v>
      </c>
      <c r="K94" s="250">
        <f t="shared" si="3"/>
        <v>0</v>
      </c>
      <c r="L94" s="255">
        <f t="shared" si="3"/>
        <v>538.5</v>
      </c>
      <c r="M94" s="286">
        <f>SUM(M91:M93)</f>
        <v>59.9</v>
      </c>
      <c r="N94" s="250">
        <f t="shared" si="3"/>
        <v>0</v>
      </c>
      <c r="O94" s="142" t="s">
        <v>199</v>
      </c>
      <c r="P94" s="641">
        <v>50</v>
      </c>
      <c r="Q94" s="641">
        <v>50</v>
      </c>
      <c r="R94" s="643"/>
      <c r="S94" s="14"/>
      <c r="U94" s="13"/>
    </row>
    <row r="95" spans="1:21" x14ac:dyDescent="0.2">
      <c r="A95" s="371" t="s">
        <v>9</v>
      </c>
      <c r="B95" s="635" t="s">
        <v>9</v>
      </c>
      <c r="C95" s="654" t="s">
        <v>161</v>
      </c>
      <c r="D95" s="2108" t="s">
        <v>179</v>
      </c>
      <c r="E95" s="658"/>
      <c r="F95" s="192"/>
      <c r="G95" s="196"/>
      <c r="H95" s="463" t="s">
        <v>36</v>
      </c>
      <c r="I95" s="256">
        <f>J95+L95</f>
        <v>69.2</v>
      </c>
      <c r="J95" s="257">
        <v>19.2</v>
      </c>
      <c r="K95" s="257"/>
      <c r="L95" s="258">
        <v>50</v>
      </c>
      <c r="M95" s="208">
        <v>150</v>
      </c>
      <c r="N95" s="208"/>
      <c r="O95" s="2110" t="s">
        <v>177</v>
      </c>
      <c r="P95" s="190">
        <f>P98+P99+P100+P101+P102+P106</f>
        <v>4</v>
      </c>
      <c r="Q95" s="664">
        <v>2</v>
      </c>
      <c r="R95" s="666"/>
    </row>
    <row r="96" spans="1:21" x14ac:dyDescent="0.2">
      <c r="A96" s="95"/>
      <c r="B96" s="636"/>
      <c r="C96" s="646"/>
      <c r="D96" s="2109"/>
      <c r="E96" s="679"/>
      <c r="F96" s="202"/>
      <c r="G96" s="203"/>
      <c r="H96" s="464" t="s">
        <v>88</v>
      </c>
      <c r="I96" s="259"/>
      <c r="J96" s="260"/>
      <c r="K96" s="260"/>
      <c r="L96" s="261"/>
      <c r="M96" s="209">
        <v>227.3</v>
      </c>
      <c r="N96" s="209">
        <v>243.3</v>
      </c>
      <c r="O96" s="2111"/>
      <c r="P96" s="189"/>
      <c r="Q96" s="677"/>
      <c r="R96" s="678"/>
    </row>
    <row r="97" spans="1:21" ht="25.5" x14ac:dyDescent="0.2">
      <c r="A97" s="95"/>
      <c r="B97" s="636"/>
      <c r="C97" s="646"/>
      <c r="D97" s="358" t="s">
        <v>178</v>
      </c>
      <c r="E97" s="659"/>
      <c r="F97" s="193" t="s">
        <v>41</v>
      </c>
      <c r="G97" s="197" t="s">
        <v>90</v>
      </c>
      <c r="H97" s="464" t="s">
        <v>92</v>
      </c>
      <c r="I97" s="259">
        <f>J97</f>
        <v>108.4</v>
      </c>
      <c r="J97" s="260">
        <v>108.4</v>
      </c>
      <c r="K97" s="260"/>
      <c r="L97" s="261"/>
      <c r="M97" s="209">
        <v>2802.7</v>
      </c>
      <c r="N97" s="209">
        <v>2999.4</v>
      </c>
      <c r="O97" s="200"/>
      <c r="P97" s="189"/>
      <c r="Q97" s="677"/>
      <c r="R97" s="678"/>
    </row>
    <row r="98" spans="1:21" ht="29.25" x14ac:dyDescent="0.2">
      <c r="A98" s="372"/>
      <c r="B98" s="448"/>
      <c r="C98" s="368"/>
      <c r="D98" s="201" t="s">
        <v>172</v>
      </c>
      <c r="E98" s="443" t="s">
        <v>182</v>
      </c>
      <c r="F98" s="195"/>
      <c r="G98" s="199"/>
      <c r="H98" s="465"/>
      <c r="I98" s="444"/>
      <c r="J98" s="445"/>
      <c r="K98" s="445"/>
      <c r="L98" s="446"/>
      <c r="M98" s="447"/>
      <c r="N98" s="447"/>
      <c r="O98" s="136" t="s">
        <v>176</v>
      </c>
      <c r="P98" s="137">
        <v>1</v>
      </c>
      <c r="Q98" s="137"/>
      <c r="R98" s="133"/>
    </row>
    <row r="99" spans="1:21" ht="38.25" x14ac:dyDescent="0.2">
      <c r="A99" s="369"/>
      <c r="B99" s="370"/>
      <c r="C99" s="368"/>
      <c r="D99" s="441" t="s">
        <v>173</v>
      </c>
      <c r="E99" s="442" t="s">
        <v>182</v>
      </c>
      <c r="F99" s="194"/>
      <c r="G99" s="198"/>
      <c r="H99" s="466"/>
      <c r="I99" s="262"/>
      <c r="J99" s="263"/>
      <c r="K99" s="263"/>
      <c r="L99" s="264"/>
      <c r="M99" s="210"/>
      <c r="N99" s="210"/>
      <c r="O99" s="185" t="s">
        <v>176</v>
      </c>
      <c r="P99" s="184">
        <v>1</v>
      </c>
      <c r="Q99" s="184"/>
      <c r="R99" s="138"/>
    </row>
    <row r="100" spans="1:21" ht="38.25" x14ac:dyDescent="0.2">
      <c r="A100" s="369"/>
      <c r="B100" s="370"/>
      <c r="C100" s="368"/>
      <c r="D100" s="201" t="s">
        <v>174</v>
      </c>
      <c r="E100" s="207" t="s">
        <v>183</v>
      </c>
      <c r="F100" s="194"/>
      <c r="G100" s="198"/>
      <c r="H100" s="466"/>
      <c r="I100" s="262"/>
      <c r="J100" s="263"/>
      <c r="K100" s="263"/>
      <c r="L100" s="264"/>
      <c r="M100" s="210"/>
      <c r="N100" s="210"/>
      <c r="O100" s="186" t="s">
        <v>176</v>
      </c>
      <c r="P100" s="187">
        <v>1</v>
      </c>
      <c r="Q100" s="187"/>
      <c r="R100" s="188"/>
    </row>
    <row r="101" spans="1:21" ht="38.25" x14ac:dyDescent="0.2">
      <c r="A101" s="369"/>
      <c r="B101" s="370"/>
      <c r="C101" s="368"/>
      <c r="D101" s="201" t="s">
        <v>175</v>
      </c>
      <c r="E101" s="191"/>
      <c r="F101" s="195"/>
      <c r="G101" s="199"/>
      <c r="H101" s="467"/>
      <c r="I101" s="360"/>
      <c r="J101" s="361"/>
      <c r="K101" s="361"/>
      <c r="L101" s="362"/>
      <c r="M101" s="471"/>
      <c r="N101" s="363"/>
      <c r="O101" s="136" t="s">
        <v>176</v>
      </c>
      <c r="P101" s="184">
        <v>1</v>
      </c>
      <c r="Q101" s="184"/>
      <c r="R101" s="138"/>
    </row>
    <row r="102" spans="1:21" x14ac:dyDescent="0.2">
      <c r="A102" s="2003"/>
      <c r="B102" s="2103"/>
      <c r="C102" s="2102"/>
      <c r="D102" s="2073" t="s">
        <v>165</v>
      </c>
      <c r="E102" s="1983" t="s">
        <v>91</v>
      </c>
      <c r="F102" s="2044" t="s">
        <v>53</v>
      </c>
      <c r="G102" s="1989" t="s">
        <v>90</v>
      </c>
      <c r="H102" s="468"/>
      <c r="I102" s="367"/>
      <c r="J102" s="231"/>
      <c r="K102" s="231"/>
      <c r="L102" s="252"/>
      <c r="M102" s="365"/>
      <c r="N102" s="365"/>
      <c r="O102" s="2097" t="s">
        <v>159</v>
      </c>
      <c r="P102" s="55"/>
      <c r="Q102" s="54">
        <v>1</v>
      </c>
      <c r="R102" s="179"/>
      <c r="U102" s="13"/>
    </row>
    <row r="103" spans="1:21" x14ac:dyDescent="0.2">
      <c r="A103" s="2003"/>
      <c r="B103" s="2103"/>
      <c r="C103" s="2102"/>
      <c r="D103" s="2073"/>
      <c r="E103" s="1983"/>
      <c r="F103" s="2044"/>
      <c r="G103" s="1989"/>
      <c r="H103" s="469"/>
      <c r="I103" s="324"/>
      <c r="J103" s="226"/>
      <c r="K103" s="226"/>
      <c r="L103" s="251"/>
      <c r="M103" s="112"/>
      <c r="N103" s="112"/>
      <c r="O103" s="2098"/>
      <c r="P103" s="134"/>
      <c r="Q103" s="135"/>
      <c r="R103" s="138"/>
      <c r="U103" s="13"/>
    </row>
    <row r="104" spans="1:21" x14ac:dyDescent="0.2">
      <c r="A104" s="2003"/>
      <c r="B104" s="2103"/>
      <c r="C104" s="2102"/>
      <c r="D104" s="2073"/>
      <c r="E104" s="1983"/>
      <c r="F104" s="2044"/>
      <c r="G104" s="1989"/>
      <c r="H104" s="469"/>
      <c r="I104" s="324"/>
      <c r="J104" s="226"/>
      <c r="K104" s="226"/>
      <c r="L104" s="251"/>
      <c r="M104" s="112"/>
      <c r="N104" s="112"/>
      <c r="O104" s="2099"/>
      <c r="P104" s="134"/>
      <c r="Q104" s="135"/>
      <c r="R104" s="138"/>
      <c r="U104" s="13"/>
    </row>
    <row r="105" spans="1:21" x14ac:dyDescent="0.2">
      <c r="A105" s="2003"/>
      <c r="B105" s="2103"/>
      <c r="C105" s="2102"/>
      <c r="D105" s="2104"/>
      <c r="E105" s="2105"/>
      <c r="F105" s="2095"/>
      <c r="G105" s="2096"/>
      <c r="H105" s="470"/>
      <c r="I105" s="472"/>
      <c r="J105" s="343"/>
      <c r="K105" s="343"/>
      <c r="L105" s="473"/>
      <c r="M105" s="357"/>
      <c r="N105" s="357"/>
      <c r="O105" s="2100"/>
      <c r="P105" s="60"/>
      <c r="Q105" s="60"/>
      <c r="R105" s="149"/>
      <c r="U105" s="13"/>
    </row>
    <row r="106" spans="1:21" x14ac:dyDescent="0.2">
      <c r="A106" s="2003"/>
      <c r="B106" s="2101"/>
      <c r="C106" s="2102"/>
      <c r="D106" s="2006" t="s">
        <v>192</v>
      </c>
      <c r="E106" s="1983" t="s">
        <v>91</v>
      </c>
      <c r="F106" s="2092" t="s">
        <v>44</v>
      </c>
      <c r="G106" s="1989" t="s">
        <v>90</v>
      </c>
      <c r="H106" s="366"/>
      <c r="I106" s="367"/>
      <c r="J106" s="231"/>
      <c r="K106" s="231"/>
      <c r="L106" s="252"/>
      <c r="M106" s="365"/>
      <c r="N106" s="365"/>
      <c r="O106" s="2093" t="s">
        <v>155</v>
      </c>
      <c r="P106" s="665"/>
      <c r="Q106" s="665">
        <v>1</v>
      </c>
      <c r="R106" s="667"/>
    </row>
    <row r="107" spans="1:21" x14ac:dyDescent="0.2">
      <c r="A107" s="2003"/>
      <c r="B107" s="2101"/>
      <c r="C107" s="2102"/>
      <c r="D107" s="2006"/>
      <c r="E107" s="1983"/>
      <c r="F107" s="2092"/>
      <c r="G107" s="1989"/>
      <c r="H107" s="141"/>
      <c r="I107" s="324"/>
      <c r="J107" s="226"/>
      <c r="K107" s="226"/>
      <c r="L107" s="251"/>
      <c r="M107" s="112"/>
      <c r="N107" s="112"/>
      <c r="O107" s="2094"/>
      <c r="P107" s="665"/>
      <c r="Q107" s="665"/>
      <c r="R107" s="667"/>
    </row>
    <row r="108" spans="1:21" x14ac:dyDescent="0.2">
      <c r="A108" s="2003"/>
      <c r="B108" s="2101"/>
      <c r="C108" s="2102"/>
      <c r="D108" s="2006"/>
      <c r="E108" s="1983"/>
      <c r="F108" s="2092"/>
      <c r="G108" s="1989"/>
      <c r="H108" s="141"/>
      <c r="I108" s="238"/>
      <c r="J108" s="226"/>
      <c r="K108" s="226"/>
      <c r="L108" s="251"/>
      <c r="M108" s="181"/>
      <c r="N108" s="181"/>
      <c r="O108" s="2030"/>
      <c r="P108" s="665"/>
      <c r="Q108" s="665"/>
      <c r="R108" s="667"/>
    </row>
    <row r="109" spans="1:21" ht="13.5" thickBot="1" x14ac:dyDescent="0.25">
      <c r="A109" s="2003"/>
      <c r="B109" s="2101"/>
      <c r="C109" s="2102"/>
      <c r="D109" s="2006"/>
      <c r="E109" s="1983"/>
      <c r="F109" s="2092"/>
      <c r="G109" s="1989"/>
      <c r="H109" s="280" t="s">
        <v>10</v>
      </c>
      <c r="I109" s="281">
        <f>I97+I95</f>
        <v>177.60000000000002</v>
      </c>
      <c r="J109" s="234">
        <f>J97+J95</f>
        <v>127.60000000000001</v>
      </c>
      <c r="K109" s="234">
        <f>K97+K95</f>
        <v>0</v>
      </c>
      <c r="L109" s="282">
        <f>L97+L95</f>
        <v>50</v>
      </c>
      <c r="M109" s="233">
        <f>M95+M96+M97</f>
        <v>3180</v>
      </c>
      <c r="N109" s="281">
        <f>N95+N96+N97</f>
        <v>3242.7000000000003</v>
      </c>
      <c r="O109" s="2030"/>
      <c r="P109" s="665"/>
      <c r="Q109" s="665"/>
      <c r="R109" s="667"/>
    </row>
    <row r="110" spans="1:21" ht="26.25" thickBot="1" x14ac:dyDescent="0.25">
      <c r="A110" s="94" t="s">
        <v>9</v>
      </c>
      <c r="B110" s="11" t="s">
        <v>9</v>
      </c>
      <c r="C110" s="2023" t="s">
        <v>12</v>
      </c>
      <c r="D110" s="2023"/>
      <c r="E110" s="2023"/>
      <c r="F110" s="2023"/>
      <c r="G110" s="2023"/>
      <c r="H110" s="2023"/>
      <c r="I110" s="545" t="s">
        <v>215</v>
      </c>
      <c r="J110" s="562" t="s">
        <v>216</v>
      </c>
      <c r="K110" s="474">
        <f>K109+K94+K90+K87+K81+K77+K61+K44+K32</f>
        <v>742.7</v>
      </c>
      <c r="L110" s="475">
        <f>L109+L94+L90+L87+L81+L77+L61+L44+L32</f>
        <v>1374.7</v>
      </c>
      <c r="M110" s="24">
        <f>M109+M94+M90+M87+M81+M77+M61+M44+M32</f>
        <v>22958.300000000003</v>
      </c>
      <c r="N110" s="182">
        <f>N109+N94+N90+N87+N81+N77+N61+N44+N32</f>
        <v>21634.5</v>
      </c>
      <c r="O110" s="618"/>
      <c r="P110" s="619"/>
      <c r="Q110" s="619"/>
      <c r="R110" s="620"/>
    </row>
    <row r="111" spans="1:21" ht="13.5" thickBot="1" x14ac:dyDescent="0.25">
      <c r="A111" s="94" t="s">
        <v>9</v>
      </c>
      <c r="B111" s="11" t="s">
        <v>11</v>
      </c>
      <c r="C111" s="2077" t="s">
        <v>71</v>
      </c>
      <c r="D111" s="2078"/>
      <c r="E111" s="2078"/>
      <c r="F111" s="2078"/>
      <c r="G111" s="2078"/>
      <c r="H111" s="2078"/>
      <c r="I111" s="2078"/>
      <c r="J111" s="2078"/>
      <c r="K111" s="2078"/>
      <c r="L111" s="2078"/>
      <c r="M111" s="2078"/>
      <c r="N111" s="2078"/>
      <c r="O111" s="2078"/>
      <c r="P111" s="2078"/>
      <c r="Q111" s="2078"/>
      <c r="R111" s="2079"/>
    </row>
    <row r="112" spans="1:21" x14ac:dyDescent="0.2">
      <c r="A112" s="2002" t="s">
        <v>9</v>
      </c>
      <c r="B112" s="2018" t="s">
        <v>11</v>
      </c>
      <c r="C112" s="2066" t="s">
        <v>9</v>
      </c>
      <c r="D112" s="2072" t="s">
        <v>108</v>
      </c>
      <c r="E112" s="2083"/>
      <c r="F112" s="2043" t="s">
        <v>54</v>
      </c>
      <c r="G112" s="1988" t="s">
        <v>40</v>
      </c>
      <c r="H112" s="19" t="s">
        <v>36</v>
      </c>
      <c r="I112" s="247">
        <f>J112+L112</f>
        <v>513.5</v>
      </c>
      <c r="J112" s="236">
        <v>513.5</v>
      </c>
      <c r="K112" s="236"/>
      <c r="L112" s="237"/>
      <c r="M112" s="42">
        <v>582</v>
      </c>
      <c r="N112" s="42">
        <v>582</v>
      </c>
      <c r="O112" s="2029" t="s">
        <v>74</v>
      </c>
      <c r="P112" s="640">
        <v>18</v>
      </c>
      <c r="Q112" s="640">
        <v>18</v>
      </c>
      <c r="R112" s="642">
        <v>18</v>
      </c>
      <c r="U112" s="13"/>
    </row>
    <row r="113" spans="1:24" x14ac:dyDescent="0.2">
      <c r="A113" s="2003"/>
      <c r="B113" s="2019"/>
      <c r="C113" s="2071"/>
      <c r="D113" s="2073"/>
      <c r="E113" s="2084"/>
      <c r="F113" s="2044"/>
      <c r="G113" s="1989"/>
      <c r="H113" s="26"/>
      <c r="I113" s="240">
        <f>J113+L113</f>
        <v>0</v>
      </c>
      <c r="J113" s="226"/>
      <c r="K113" s="226"/>
      <c r="L113" s="227"/>
      <c r="M113" s="70"/>
      <c r="N113" s="70"/>
      <c r="O113" s="2030"/>
      <c r="P113" s="32"/>
      <c r="Q113" s="32"/>
      <c r="R113" s="150"/>
      <c r="U113" s="13"/>
    </row>
    <row r="114" spans="1:24" x14ac:dyDescent="0.2">
      <c r="A114" s="2003"/>
      <c r="B114" s="2019"/>
      <c r="C114" s="2071"/>
      <c r="D114" s="2073"/>
      <c r="E114" s="2084"/>
      <c r="F114" s="2044"/>
      <c r="G114" s="1989"/>
      <c r="H114" s="20"/>
      <c r="I114" s="222">
        <f>J114+L114</f>
        <v>0</v>
      </c>
      <c r="J114" s="231"/>
      <c r="K114" s="231"/>
      <c r="L114" s="232"/>
      <c r="M114" s="23"/>
      <c r="N114" s="23"/>
      <c r="O114" s="2030"/>
      <c r="P114" s="32"/>
      <c r="Q114" s="32"/>
      <c r="R114" s="150"/>
      <c r="U114" s="13"/>
    </row>
    <row r="115" spans="1:24" ht="13.5" thickBot="1" x14ac:dyDescent="0.25">
      <c r="A115" s="2004"/>
      <c r="B115" s="2020"/>
      <c r="C115" s="2067"/>
      <c r="D115" s="2074"/>
      <c r="E115" s="2085"/>
      <c r="F115" s="2075"/>
      <c r="G115" s="1990"/>
      <c r="H115" s="288" t="s">
        <v>10</v>
      </c>
      <c r="I115" s="250">
        <f t="shared" ref="I115:N115" si="4">SUM(I112:I114)</f>
        <v>513.5</v>
      </c>
      <c r="J115" s="244">
        <f t="shared" si="4"/>
        <v>513.5</v>
      </c>
      <c r="K115" s="244">
        <f t="shared" si="4"/>
        <v>0</v>
      </c>
      <c r="L115" s="244">
        <f t="shared" si="4"/>
        <v>0</v>
      </c>
      <c r="M115" s="286">
        <f t="shared" si="4"/>
        <v>582</v>
      </c>
      <c r="N115" s="286">
        <f t="shared" si="4"/>
        <v>582</v>
      </c>
      <c r="O115" s="18"/>
      <c r="P115" s="641"/>
      <c r="Q115" s="641"/>
      <c r="R115" s="643"/>
      <c r="U115" s="13"/>
    </row>
    <row r="116" spans="1:24" x14ac:dyDescent="0.2">
      <c r="A116" s="2002" t="s">
        <v>9</v>
      </c>
      <c r="B116" s="2018" t="s">
        <v>11</v>
      </c>
      <c r="C116" s="2066" t="s">
        <v>11</v>
      </c>
      <c r="D116" s="2072" t="s">
        <v>75</v>
      </c>
      <c r="E116" s="2083"/>
      <c r="F116" s="2043" t="s">
        <v>54</v>
      </c>
      <c r="G116" s="1988" t="s">
        <v>40</v>
      </c>
      <c r="H116" s="19" t="s">
        <v>36</v>
      </c>
      <c r="I116" s="247">
        <f>J116+L116</f>
        <v>5</v>
      </c>
      <c r="J116" s="236">
        <v>5</v>
      </c>
      <c r="K116" s="236"/>
      <c r="L116" s="237"/>
      <c r="M116" s="42">
        <v>5</v>
      </c>
      <c r="N116" s="42">
        <v>5</v>
      </c>
      <c r="O116" s="2029" t="s">
        <v>105</v>
      </c>
      <c r="P116" s="640">
        <v>3</v>
      </c>
      <c r="Q116" s="640">
        <v>3</v>
      </c>
      <c r="R116" s="642">
        <v>3</v>
      </c>
      <c r="U116" s="13"/>
    </row>
    <row r="117" spans="1:24" x14ac:dyDescent="0.2">
      <c r="A117" s="2003"/>
      <c r="B117" s="2019"/>
      <c r="C117" s="2071"/>
      <c r="D117" s="2073"/>
      <c r="E117" s="2084"/>
      <c r="F117" s="2044"/>
      <c r="G117" s="1989"/>
      <c r="H117" s="20"/>
      <c r="I117" s="254"/>
      <c r="J117" s="226"/>
      <c r="K117" s="226"/>
      <c r="L117" s="227"/>
      <c r="M117" s="46"/>
      <c r="N117" s="46"/>
      <c r="O117" s="2030"/>
      <c r="P117" s="32"/>
      <c r="Q117" s="32"/>
      <c r="R117" s="150"/>
      <c r="U117" s="13"/>
    </row>
    <row r="118" spans="1:24" ht="13.5" thickBot="1" x14ac:dyDescent="0.25">
      <c r="A118" s="2004"/>
      <c r="B118" s="2020"/>
      <c r="C118" s="2067"/>
      <c r="D118" s="2074"/>
      <c r="E118" s="2085"/>
      <c r="F118" s="2075"/>
      <c r="G118" s="1990"/>
      <c r="H118" s="288" t="s">
        <v>10</v>
      </c>
      <c r="I118" s="250">
        <f t="shared" ref="I118:N118" si="5">SUM(I116:I116)</f>
        <v>5</v>
      </c>
      <c r="J118" s="244">
        <f t="shared" si="5"/>
        <v>5</v>
      </c>
      <c r="K118" s="244">
        <f t="shared" si="5"/>
        <v>0</v>
      </c>
      <c r="L118" s="244">
        <f t="shared" si="5"/>
        <v>0</v>
      </c>
      <c r="M118" s="286">
        <f t="shared" si="5"/>
        <v>5</v>
      </c>
      <c r="N118" s="286">
        <f t="shared" si="5"/>
        <v>5</v>
      </c>
      <c r="O118" s="2091"/>
      <c r="P118" s="641"/>
      <c r="Q118" s="641"/>
      <c r="R118" s="643"/>
      <c r="U118" s="13"/>
    </row>
    <row r="119" spans="1:24" x14ac:dyDescent="0.2">
      <c r="A119" s="2002" t="s">
        <v>9</v>
      </c>
      <c r="B119" s="2018" t="s">
        <v>11</v>
      </c>
      <c r="C119" s="2066" t="s">
        <v>38</v>
      </c>
      <c r="D119" s="2072" t="s">
        <v>104</v>
      </c>
      <c r="E119" s="2083"/>
      <c r="F119" s="2043" t="s">
        <v>54</v>
      </c>
      <c r="G119" s="1988" t="s">
        <v>40</v>
      </c>
      <c r="H119" s="425" t="s">
        <v>36</v>
      </c>
      <c r="I119" s="426">
        <f>J119+L119</f>
        <v>90</v>
      </c>
      <c r="J119" s="427">
        <v>90</v>
      </c>
      <c r="K119" s="427"/>
      <c r="L119" s="277"/>
      <c r="M119" s="346">
        <v>46</v>
      </c>
      <c r="N119" s="346">
        <v>46</v>
      </c>
      <c r="O119" s="2029" t="s">
        <v>76</v>
      </c>
      <c r="P119" s="640">
        <v>350</v>
      </c>
      <c r="Q119" s="640">
        <v>350</v>
      </c>
      <c r="R119" s="642">
        <v>350</v>
      </c>
      <c r="U119" s="13"/>
    </row>
    <row r="120" spans="1:24" x14ac:dyDescent="0.2">
      <c r="A120" s="2003"/>
      <c r="B120" s="2019"/>
      <c r="C120" s="2071"/>
      <c r="D120" s="2073"/>
      <c r="E120" s="2084"/>
      <c r="F120" s="2044"/>
      <c r="G120" s="1989"/>
      <c r="H120" s="20"/>
      <c r="I120" s="326"/>
      <c r="J120" s="267"/>
      <c r="K120" s="267"/>
      <c r="L120" s="227"/>
      <c r="M120" s="70"/>
      <c r="N120" s="70"/>
      <c r="O120" s="2030"/>
      <c r="P120" s="32"/>
      <c r="Q120" s="32"/>
      <c r="R120" s="150"/>
      <c r="U120" s="13"/>
    </row>
    <row r="121" spans="1:24" x14ac:dyDescent="0.2">
      <c r="A121" s="2003"/>
      <c r="B121" s="2019"/>
      <c r="C121" s="2071"/>
      <c r="D121" s="2073"/>
      <c r="E121" s="2084"/>
      <c r="F121" s="2044"/>
      <c r="G121" s="1989"/>
      <c r="H121" s="20"/>
      <c r="I121" s="326"/>
      <c r="J121" s="267"/>
      <c r="K121" s="267"/>
      <c r="L121" s="227"/>
      <c r="M121" s="70"/>
      <c r="N121" s="70"/>
      <c r="O121" s="2030" t="s">
        <v>77</v>
      </c>
      <c r="P121" s="32">
        <v>30</v>
      </c>
      <c r="Q121" s="32">
        <v>30</v>
      </c>
      <c r="R121" s="150">
        <v>30</v>
      </c>
      <c r="U121" s="13"/>
    </row>
    <row r="122" spans="1:24" x14ac:dyDescent="0.2">
      <c r="A122" s="2003"/>
      <c r="B122" s="2019"/>
      <c r="C122" s="2071"/>
      <c r="D122" s="2073"/>
      <c r="E122" s="2084"/>
      <c r="F122" s="2044"/>
      <c r="G122" s="1989"/>
      <c r="H122" s="20"/>
      <c r="I122" s="268"/>
      <c r="J122" s="267"/>
      <c r="K122" s="267"/>
      <c r="L122" s="227"/>
      <c r="M122" s="36"/>
      <c r="N122" s="36"/>
      <c r="O122" s="2030"/>
      <c r="P122" s="32"/>
      <c r="Q122" s="32"/>
      <c r="R122" s="150"/>
      <c r="U122" s="13"/>
    </row>
    <row r="123" spans="1:24" ht="13.5" thickBot="1" x14ac:dyDescent="0.25">
      <c r="A123" s="2004"/>
      <c r="B123" s="2020"/>
      <c r="C123" s="2067"/>
      <c r="D123" s="2074"/>
      <c r="E123" s="2085"/>
      <c r="F123" s="2075"/>
      <c r="G123" s="1990"/>
      <c r="H123" s="288" t="s">
        <v>10</v>
      </c>
      <c r="I123" s="269">
        <f t="shared" ref="I123:N123" si="6">SUM(I119:I122)</f>
        <v>90</v>
      </c>
      <c r="J123" s="270">
        <f t="shared" si="6"/>
        <v>90</v>
      </c>
      <c r="K123" s="270">
        <f t="shared" si="6"/>
        <v>0</v>
      </c>
      <c r="L123" s="244">
        <f t="shared" si="6"/>
        <v>0</v>
      </c>
      <c r="M123" s="286">
        <f t="shared" si="6"/>
        <v>46</v>
      </c>
      <c r="N123" s="286">
        <f t="shared" si="6"/>
        <v>46</v>
      </c>
      <c r="O123" s="18" t="s">
        <v>139</v>
      </c>
      <c r="P123" s="641">
        <v>30</v>
      </c>
      <c r="Q123" s="641">
        <v>30</v>
      </c>
      <c r="R123" s="643">
        <v>30</v>
      </c>
      <c r="U123" s="13"/>
    </row>
    <row r="124" spans="1:24" x14ac:dyDescent="0.2">
      <c r="A124" s="2002" t="s">
        <v>9</v>
      </c>
      <c r="B124" s="2018" t="s">
        <v>11</v>
      </c>
      <c r="C124" s="2066" t="s">
        <v>53</v>
      </c>
      <c r="D124" s="2072" t="s">
        <v>80</v>
      </c>
      <c r="E124" s="2083"/>
      <c r="F124" s="2043" t="s">
        <v>54</v>
      </c>
      <c r="G124" s="1988" t="s">
        <v>40</v>
      </c>
      <c r="H124" s="19" t="s">
        <v>36</v>
      </c>
      <c r="I124" s="265">
        <f>J124+L124</f>
        <v>6</v>
      </c>
      <c r="J124" s="266">
        <v>6</v>
      </c>
      <c r="K124" s="266"/>
      <c r="L124" s="237"/>
      <c r="M124" s="42">
        <v>6</v>
      </c>
      <c r="N124" s="42">
        <v>6</v>
      </c>
      <c r="O124" s="2029" t="s">
        <v>81</v>
      </c>
      <c r="P124" s="640">
        <v>20</v>
      </c>
      <c r="Q124" s="640">
        <v>20</v>
      </c>
      <c r="R124" s="642">
        <v>20</v>
      </c>
      <c r="U124" s="13"/>
    </row>
    <row r="125" spans="1:24" x14ac:dyDescent="0.2">
      <c r="A125" s="2003"/>
      <c r="B125" s="2019"/>
      <c r="C125" s="2071"/>
      <c r="D125" s="2073"/>
      <c r="E125" s="2084"/>
      <c r="F125" s="2044"/>
      <c r="G125" s="1989"/>
      <c r="H125" s="26"/>
      <c r="I125" s="242">
        <f>J125+L125</f>
        <v>0</v>
      </c>
      <c r="J125" s="267"/>
      <c r="K125" s="267"/>
      <c r="L125" s="227"/>
      <c r="M125" s="70"/>
      <c r="N125" s="70"/>
      <c r="O125" s="2030"/>
      <c r="P125" s="32"/>
      <c r="Q125" s="32"/>
      <c r="R125" s="150"/>
      <c r="U125" s="13"/>
    </row>
    <row r="126" spans="1:24" ht="13.5" thickBot="1" x14ac:dyDescent="0.25">
      <c r="A126" s="2004"/>
      <c r="B126" s="2020"/>
      <c r="C126" s="2067"/>
      <c r="D126" s="2074"/>
      <c r="E126" s="2085"/>
      <c r="F126" s="2075"/>
      <c r="G126" s="1990"/>
      <c r="H126" s="288" t="s">
        <v>10</v>
      </c>
      <c r="I126" s="269">
        <f t="shared" ref="I126:N126" si="7">SUM(I124:I125)</f>
        <v>6</v>
      </c>
      <c r="J126" s="270">
        <f t="shared" si="7"/>
        <v>6</v>
      </c>
      <c r="K126" s="270">
        <f t="shared" si="7"/>
        <v>0</v>
      </c>
      <c r="L126" s="244">
        <f t="shared" si="7"/>
        <v>0</v>
      </c>
      <c r="M126" s="286">
        <f t="shared" si="7"/>
        <v>6</v>
      </c>
      <c r="N126" s="286">
        <f t="shared" si="7"/>
        <v>6</v>
      </c>
      <c r="O126" s="18"/>
      <c r="P126" s="641"/>
      <c r="Q126" s="641"/>
      <c r="R126" s="643"/>
      <c r="U126" s="13"/>
    </row>
    <row r="127" spans="1:24" x14ac:dyDescent="0.2">
      <c r="A127" s="2002" t="s">
        <v>9</v>
      </c>
      <c r="B127" s="2018" t="s">
        <v>11</v>
      </c>
      <c r="C127" s="2066" t="s">
        <v>54</v>
      </c>
      <c r="D127" s="2088" t="s">
        <v>89</v>
      </c>
      <c r="E127" s="1982" t="s">
        <v>91</v>
      </c>
      <c r="F127" s="2043" t="s">
        <v>41</v>
      </c>
      <c r="G127" s="1988" t="s">
        <v>90</v>
      </c>
      <c r="H127" s="289" t="s">
        <v>36</v>
      </c>
      <c r="I127" s="265">
        <f>J127+L127</f>
        <v>75.2</v>
      </c>
      <c r="J127" s="266"/>
      <c r="K127" s="266"/>
      <c r="L127" s="237">
        <v>75.2</v>
      </c>
      <c r="M127" s="47"/>
      <c r="N127" s="47"/>
      <c r="O127" s="2029" t="s">
        <v>138</v>
      </c>
      <c r="P127" s="2086"/>
      <c r="Q127" s="640"/>
      <c r="R127" s="642"/>
      <c r="U127" s="13"/>
      <c r="V127" s="14"/>
      <c r="W127" s="14"/>
      <c r="X127" s="14"/>
    </row>
    <row r="128" spans="1:24" x14ac:dyDescent="0.2">
      <c r="A128" s="2003"/>
      <c r="B128" s="2019"/>
      <c r="C128" s="2071"/>
      <c r="D128" s="2089"/>
      <c r="E128" s="1983"/>
      <c r="F128" s="2044"/>
      <c r="G128" s="1989"/>
      <c r="H128" s="290" t="s">
        <v>130</v>
      </c>
      <c r="I128" s="242">
        <f>J128+L128</f>
        <v>400</v>
      </c>
      <c r="J128" s="267"/>
      <c r="K128" s="267"/>
      <c r="L128" s="227">
        <v>400</v>
      </c>
      <c r="M128" s="70"/>
      <c r="N128" s="70"/>
      <c r="O128" s="2030"/>
      <c r="P128" s="2087"/>
      <c r="Q128" s="32"/>
      <c r="R128" s="150"/>
      <c r="U128" s="13"/>
      <c r="V128" s="14"/>
      <c r="W128" s="14"/>
      <c r="X128" s="14"/>
    </row>
    <row r="129" spans="1:32" ht="13.5" thickBot="1" x14ac:dyDescent="0.25">
      <c r="A129" s="2004"/>
      <c r="B129" s="2020"/>
      <c r="C129" s="2067"/>
      <c r="D129" s="2090"/>
      <c r="E129" s="1984"/>
      <c r="F129" s="2075"/>
      <c r="G129" s="1990"/>
      <c r="H129" s="288" t="s">
        <v>10</v>
      </c>
      <c r="I129" s="269">
        <f t="shared" ref="I129:N129" si="8">SUM(I127:I128)</f>
        <v>475.2</v>
      </c>
      <c r="J129" s="270">
        <f t="shared" si="8"/>
        <v>0</v>
      </c>
      <c r="K129" s="270">
        <f t="shared" si="8"/>
        <v>0</v>
      </c>
      <c r="L129" s="244">
        <f t="shared" si="8"/>
        <v>475.2</v>
      </c>
      <c r="M129" s="286">
        <f t="shared" si="8"/>
        <v>0</v>
      </c>
      <c r="N129" s="286">
        <f t="shared" si="8"/>
        <v>0</v>
      </c>
      <c r="O129" s="2076"/>
      <c r="P129" s="428">
        <v>100</v>
      </c>
      <c r="Q129" s="641"/>
      <c r="R129" s="643"/>
      <c r="U129" s="13"/>
      <c r="V129" s="14"/>
      <c r="W129" s="14"/>
      <c r="X129" s="14"/>
    </row>
    <row r="130" spans="1:32" x14ac:dyDescent="0.2">
      <c r="A130" s="2002" t="s">
        <v>9</v>
      </c>
      <c r="B130" s="2018" t="s">
        <v>11</v>
      </c>
      <c r="C130" s="2066" t="s">
        <v>41</v>
      </c>
      <c r="D130" s="2080" t="s">
        <v>96</v>
      </c>
      <c r="E130" s="2083"/>
      <c r="F130" s="2043" t="s">
        <v>54</v>
      </c>
      <c r="G130" s="1988" t="s">
        <v>40</v>
      </c>
      <c r="H130" s="289" t="s">
        <v>36</v>
      </c>
      <c r="I130" s="247">
        <f>J130+L130</f>
        <v>100.3</v>
      </c>
      <c r="J130" s="236">
        <v>100.3</v>
      </c>
      <c r="K130" s="236"/>
      <c r="L130" s="237"/>
      <c r="M130" s="42">
        <v>100</v>
      </c>
      <c r="N130" s="42"/>
      <c r="O130" s="626" t="s">
        <v>78</v>
      </c>
      <c r="P130" s="640"/>
      <c r="Q130" s="640">
        <v>1</v>
      </c>
      <c r="R130" s="642"/>
      <c r="U130" s="13"/>
      <c r="V130" s="14"/>
      <c r="W130" s="14"/>
      <c r="X130" s="14"/>
    </row>
    <row r="131" spans="1:32" x14ac:dyDescent="0.2">
      <c r="A131" s="2003"/>
      <c r="B131" s="2019"/>
      <c r="C131" s="2071"/>
      <c r="D131" s="2081"/>
      <c r="E131" s="2084"/>
      <c r="F131" s="2044"/>
      <c r="G131" s="1989"/>
      <c r="H131" s="290"/>
      <c r="I131" s="240">
        <f>J131+L131</f>
        <v>0</v>
      </c>
      <c r="J131" s="226"/>
      <c r="K131" s="226"/>
      <c r="L131" s="227"/>
      <c r="M131" s="70"/>
      <c r="N131" s="70"/>
      <c r="O131" s="17"/>
      <c r="P131" s="32"/>
      <c r="Q131" s="32"/>
      <c r="R131" s="150"/>
      <c r="U131" s="13"/>
      <c r="V131" s="14"/>
      <c r="W131" s="14"/>
      <c r="X131" s="14"/>
    </row>
    <row r="132" spans="1:32" ht="13.5" thickBot="1" x14ac:dyDescent="0.25">
      <c r="A132" s="2004"/>
      <c r="B132" s="2020"/>
      <c r="C132" s="2067"/>
      <c r="D132" s="2082"/>
      <c r="E132" s="2085"/>
      <c r="F132" s="2075"/>
      <c r="G132" s="1990"/>
      <c r="H132" s="288" t="s">
        <v>10</v>
      </c>
      <c r="I132" s="250">
        <f t="shared" ref="I132:N132" si="9">SUM(I130:I131)</f>
        <v>100.3</v>
      </c>
      <c r="J132" s="244">
        <f t="shared" si="9"/>
        <v>100.3</v>
      </c>
      <c r="K132" s="244">
        <f t="shared" si="9"/>
        <v>0</v>
      </c>
      <c r="L132" s="244">
        <f t="shared" si="9"/>
        <v>0</v>
      </c>
      <c r="M132" s="286">
        <f t="shared" si="9"/>
        <v>100</v>
      </c>
      <c r="N132" s="286">
        <f t="shared" si="9"/>
        <v>0</v>
      </c>
      <c r="O132" s="18"/>
      <c r="P132" s="641"/>
      <c r="Q132" s="641"/>
      <c r="R132" s="643"/>
      <c r="U132" s="13"/>
      <c r="V132" s="14"/>
      <c r="W132" s="14"/>
      <c r="X132" s="14"/>
    </row>
    <row r="133" spans="1:32" x14ac:dyDescent="0.2">
      <c r="A133" s="2002" t="s">
        <v>9</v>
      </c>
      <c r="B133" s="2018" t="s">
        <v>11</v>
      </c>
      <c r="C133" s="2066" t="s">
        <v>55</v>
      </c>
      <c r="D133" s="2080" t="s">
        <v>107</v>
      </c>
      <c r="E133" s="2083"/>
      <c r="F133" s="2043" t="s">
        <v>54</v>
      </c>
      <c r="G133" s="1988" t="s">
        <v>40</v>
      </c>
      <c r="H133" s="19" t="s">
        <v>36</v>
      </c>
      <c r="I133" s="247">
        <f>J133+L133</f>
        <v>20</v>
      </c>
      <c r="J133" s="236">
        <v>20</v>
      </c>
      <c r="K133" s="236"/>
      <c r="L133" s="237"/>
      <c r="M133" s="42"/>
      <c r="N133" s="42"/>
      <c r="O133" s="626" t="s">
        <v>79</v>
      </c>
      <c r="P133" s="640">
        <v>150</v>
      </c>
      <c r="Q133" s="640"/>
      <c r="R133" s="642"/>
      <c r="U133" s="13"/>
    </row>
    <row r="134" spans="1:32" x14ac:dyDescent="0.2">
      <c r="A134" s="2003"/>
      <c r="B134" s="2019"/>
      <c r="C134" s="2071"/>
      <c r="D134" s="2081"/>
      <c r="E134" s="2084"/>
      <c r="F134" s="2044"/>
      <c r="G134" s="1989"/>
      <c r="H134" s="26"/>
      <c r="I134" s="240">
        <f>J134+L134</f>
        <v>0</v>
      </c>
      <c r="J134" s="226"/>
      <c r="K134" s="226"/>
      <c r="L134" s="227"/>
      <c r="M134" s="70"/>
      <c r="N134" s="70"/>
      <c r="O134" s="17"/>
      <c r="P134" s="32"/>
      <c r="Q134" s="32"/>
      <c r="R134" s="150"/>
      <c r="U134" s="13"/>
    </row>
    <row r="135" spans="1:32" ht="13.5" thickBot="1" x14ac:dyDescent="0.25">
      <c r="A135" s="2004"/>
      <c r="B135" s="2020"/>
      <c r="C135" s="2067"/>
      <c r="D135" s="2082"/>
      <c r="E135" s="2085"/>
      <c r="F135" s="2075"/>
      <c r="G135" s="1990"/>
      <c r="H135" s="288" t="s">
        <v>10</v>
      </c>
      <c r="I135" s="250">
        <f t="shared" ref="I135:N135" si="10">SUM(I133:I134)</f>
        <v>20</v>
      </c>
      <c r="J135" s="244">
        <f t="shared" si="10"/>
        <v>20</v>
      </c>
      <c r="K135" s="244">
        <f t="shared" si="10"/>
        <v>0</v>
      </c>
      <c r="L135" s="244">
        <f t="shared" si="10"/>
        <v>0</v>
      </c>
      <c r="M135" s="286">
        <f t="shared" si="10"/>
        <v>0</v>
      </c>
      <c r="N135" s="286">
        <f t="shared" si="10"/>
        <v>0</v>
      </c>
      <c r="O135" s="18"/>
      <c r="P135" s="641"/>
      <c r="Q135" s="641"/>
      <c r="R135" s="643"/>
      <c r="U135" s="13"/>
    </row>
    <row r="136" spans="1:32" ht="13.5" thickBot="1" x14ac:dyDescent="0.25">
      <c r="A136" s="100" t="s">
        <v>9</v>
      </c>
      <c r="B136" s="11" t="s">
        <v>11</v>
      </c>
      <c r="C136" s="2023" t="s">
        <v>12</v>
      </c>
      <c r="D136" s="2023"/>
      <c r="E136" s="2023"/>
      <c r="F136" s="2023"/>
      <c r="G136" s="2023"/>
      <c r="H136" s="1967"/>
      <c r="I136" s="24">
        <f t="shared" ref="I136:N136" si="11">SUM(I129,I126,I135,I132,I123,I118,I115)</f>
        <v>1210</v>
      </c>
      <c r="J136" s="24">
        <f t="shared" si="11"/>
        <v>734.8</v>
      </c>
      <c r="K136" s="24">
        <f t="shared" si="11"/>
        <v>0</v>
      </c>
      <c r="L136" s="24">
        <f t="shared" si="11"/>
        <v>475.2</v>
      </c>
      <c r="M136" s="24">
        <f t="shared" si="11"/>
        <v>739</v>
      </c>
      <c r="N136" s="24">
        <f t="shared" si="11"/>
        <v>639</v>
      </c>
      <c r="O136" s="1968"/>
      <c r="P136" s="1969"/>
      <c r="Q136" s="1969"/>
      <c r="R136" s="1970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</row>
    <row r="137" spans="1:32" ht="13.5" thickBot="1" x14ac:dyDescent="0.25">
      <c r="A137" s="94" t="s">
        <v>9</v>
      </c>
      <c r="B137" s="11" t="s">
        <v>38</v>
      </c>
      <c r="C137" s="2077" t="s">
        <v>72</v>
      </c>
      <c r="D137" s="2078"/>
      <c r="E137" s="2078"/>
      <c r="F137" s="2078"/>
      <c r="G137" s="2078"/>
      <c r="H137" s="2078"/>
      <c r="I137" s="2078"/>
      <c r="J137" s="2078"/>
      <c r="K137" s="2078"/>
      <c r="L137" s="2078"/>
      <c r="M137" s="2078"/>
      <c r="N137" s="2078"/>
      <c r="O137" s="2078"/>
      <c r="P137" s="2078"/>
      <c r="Q137" s="2078"/>
      <c r="R137" s="2079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</row>
    <row r="138" spans="1:32" x14ac:dyDescent="0.2">
      <c r="A138" s="2002" t="s">
        <v>9</v>
      </c>
      <c r="B138" s="2018" t="s">
        <v>38</v>
      </c>
      <c r="C138" s="2066" t="s">
        <v>9</v>
      </c>
      <c r="D138" s="2072" t="s">
        <v>82</v>
      </c>
      <c r="E138" s="2041"/>
      <c r="F138" s="2043" t="s">
        <v>54</v>
      </c>
      <c r="G138" s="2063" t="s">
        <v>40</v>
      </c>
      <c r="H138" s="289" t="s">
        <v>36</v>
      </c>
      <c r="I138" s="247">
        <f>J138+L138</f>
        <v>1233.5</v>
      </c>
      <c r="J138" s="236">
        <v>1233.5</v>
      </c>
      <c r="K138" s="236"/>
      <c r="L138" s="237"/>
      <c r="M138" s="47">
        <v>2006.3</v>
      </c>
      <c r="N138" s="47">
        <v>2006.3</v>
      </c>
      <c r="O138" s="2029" t="s">
        <v>198</v>
      </c>
      <c r="P138" s="44">
        <v>3.7</v>
      </c>
      <c r="Q138" s="44">
        <v>3.7</v>
      </c>
      <c r="R138" s="45">
        <v>3.7</v>
      </c>
      <c r="U138" s="13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</row>
    <row r="139" spans="1:32" x14ac:dyDescent="0.2">
      <c r="A139" s="2003"/>
      <c r="B139" s="2019"/>
      <c r="C139" s="2071"/>
      <c r="D139" s="2073"/>
      <c r="E139" s="2042"/>
      <c r="F139" s="2044"/>
      <c r="G139" s="2064"/>
      <c r="H139" s="290"/>
      <c r="I139" s="240">
        <f>J139+L139</f>
        <v>0</v>
      </c>
      <c r="J139" s="226"/>
      <c r="K139" s="226"/>
      <c r="L139" s="227"/>
      <c r="M139" s="70"/>
      <c r="N139" s="70"/>
      <c r="O139" s="2030"/>
      <c r="P139" s="43"/>
      <c r="Q139" s="32"/>
      <c r="R139" s="150"/>
      <c r="U139" s="13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</row>
    <row r="140" spans="1:32" x14ac:dyDescent="0.2">
      <c r="A140" s="2003"/>
      <c r="B140" s="2019"/>
      <c r="C140" s="2071"/>
      <c r="D140" s="2073"/>
      <c r="E140" s="2042"/>
      <c r="F140" s="2044"/>
      <c r="G140" s="2064"/>
      <c r="H140" s="373"/>
      <c r="I140" s="222">
        <f>J140+L140</f>
        <v>0</v>
      </c>
      <c r="J140" s="231"/>
      <c r="K140" s="231"/>
      <c r="L140" s="232"/>
      <c r="M140" s="23"/>
      <c r="N140" s="23"/>
      <c r="O140" s="2030"/>
      <c r="P140" s="32"/>
      <c r="Q140" s="32"/>
      <c r="R140" s="150"/>
      <c r="U140" s="13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</row>
    <row r="141" spans="1:32" ht="13.5" thickBot="1" x14ac:dyDescent="0.25">
      <c r="A141" s="2004"/>
      <c r="B141" s="2020"/>
      <c r="C141" s="2067"/>
      <c r="D141" s="2074"/>
      <c r="E141" s="2068"/>
      <c r="F141" s="2075"/>
      <c r="G141" s="2065"/>
      <c r="H141" s="288" t="s">
        <v>10</v>
      </c>
      <c r="I141" s="250">
        <f t="shared" ref="I141:N141" si="12">SUM(I138:I140)</f>
        <v>1233.5</v>
      </c>
      <c r="J141" s="244">
        <f t="shared" si="12"/>
        <v>1233.5</v>
      </c>
      <c r="K141" s="244">
        <f t="shared" si="12"/>
        <v>0</v>
      </c>
      <c r="L141" s="244">
        <f t="shared" si="12"/>
        <v>0</v>
      </c>
      <c r="M141" s="286">
        <f t="shared" si="12"/>
        <v>2006.3</v>
      </c>
      <c r="N141" s="286">
        <f t="shared" si="12"/>
        <v>2006.3</v>
      </c>
      <c r="O141" s="2076"/>
      <c r="P141" s="641"/>
      <c r="Q141" s="641"/>
      <c r="R141" s="643"/>
      <c r="U141" s="13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</row>
    <row r="142" spans="1:32" x14ac:dyDescent="0.2">
      <c r="A142" s="2002" t="s">
        <v>9</v>
      </c>
      <c r="B142" s="2018" t="s">
        <v>38</v>
      </c>
      <c r="C142" s="2066" t="s">
        <v>11</v>
      </c>
      <c r="D142" s="2072" t="s">
        <v>39</v>
      </c>
      <c r="E142" s="2041"/>
      <c r="F142" s="2043" t="s">
        <v>41</v>
      </c>
      <c r="G142" s="2063" t="s">
        <v>40</v>
      </c>
      <c r="H142" s="289" t="s">
        <v>36</v>
      </c>
      <c r="I142" s="247">
        <f>J142+L142</f>
        <v>0</v>
      </c>
      <c r="J142" s="236"/>
      <c r="K142" s="236"/>
      <c r="L142" s="237"/>
      <c r="M142" s="47"/>
      <c r="N142" s="47"/>
      <c r="O142" s="2029" t="s">
        <v>106</v>
      </c>
      <c r="P142" s="640"/>
      <c r="Q142" s="640" t="s">
        <v>42</v>
      </c>
      <c r="R142" s="642" t="s">
        <v>42</v>
      </c>
      <c r="U142" s="13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</row>
    <row r="143" spans="1:32" x14ac:dyDescent="0.2">
      <c r="A143" s="2003"/>
      <c r="B143" s="2019"/>
      <c r="C143" s="2071"/>
      <c r="D143" s="2073"/>
      <c r="E143" s="2042"/>
      <c r="F143" s="2044"/>
      <c r="G143" s="2064"/>
      <c r="H143" s="290"/>
      <c r="I143" s="240">
        <f>J143+L143</f>
        <v>0</v>
      </c>
      <c r="J143" s="226">
        <v>0</v>
      </c>
      <c r="K143" s="226"/>
      <c r="L143" s="227"/>
      <c r="M143" s="70"/>
      <c r="N143" s="70"/>
      <c r="O143" s="2030"/>
      <c r="P143" s="32"/>
      <c r="Q143" s="32"/>
      <c r="R143" s="150"/>
      <c r="U143" s="13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</row>
    <row r="144" spans="1:32" ht="13.5" thickBot="1" x14ac:dyDescent="0.25">
      <c r="A144" s="2004"/>
      <c r="B144" s="2020"/>
      <c r="C144" s="2067"/>
      <c r="D144" s="2074"/>
      <c r="E144" s="2068"/>
      <c r="F144" s="2075"/>
      <c r="G144" s="2065"/>
      <c r="H144" s="288" t="s">
        <v>10</v>
      </c>
      <c r="I144" s="250">
        <f t="shared" ref="I144:N144" si="13">SUM(I142:I143)</f>
        <v>0</v>
      </c>
      <c r="J144" s="244">
        <f t="shared" si="13"/>
        <v>0</v>
      </c>
      <c r="K144" s="244">
        <f t="shared" si="13"/>
        <v>0</v>
      </c>
      <c r="L144" s="244">
        <f t="shared" si="13"/>
        <v>0</v>
      </c>
      <c r="M144" s="286">
        <f t="shared" si="13"/>
        <v>0</v>
      </c>
      <c r="N144" s="286">
        <f t="shared" si="13"/>
        <v>0</v>
      </c>
      <c r="O144" s="18"/>
      <c r="P144" s="641"/>
      <c r="Q144" s="641"/>
      <c r="R144" s="643"/>
      <c r="U144" s="13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</row>
    <row r="145" spans="1:32" x14ac:dyDescent="0.2">
      <c r="A145" s="2002" t="s">
        <v>9</v>
      </c>
      <c r="B145" s="2018" t="s">
        <v>38</v>
      </c>
      <c r="C145" s="2066" t="s">
        <v>38</v>
      </c>
      <c r="D145" s="2072" t="s">
        <v>43</v>
      </c>
      <c r="E145" s="2041"/>
      <c r="F145" s="2043" t="s">
        <v>44</v>
      </c>
      <c r="G145" s="2063" t="s">
        <v>40</v>
      </c>
      <c r="H145" s="289" t="s">
        <v>36</v>
      </c>
      <c r="I145" s="247">
        <f>J145+L145</f>
        <v>0</v>
      </c>
      <c r="J145" s="236"/>
      <c r="K145" s="236"/>
      <c r="L145" s="237"/>
      <c r="M145" s="47">
        <v>62</v>
      </c>
      <c r="N145" s="47">
        <v>62</v>
      </c>
      <c r="O145" s="2029" t="s">
        <v>45</v>
      </c>
      <c r="P145" s="640"/>
      <c r="Q145" s="640">
        <v>13</v>
      </c>
      <c r="R145" s="642">
        <v>13</v>
      </c>
      <c r="U145" s="13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</row>
    <row r="146" spans="1:32" x14ac:dyDescent="0.2">
      <c r="A146" s="2003"/>
      <c r="B146" s="2019"/>
      <c r="C146" s="2071"/>
      <c r="D146" s="2073"/>
      <c r="E146" s="2042"/>
      <c r="F146" s="2044"/>
      <c r="G146" s="2064"/>
      <c r="H146" s="290"/>
      <c r="I146" s="240">
        <f>J146+L146</f>
        <v>0</v>
      </c>
      <c r="J146" s="226"/>
      <c r="K146" s="226"/>
      <c r="L146" s="227"/>
      <c r="M146" s="70"/>
      <c r="N146" s="70"/>
      <c r="O146" s="2030"/>
      <c r="P146" s="32"/>
      <c r="Q146" s="32"/>
      <c r="R146" s="150"/>
      <c r="U146" s="13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</row>
    <row r="147" spans="1:32" ht="13.5" thickBot="1" x14ac:dyDescent="0.25">
      <c r="A147" s="2004"/>
      <c r="B147" s="2020"/>
      <c r="C147" s="2067"/>
      <c r="D147" s="2074"/>
      <c r="E147" s="2068"/>
      <c r="F147" s="2075"/>
      <c r="G147" s="2065"/>
      <c r="H147" s="288" t="s">
        <v>10</v>
      </c>
      <c r="I147" s="250">
        <f t="shared" ref="I147:N147" si="14">SUM(I145:I146)</f>
        <v>0</v>
      </c>
      <c r="J147" s="244">
        <f t="shared" si="14"/>
        <v>0</v>
      </c>
      <c r="K147" s="244">
        <f t="shared" si="14"/>
        <v>0</v>
      </c>
      <c r="L147" s="244">
        <f t="shared" si="14"/>
        <v>0</v>
      </c>
      <c r="M147" s="286">
        <f t="shared" si="14"/>
        <v>62</v>
      </c>
      <c r="N147" s="286">
        <f t="shared" si="14"/>
        <v>62</v>
      </c>
      <c r="O147" s="18"/>
      <c r="P147" s="641"/>
      <c r="Q147" s="641"/>
      <c r="R147" s="643"/>
      <c r="U147" s="13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</row>
    <row r="148" spans="1:32" x14ac:dyDescent="0.2">
      <c r="A148" s="2002" t="s">
        <v>9</v>
      </c>
      <c r="B148" s="2018" t="s">
        <v>38</v>
      </c>
      <c r="C148" s="2066" t="s">
        <v>53</v>
      </c>
      <c r="D148" s="2005" t="s">
        <v>146</v>
      </c>
      <c r="E148" s="2041"/>
      <c r="F148" s="2069" t="s">
        <v>44</v>
      </c>
      <c r="G148" s="2055" t="s">
        <v>40</v>
      </c>
      <c r="H148" s="374" t="s">
        <v>92</v>
      </c>
      <c r="I148" s="271">
        <f>+J148+L148</f>
        <v>0</v>
      </c>
      <c r="J148" s="272">
        <v>0</v>
      </c>
      <c r="K148" s="272"/>
      <c r="L148" s="273">
        <v>0</v>
      </c>
      <c r="M148" s="117">
        <v>50</v>
      </c>
      <c r="N148" s="116">
        <v>50</v>
      </c>
      <c r="O148" s="2057" t="s">
        <v>150</v>
      </c>
      <c r="P148" s="2059"/>
      <c r="Q148" s="2059"/>
      <c r="R148" s="2061">
        <v>1</v>
      </c>
      <c r="T148" s="13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</row>
    <row r="149" spans="1:32" ht="13.5" thickBot="1" x14ac:dyDescent="0.25">
      <c r="A149" s="2004"/>
      <c r="B149" s="2020"/>
      <c r="C149" s="2067"/>
      <c r="D149" s="2007"/>
      <c r="E149" s="2068"/>
      <c r="F149" s="2070"/>
      <c r="G149" s="2056"/>
      <c r="H149" s="288" t="s">
        <v>10</v>
      </c>
      <c r="I149" s="250">
        <f>+L149+J149</f>
        <v>0</v>
      </c>
      <c r="J149" s="250">
        <f>+J148</f>
        <v>0</v>
      </c>
      <c r="K149" s="250"/>
      <c r="L149" s="255">
        <f>+L148</f>
        <v>0</v>
      </c>
      <c r="M149" s="286">
        <f>+M148</f>
        <v>50</v>
      </c>
      <c r="N149" s="250">
        <f>+N148</f>
        <v>50</v>
      </c>
      <c r="O149" s="2058"/>
      <c r="P149" s="2060"/>
      <c r="Q149" s="2060"/>
      <c r="R149" s="2062"/>
      <c r="T149" s="13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</row>
    <row r="150" spans="1:32" ht="13.5" thickBot="1" x14ac:dyDescent="0.25">
      <c r="A150" s="100" t="s">
        <v>9</v>
      </c>
      <c r="B150" s="11" t="s">
        <v>38</v>
      </c>
      <c r="C150" s="2023" t="s">
        <v>12</v>
      </c>
      <c r="D150" s="2023"/>
      <c r="E150" s="2023"/>
      <c r="F150" s="2023"/>
      <c r="G150" s="2023"/>
      <c r="H150" s="1967"/>
      <c r="I150" s="24">
        <f t="shared" ref="I150:N150" si="15">SUM(I147,I144,I141,I149)</f>
        <v>1233.5</v>
      </c>
      <c r="J150" s="24">
        <f t="shared" si="15"/>
        <v>1233.5</v>
      </c>
      <c r="K150" s="24">
        <f t="shared" si="15"/>
        <v>0</v>
      </c>
      <c r="L150" s="24">
        <f t="shared" si="15"/>
        <v>0</v>
      </c>
      <c r="M150" s="24">
        <f t="shared" si="15"/>
        <v>2118.3000000000002</v>
      </c>
      <c r="N150" s="24">
        <f t="shared" si="15"/>
        <v>2118.3000000000002</v>
      </c>
      <c r="O150" s="1968"/>
      <c r="P150" s="1969"/>
      <c r="Q150" s="1969"/>
      <c r="R150" s="1970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</row>
    <row r="151" spans="1:32" ht="13.5" thickBot="1" x14ac:dyDescent="0.25">
      <c r="A151" s="94" t="s">
        <v>9</v>
      </c>
      <c r="B151" s="11" t="s">
        <v>53</v>
      </c>
      <c r="C151" s="2024" t="s">
        <v>73</v>
      </c>
      <c r="D151" s="2025"/>
      <c r="E151" s="2025"/>
      <c r="F151" s="2025"/>
      <c r="G151" s="2025"/>
      <c r="H151" s="2025"/>
      <c r="I151" s="2025"/>
      <c r="J151" s="2025"/>
      <c r="K151" s="2025"/>
      <c r="L151" s="2025"/>
      <c r="M151" s="2025"/>
      <c r="N151" s="2025"/>
      <c r="O151" s="2025"/>
      <c r="P151" s="2025"/>
      <c r="Q151" s="2025"/>
      <c r="R151" s="2026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</row>
    <row r="152" spans="1:32" ht="25.5" x14ac:dyDescent="0.2">
      <c r="A152" s="627" t="s">
        <v>9</v>
      </c>
      <c r="B152" s="635" t="s">
        <v>53</v>
      </c>
      <c r="C152" s="655" t="s">
        <v>9</v>
      </c>
      <c r="D152" s="673" t="s">
        <v>166</v>
      </c>
      <c r="E152" s="513"/>
      <c r="F152" s="621"/>
      <c r="G152" s="623"/>
      <c r="H152" s="73"/>
      <c r="I152" s="274"/>
      <c r="J152" s="275"/>
      <c r="K152" s="276"/>
      <c r="L152" s="359"/>
      <c r="M152" s="378"/>
      <c r="N152" s="378"/>
      <c r="O152" s="74"/>
      <c r="P152" s="75"/>
      <c r="Q152" s="75"/>
      <c r="R152" s="642"/>
      <c r="S152" s="72"/>
      <c r="U152" s="13"/>
    </row>
    <row r="153" spans="1:32" x14ac:dyDescent="0.2">
      <c r="A153" s="2003"/>
      <c r="B153" s="2019"/>
      <c r="C153" s="2040"/>
      <c r="D153" s="2046" t="s">
        <v>134</v>
      </c>
      <c r="E153" s="2049" t="s">
        <v>91</v>
      </c>
      <c r="F153" s="2052" t="s">
        <v>54</v>
      </c>
      <c r="G153" s="2031" t="s">
        <v>90</v>
      </c>
      <c r="H153" s="519" t="s">
        <v>36</v>
      </c>
      <c r="I153" s="520">
        <v>200</v>
      </c>
      <c r="J153" s="521"/>
      <c r="K153" s="521"/>
      <c r="L153" s="538">
        <v>200</v>
      </c>
      <c r="M153" s="537">
        <v>100</v>
      </c>
      <c r="N153" s="522"/>
      <c r="O153" s="2034" t="s">
        <v>137</v>
      </c>
      <c r="P153" s="523"/>
      <c r="Q153" s="523"/>
      <c r="R153" s="131"/>
      <c r="U153" s="13"/>
    </row>
    <row r="154" spans="1:32" x14ac:dyDescent="0.2">
      <c r="A154" s="2003"/>
      <c r="B154" s="2019"/>
      <c r="C154" s="2040"/>
      <c r="D154" s="2047"/>
      <c r="E154" s="2050"/>
      <c r="F154" s="2053"/>
      <c r="G154" s="2032"/>
      <c r="H154" s="524"/>
      <c r="I154" s="525"/>
      <c r="J154" s="385"/>
      <c r="K154" s="385"/>
      <c r="L154" s="539"/>
      <c r="M154" s="526"/>
      <c r="N154" s="526"/>
      <c r="O154" s="2035"/>
      <c r="P154" s="527"/>
      <c r="Q154" s="528"/>
      <c r="R154" s="150"/>
      <c r="U154" s="13"/>
    </row>
    <row r="155" spans="1:32" ht="13.5" thickBot="1" x14ac:dyDescent="0.25">
      <c r="A155" s="2004"/>
      <c r="B155" s="2020"/>
      <c r="C155" s="2045"/>
      <c r="D155" s="2048"/>
      <c r="E155" s="2051"/>
      <c r="F155" s="2054"/>
      <c r="G155" s="2033"/>
      <c r="H155" s="529"/>
      <c r="I155" s="530"/>
      <c r="J155" s="531"/>
      <c r="K155" s="531"/>
      <c r="L155" s="540"/>
      <c r="M155" s="532"/>
      <c r="N155" s="532"/>
      <c r="O155" s="2036"/>
      <c r="P155" s="533">
        <v>50</v>
      </c>
      <c r="Q155" s="534">
        <v>50</v>
      </c>
      <c r="R155" s="643"/>
      <c r="U155" s="13"/>
    </row>
    <row r="156" spans="1:32" x14ac:dyDescent="0.2">
      <c r="A156" s="2037"/>
      <c r="B156" s="2038"/>
      <c r="C156" s="2039"/>
      <c r="D156" s="2005" t="s">
        <v>83</v>
      </c>
      <c r="E156" s="2041"/>
      <c r="F156" s="2043" t="s">
        <v>54</v>
      </c>
      <c r="G156" s="2027" t="s">
        <v>40</v>
      </c>
      <c r="H156" s="429" t="s">
        <v>36</v>
      </c>
      <c r="I156" s="274">
        <f>J156+L156</f>
        <v>265.7</v>
      </c>
      <c r="J156" s="276">
        <v>265.7</v>
      </c>
      <c r="K156" s="276"/>
      <c r="L156" s="359"/>
      <c r="M156" s="378">
        <v>266</v>
      </c>
      <c r="N156" s="378">
        <v>266</v>
      </c>
      <c r="O156" s="2029" t="s">
        <v>84</v>
      </c>
      <c r="P156" s="640">
        <v>285</v>
      </c>
      <c r="Q156" s="640">
        <v>285</v>
      </c>
      <c r="R156" s="642">
        <v>285</v>
      </c>
      <c r="W156" s="518"/>
    </row>
    <row r="157" spans="1:32" x14ac:dyDescent="0.2">
      <c r="A157" s="2010"/>
      <c r="B157" s="2012"/>
      <c r="C157" s="2040"/>
      <c r="D157" s="2006"/>
      <c r="E157" s="2042"/>
      <c r="F157" s="2044"/>
      <c r="G157" s="2028"/>
      <c r="H157" s="380"/>
      <c r="I157" s="324"/>
      <c r="J157" s="226"/>
      <c r="K157" s="226"/>
      <c r="L157" s="251"/>
      <c r="M157" s="109"/>
      <c r="N157" s="109"/>
      <c r="O157" s="2030"/>
      <c r="P157" s="32"/>
      <c r="Q157" s="32"/>
      <c r="R157" s="150"/>
    </row>
    <row r="158" spans="1:32" ht="26.25" thickBot="1" x14ac:dyDescent="0.25">
      <c r="A158" s="629"/>
      <c r="B158" s="637"/>
      <c r="C158" s="680"/>
      <c r="D158" s="476"/>
      <c r="E158" s="396"/>
      <c r="F158" s="622"/>
      <c r="G158" s="625"/>
      <c r="H158" s="291" t="s">
        <v>10</v>
      </c>
      <c r="I158" s="544" t="s">
        <v>208</v>
      </c>
      <c r="J158" s="536">
        <v>265.7</v>
      </c>
      <c r="K158" s="250">
        <f>K153+K156</f>
        <v>0</v>
      </c>
      <c r="L158" s="538">
        <v>200</v>
      </c>
      <c r="M158" s="543" t="s">
        <v>207</v>
      </c>
      <c r="N158" s="250">
        <f>N153+N156</f>
        <v>266</v>
      </c>
      <c r="O158" s="28"/>
      <c r="P158" s="641"/>
      <c r="Q158" s="34"/>
      <c r="R158" s="643"/>
      <c r="U158" s="13"/>
    </row>
    <row r="159" spans="1:32" ht="25.5" x14ac:dyDescent="0.2">
      <c r="A159" s="2002" t="s">
        <v>9</v>
      </c>
      <c r="B159" s="2018" t="s">
        <v>53</v>
      </c>
      <c r="C159" s="2021" t="s">
        <v>11</v>
      </c>
      <c r="D159" s="2005" t="s">
        <v>125</v>
      </c>
      <c r="E159" s="1982"/>
      <c r="F159" s="1985" t="s">
        <v>41</v>
      </c>
      <c r="G159" s="1988" t="s">
        <v>40</v>
      </c>
      <c r="H159" s="15" t="s">
        <v>36</v>
      </c>
      <c r="I159" s="247">
        <f>J159+L159</f>
        <v>48.6</v>
      </c>
      <c r="J159" s="236">
        <v>48.6</v>
      </c>
      <c r="K159" s="236"/>
      <c r="L159" s="248"/>
      <c r="M159" s="127">
        <v>44.7</v>
      </c>
      <c r="N159" s="47">
        <v>52.9</v>
      </c>
      <c r="O159" s="626" t="s">
        <v>127</v>
      </c>
      <c r="P159" s="640">
        <v>49</v>
      </c>
      <c r="Q159" s="640">
        <v>50</v>
      </c>
      <c r="R159" s="642">
        <v>49</v>
      </c>
      <c r="U159" s="13"/>
    </row>
    <row r="160" spans="1:32" x14ac:dyDescent="0.2">
      <c r="A160" s="2003"/>
      <c r="B160" s="2019"/>
      <c r="C160" s="2014"/>
      <c r="D160" s="2006"/>
      <c r="E160" s="1983"/>
      <c r="F160" s="1986"/>
      <c r="G160" s="1989"/>
      <c r="H160" s="151"/>
      <c r="I160" s="238"/>
      <c r="J160" s="231"/>
      <c r="K160" s="231"/>
      <c r="L160" s="252"/>
      <c r="M160" s="83"/>
      <c r="N160" s="23"/>
      <c r="O160" s="27" t="s">
        <v>126</v>
      </c>
      <c r="P160" s="32">
        <v>12</v>
      </c>
      <c r="Q160" s="33">
        <v>10</v>
      </c>
      <c r="R160" s="150">
        <v>13</v>
      </c>
      <c r="U160" s="13"/>
    </row>
    <row r="161" spans="1:23" ht="13.5" thickBot="1" x14ac:dyDescent="0.25">
      <c r="A161" s="2004"/>
      <c r="B161" s="2020"/>
      <c r="C161" s="2015"/>
      <c r="D161" s="2007"/>
      <c r="E161" s="1984"/>
      <c r="F161" s="1987"/>
      <c r="G161" s="1990"/>
      <c r="H161" s="291" t="s">
        <v>10</v>
      </c>
      <c r="I161" s="243">
        <f t="shared" ref="I161:N161" si="16">I159</f>
        <v>48.6</v>
      </c>
      <c r="J161" s="250">
        <f t="shared" si="16"/>
        <v>48.6</v>
      </c>
      <c r="K161" s="250">
        <f t="shared" si="16"/>
        <v>0</v>
      </c>
      <c r="L161" s="253">
        <f t="shared" si="16"/>
        <v>0</v>
      </c>
      <c r="M161" s="255">
        <f t="shared" si="16"/>
        <v>44.7</v>
      </c>
      <c r="N161" s="286">
        <f t="shared" si="16"/>
        <v>52.9</v>
      </c>
      <c r="O161" s="28"/>
      <c r="P161" s="641"/>
      <c r="Q161" s="34"/>
      <c r="R161" s="643"/>
      <c r="U161" s="13"/>
      <c r="W161" s="535"/>
    </row>
    <row r="162" spans="1:23" ht="26.25" thickBot="1" x14ac:dyDescent="0.25">
      <c r="A162" s="629" t="s">
        <v>9</v>
      </c>
      <c r="B162" s="637" t="s">
        <v>53</v>
      </c>
      <c r="C162" s="2022" t="s">
        <v>12</v>
      </c>
      <c r="D162" s="2023"/>
      <c r="E162" s="2023"/>
      <c r="F162" s="2023"/>
      <c r="G162" s="2023"/>
      <c r="H162" s="1967"/>
      <c r="I162" s="545" t="s">
        <v>209</v>
      </c>
      <c r="J162" s="24">
        <f>J161+J158</f>
        <v>314.3</v>
      </c>
      <c r="K162" s="24">
        <f>K161+K158</f>
        <v>0</v>
      </c>
      <c r="L162" s="541">
        <v>200</v>
      </c>
      <c r="M162" s="542" t="s">
        <v>206</v>
      </c>
      <c r="N162" s="24">
        <f>N161+N158</f>
        <v>318.89999999999998</v>
      </c>
      <c r="O162" s="143"/>
      <c r="P162" s="144"/>
      <c r="Q162" s="145"/>
      <c r="R162" s="146"/>
    </row>
    <row r="163" spans="1:23" ht="13.5" thickBot="1" x14ac:dyDescent="0.25">
      <c r="A163" s="94" t="s">
        <v>9</v>
      </c>
      <c r="B163" s="11" t="s">
        <v>109</v>
      </c>
      <c r="C163" s="2024" t="s">
        <v>110</v>
      </c>
      <c r="D163" s="2025"/>
      <c r="E163" s="2025"/>
      <c r="F163" s="2025"/>
      <c r="G163" s="2025"/>
      <c r="H163" s="2025"/>
      <c r="I163" s="2025"/>
      <c r="J163" s="2025"/>
      <c r="K163" s="2025"/>
      <c r="L163" s="2025"/>
      <c r="M163" s="2025"/>
      <c r="N163" s="2025"/>
      <c r="O163" s="2025"/>
      <c r="P163" s="2025"/>
      <c r="Q163" s="2025"/>
      <c r="R163" s="2026"/>
    </row>
    <row r="164" spans="1:23" ht="25.5" x14ac:dyDescent="0.2">
      <c r="A164" s="681" t="s">
        <v>9</v>
      </c>
      <c r="B164" s="682" t="s">
        <v>54</v>
      </c>
      <c r="C164" s="638" t="s">
        <v>9</v>
      </c>
      <c r="D164" s="125" t="s">
        <v>118</v>
      </c>
      <c r="E164" s="1993"/>
      <c r="F164" s="1996" t="s">
        <v>44</v>
      </c>
      <c r="G164" s="1999">
        <v>6</v>
      </c>
      <c r="H164" s="375" t="s">
        <v>36</v>
      </c>
      <c r="I164" s="348">
        <f>J164+L164</f>
        <v>12686.1</v>
      </c>
      <c r="J164" s="276">
        <v>12686.1</v>
      </c>
      <c r="K164" s="276"/>
      <c r="L164" s="359"/>
      <c r="M164" s="379">
        <v>13019</v>
      </c>
      <c r="N164" s="80">
        <v>13019</v>
      </c>
      <c r="O164" s="668" t="s">
        <v>124</v>
      </c>
      <c r="P164" s="130">
        <v>116</v>
      </c>
      <c r="Q164" s="130">
        <v>116</v>
      </c>
      <c r="R164" s="131">
        <v>116</v>
      </c>
    </row>
    <row r="165" spans="1:23" x14ac:dyDescent="0.2">
      <c r="A165" s="630"/>
      <c r="B165" s="631"/>
      <c r="C165" s="632"/>
      <c r="D165" s="126" t="s">
        <v>120</v>
      </c>
      <c r="E165" s="1994"/>
      <c r="F165" s="1997"/>
      <c r="G165" s="2000"/>
      <c r="H165" s="377"/>
      <c r="I165" s="254"/>
      <c r="J165" s="226"/>
      <c r="K165" s="226"/>
      <c r="L165" s="251"/>
      <c r="M165" s="383"/>
      <c r="N165" s="376"/>
      <c r="O165" s="639"/>
      <c r="P165" s="32"/>
      <c r="Q165" s="32"/>
      <c r="R165" s="150"/>
    </row>
    <row r="166" spans="1:23" x14ac:dyDescent="0.2">
      <c r="A166" s="630"/>
      <c r="B166" s="631"/>
      <c r="C166" s="632"/>
      <c r="D166" s="633" t="s">
        <v>121</v>
      </c>
      <c r="E166" s="1994"/>
      <c r="F166" s="1997"/>
      <c r="G166" s="2000"/>
      <c r="H166" s="377"/>
      <c r="I166" s="254"/>
      <c r="J166" s="226"/>
      <c r="K166" s="226"/>
      <c r="L166" s="251"/>
      <c r="M166" s="383"/>
      <c r="N166" s="376"/>
      <c r="O166" s="639"/>
      <c r="P166" s="32"/>
      <c r="Q166" s="32"/>
      <c r="R166" s="150"/>
    </row>
    <row r="167" spans="1:23" x14ac:dyDescent="0.2">
      <c r="A167" s="630"/>
      <c r="B167" s="631"/>
      <c r="C167" s="632"/>
      <c r="D167" s="126" t="s">
        <v>122</v>
      </c>
      <c r="E167" s="1994"/>
      <c r="F167" s="1997"/>
      <c r="G167" s="2000"/>
      <c r="H167" s="377"/>
      <c r="I167" s="254"/>
      <c r="J167" s="226"/>
      <c r="K167" s="226"/>
      <c r="L167" s="251"/>
      <c r="M167" s="383"/>
      <c r="N167" s="376"/>
      <c r="O167" s="639"/>
      <c r="P167" s="32"/>
      <c r="Q167" s="32"/>
      <c r="R167" s="150"/>
    </row>
    <row r="168" spans="1:23" s="53" customFormat="1" x14ac:dyDescent="0.2">
      <c r="A168" s="628"/>
      <c r="B168" s="636"/>
      <c r="C168" s="71"/>
      <c r="D168" s="126" t="s">
        <v>123</v>
      </c>
      <c r="E168" s="1994"/>
      <c r="F168" s="1997"/>
      <c r="G168" s="2000"/>
      <c r="H168" s="16"/>
      <c r="I168" s="384"/>
      <c r="J168" s="385"/>
      <c r="K168" s="386"/>
      <c r="L168" s="387"/>
      <c r="M168" s="383"/>
      <c r="N168" s="376"/>
      <c r="O168" s="639"/>
      <c r="P168" s="134"/>
      <c r="Q168" s="135"/>
      <c r="R168" s="138"/>
    </row>
    <row r="169" spans="1:23" x14ac:dyDescent="0.2">
      <c r="A169" s="2010"/>
      <c r="B169" s="2012"/>
      <c r="C169" s="2014"/>
      <c r="D169" s="2016" t="s">
        <v>119</v>
      </c>
      <c r="E169" s="1994"/>
      <c r="F169" s="1997"/>
      <c r="G169" s="2000"/>
      <c r="H169" s="380"/>
      <c r="I169" s="222"/>
      <c r="J169" s="223"/>
      <c r="K169" s="223"/>
      <c r="L169" s="239"/>
      <c r="M169" s="381"/>
      <c r="N169" s="382"/>
      <c r="O169" s="639"/>
      <c r="P169" s="32"/>
      <c r="Q169" s="32"/>
      <c r="R169" s="150"/>
    </row>
    <row r="170" spans="1:23" ht="13.5" thickBot="1" x14ac:dyDescent="0.25">
      <c r="A170" s="2011"/>
      <c r="B170" s="2013"/>
      <c r="C170" s="2015"/>
      <c r="D170" s="2017"/>
      <c r="E170" s="1995"/>
      <c r="F170" s="1998"/>
      <c r="G170" s="2001"/>
      <c r="H170" s="291" t="s">
        <v>10</v>
      </c>
      <c r="I170" s="278">
        <f t="shared" ref="I170:N170" si="17">SUM(I164:I169)</f>
        <v>12686.1</v>
      </c>
      <c r="J170" s="278">
        <f>SUM(J164:J169)</f>
        <v>12686.1</v>
      </c>
      <c r="K170" s="278">
        <f t="shared" si="17"/>
        <v>0</v>
      </c>
      <c r="L170" s="279">
        <f t="shared" si="17"/>
        <v>0</v>
      </c>
      <c r="M170" s="292">
        <f>SUM(M164:M169)</f>
        <v>13019</v>
      </c>
      <c r="N170" s="294">
        <f t="shared" si="17"/>
        <v>13019</v>
      </c>
      <c r="O170" s="28"/>
      <c r="P170" s="641"/>
      <c r="Q170" s="34"/>
      <c r="R170" s="643"/>
      <c r="U170" s="13"/>
    </row>
    <row r="171" spans="1:23" x14ac:dyDescent="0.2">
      <c r="A171" s="2002" t="s">
        <v>9</v>
      </c>
      <c r="B171" s="2018" t="s">
        <v>54</v>
      </c>
      <c r="C171" s="2021" t="s">
        <v>11</v>
      </c>
      <c r="D171" s="2005" t="s">
        <v>157</v>
      </c>
      <c r="E171" s="1982"/>
      <c r="F171" s="1985" t="s">
        <v>54</v>
      </c>
      <c r="G171" s="1988" t="s">
        <v>90</v>
      </c>
      <c r="H171" s="25" t="s">
        <v>36</v>
      </c>
      <c r="I171" s="240">
        <f>J171+L171</f>
        <v>39.299999999999997</v>
      </c>
      <c r="J171" s="229">
        <v>39.299999999999997</v>
      </c>
      <c r="K171" s="229"/>
      <c r="L171" s="241"/>
      <c r="M171" s="128">
        <v>56.9</v>
      </c>
      <c r="N171" s="52">
        <v>0</v>
      </c>
      <c r="O171" s="1991" t="s">
        <v>158</v>
      </c>
      <c r="P171" s="640">
        <v>1</v>
      </c>
      <c r="Q171" s="640"/>
      <c r="R171" s="642"/>
      <c r="U171" s="13"/>
    </row>
    <row r="172" spans="1:23" x14ac:dyDescent="0.2">
      <c r="A172" s="2003"/>
      <c r="B172" s="2019"/>
      <c r="C172" s="2014"/>
      <c r="D172" s="2006"/>
      <c r="E172" s="1983"/>
      <c r="F172" s="1986"/>
      <c r="G172" s="1989"/>
      <c r="H172" s="151"/>
      <c r="I172" s="238"/>
      <c r="J172" s="231"/>
      <c r="K172" s="231"/>
      <c r="L172" s="252"/>
      <c r="M172" s="83"/>
      <c r="N172" s="23"/>
      <c r="O172" s="1992"/>
      <c r="P172" s="32"/>
      <c r="Q172" s="33"/>
      <c r="R172" s="150"/>
      <c r="U172" s="13"/>
    </row>
    <row r="173" spans="1:23" ht="13.5" thickBot="1" x14ac:dyDescent="0.25">
      <c r="A173" s="2004"/>
      <c r="B173" s="2020"/>
      <c r="C173" s="2015"/>
      <c r="D173" s="2007"/>
      <c r="E173" s="1984"/>
      <c r="F173" s="1987"/>
      <c r="G173" s="1990"/>
      <c r="H173" s="291" t="s">
        <v>10</v>
      </c>
      <c r="I173" s="243">
        <f t="shared" ref="I173:N173" si="18">I171</f>
        <v>39.299999999999997</v>
      </c>
      <c r="J173" s="250">
        <f t="shared" si="18"/>
        <v>39.299999999999997</v>
      </c>
      <c r="K173" s="250">
        <f t="shared" si="18"/>
        <v>0</v>
      </c>
      <c r="L173" s="253">
        <f t="shared" si="18"/>
        <v>0</v>
      </c>
      <c r="M173" s="255">
        <f t="shared" si="18"/>
        <v>56.9</v>
      </c>
      <c r="N173" s="286">
        <f t="shared" si="18"/>
        <v>0</v>
      </c>
      <c r="O173" s="28"/>
      <c r="P173" s="641"/>
      <c r="Q173" s="34"/>
      <c r="R173" s="643"/>
      <c r="U173" s="13"/>
    </row>
    <row r="174" spans="1:23" s="53" customFormat="1" x14ac:dyDescent="0.2">
      <c r="A174" s="2002" t="s">
        <v>9</v>
      </c>
      <c r="B174" s="169" t="s">
        <v>54</v>
      </c>
      <c r="C174" s="170" t="s">
        <v>38</v>
      </c>
      <c r="D174" s="2005" t="s">
        <v>168</v>
      </c>
      <c r="E174" s="171"/>
      <c r="F174" s="172" t="s">
        <v>41</v>
      </c>
      <c r="G174" s="173">
        <v>6</v>
      </c>
      <c r="H174" s="157" t="s">
        <v>36</v>
      </c>
      <c r="I174" s="454">
        <f>J174</f>
        <v>3.5</v>
      </c>
      <c r="J174" s="455">
        <v>3.5</v>
      </c>
      <c r="K174" s="455"/>
      <c r="L174" s="456"/>
      <c r="M174" s="158"/>
      <c r="N174" s="159"/>
      <c r="O174" s="2008" t="s">
        <v>185</v>
      </c>
      <c r="P174" s="211">
        <v>100</v>
      </c>
      <c r="Q174" s="160"/>
      <c r="R174" s="161"/>
    </row>
    <row r="175" spans="1:23" s="53" customFormat="1" x14ac:dyDescent="0.2">
      <c r="A175" s="2003"/>
      <c r="B175" s="155"/>
      <c r="C175" s="156"/>
      <c r="D175" s="2006"/>
      <c r="E175" s="162"/>
      <c r="G175" s="163"/>
      <c r="H175" s="164"/>
      <c r="I175" s="457"/>
      <c r="J175" s="458"/>
      <c r="K175" s="458"/>
      <c r="L175" s="459"/>
      <c r="M175" s="158"/>
      <c r="N175" s="159"/>
      <c r="O175" s="2009"/>
      <c r="P175" s="165"/>
      <c r="Q175" s="165"/>
      <c r="R175" s="166"/>
    </row>
    <row r="176" spans="1:23" s="53" customFormat="1" ht="13.5" thickBot="1" x14ac:dyDescent="0.25">
      <c r="A176" s="2004"/>
      <c r="B176" s="174"/>
      <c r="C176" s="175"/>
      <c r="D176" s="2007"/>
      <c r="E176" s="176"/>
      <c r="F176" s="177"/>
      <c r="G176" s="178"/>
      <c r="H176" s="296" t="s">
        <v>10</v>
      </c>
      <c r="I176" s="460">
        <f>I174</f>
        <v>3.5</v>
      </c>
      <c r="J176" s="460">
        <f>J174</f>
        <v>3.5</v>
      </c>
      <c r="K176" s="461"/>
      <c r="L176" s="462">
        <f>SUM(L174:L175)</f>
        <v>0</v>
      </c>
      <c r="M176" s="297">
        <f>SUM(M174:M175)</f>
        <v>0</v>
      </c>
      <c r="N176" s="298">
        <f>SUM(N174:N175)</f>
        <v>0</v>
      </c>
      <c r="O176" s="2009"/>
      <c r="P176" s="212"/>
      <c r="Q176" s="167"/>
      <c r="R176" s="168"/>
    </row>
    <row r="177" spans="1:40" ht="13.5" thickBot="1" x14ac:dyDescent="0.25">
      <c r="A177" s="629" t="s">
        <v>9</v>
      </c>
      <c r="B177" s="637" t="s">
        <v>54</v>
      </c>
      <c r="C177" s="1965" t="s">
        <v>12</v>
      </c>
      <c r="D177" s="1966"/>
      <c r="E177" s="1966"/>
      <c r="F177" s="1966"/>
      <c r="G177" s="1966"/>
      <c r="H177" s="1967"/>
      <c r="I177" s="182">
        <f t="shared" ref="I177:N177" si="19">I173+I170+I176</f>
        <v>12728.9</v>
      </c>
      <c r="J177" s="24">
        <f t="shared" si="19"/>
        <v>12728.9</v>
      </c>
      <c r="K177" s="24">
        <f t="shared" si="19"/>
        <v>0</v>
      </c>
      <c r="L177" s="183">
        <f t="shared" si="19"/>
        <v>0</v>
      </c>
      <c r="M177" s="449">
        <f>M173+M170+M176</f>
        <v>13075.9</v>
      </c>
      <c r="N177" s="449">
        <f t="shared" si="19"/>
        <v>13019</v>
      </c>
      <c r="O177" s="1968"/>
      <c r="P177" s="1969"/>
      <c r="Q177" s="1969"/>
      <c r="R177" s="1970"/>
    </row>
    <row r="178" spans="1:40" ht="27.75" customHeight="1" thickBot="1" x14ac:dyDescent="0.25">
      <c r="A178" s="100" t="s">
        <v>9</v>
      </c>
      <c r="B178" s="1971" t="s">
        <v>13</v>
      </c>
      <c r="C178" s="1972"/>
      <c r="D178" s="1972"/>
      <c r="E178" s="1972"/>
      <c r="F178" s="1972"/>
      <c r="G178" s="1972"/>
      <c r="H178" s="1973"/>
      <c r="I178" s="451">
        <v>34965.800000000003</v>
      </c>
      <c r="J178" s="563" t="s">
        <v>217</v>
      </c>
      <c r="K178" s="450">
        <f>SUM(K110,K136,K150,K162,K177)</f>
        <v>742.7</v>
      </c>
      <c r="L178" s="564" t="s">
        <v>218</v>
      </c>
      <c r="M178" s="565" t="s">
        <v>219</v>
      </c>
      <c r="N178" s="102">
        <f>SUM(N110,N136,N150,N162,N177)</f>
        <v>37729.699999999997</v>
      </c>
      <c r="O178" s="1974"/>
      <c r="P178" s="1975"/>
      <c r="Q178" s="1975"/>
      <c r="R178" s="1976"/>
    </row>
    <row r="179" spans="1:40" ht="32.25" customHeight="1" thickBot="1" x14ac:dyDescent="0.25">
      <c r="A179" s="103" t="s">
        <v>55</v>
      </c>
      <c r="B179" s="1977" t="s">
        <v>128</v>
      </c>
      <c r="C179" s="1978"/>
      <c r="D179" s="1978"/>
      <c r="E179" s="1978"/>
      <c r="F179" s="1978"/>
      <c r="G179" s="1978"/>
      <c r="H179" s="1978"/>
      <c r="I179" s="295">
        <f>SUM(I178)</f>
        <v>34965.800000000003</v>
      </c>
      <c r="J179" s="569" t="s">
        <v>217</v>
      </c>
      <c r="K179" s="566">
        <f>SUM(K178)</f>
        <v>742.7</v>
      </c>
      <c r="L179" s="570" t="s">
        <v>218</v>
      </c>
      <c r="M179" s="567" t="s">
        <v>219</v>
      </c>
      <c r="N179" s="568">
        <f>SUM(N178)</f>
        <v>37729.699999999997</v>
      </c>
      <c r="O179" s="1979"/>
      <c r="P179" s="1980"/>
      <c r="Q179" s="1980"/>
      <c r="R179" s="1981"/>
    </row>
    <row r="180" spans="1:40" s="22" customFormat="1" ht="19.5" customHeight="1" x14ac:dyDescent="0.2">
      <c r="A180" s="1962"/>
      <c r="B180" s="1962"/>
      <c r="C180" s="1962"/>
      <c r="D180" s="1962"/>
      <c r="E180" s="1962"/>
      <c r="F180" s="1962"/>
      <c r="G180" s="1962"/>
      <c r="H180" s="1962"/>
      <c r="I180" s="1962"/>
      <c r="J180" s="1962"/>
      <c r="K180" s="1962"/>
      <c r="L180" s="1962"/>
      <c r="M180" s="1962"/>
      <c r="N180" s="1962"/>
      <c r="O180" s="1962"/>
      <c r="P180" s="1962"/>
      <c r="Q180" s="1962"/>
      <c r="R180" s="1962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</row>
    <row r="181" spans="1:40" s="22" customFormat="1" ht="14.25" customHeight="1" x14ac:dyDescent="0.2">
      <c r="A181" s="1962"/>
      <c r="B181" s="1962"/>
      <c r="C181" s="1962"/>
      <c r="D181" s="1962"/>
      <c r="E181" s="1962"/>
      <c r="F181" s="1962"/>
      <c r="G181" s="1962"/>
      <c r="H181" s="1962"/>
      <c r="I181" s="1962"/>
      <c r="J181" s="1962"/>
      <c r="K181" s="1962"/>
      <c r="L181" s="1962"/>
      <c r="M181" s="63"/>
      <c r="N181" s="63"/>
      <c r="O181" s="63"/>
      <c r="P181" s="63"/>
      <c r="Q181" s="63"/>
      <c r="R181" s="63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</row>
    <row r="182" spans="1:40" x14ac:dyDescent="0.2">
      <c r="I182" s="58"/>
      <c r="J182" s="299"/>
      <c r="K182" s="299"/>
      <c r="L182" s="299"/>
      <c r="M182" s="299"/>
      <c r="N182" s="58"/>
      <c r="O182" s="81"/>
      <c r="P182" s="5"/>
      <c r="Q182" s="5"/>
      <c r="R182" s="5"/>
    </row>
    <row r="183" spans="1:40" x14ac:dyDescent="0.2">
      <c r="I183" s="452"/>
      <c r="J183" s="453"/>
      <c r="K183" s="81"/>
      <c r="P183" s="5"/>
      <c r="Q183" s="5"/>
      <c r="R183" s="5"/>
    </row>
    <row r="184" spans="1:40" x14ac:dyDescent="0.2">
      <c r="J184" s="299"/>
      <c r="M184" s="388"/>
      <c r="P184" s="5"/>
      <c r="Q184" s="5"/>
      <c r="R184" s="5"/>
    </row>
  </sheetData>
  <mergeCells count="396">
    <mergeCell ref="A180:R180"/>
    <mergeCell ref="A181:L181"/>
    <mergeCell ref="C177:H177"/>
    <mergeCell ref="O177:R177"/>
    <mergeCell ref="B178:H178"/>
    <mergeCell ref="O178:R178"/>
    <mergeCell ref="B179:H179"/>
    <mergeCell ref="O179:R179"/>
    <mergeCell ref="E171:E173"/>
    <mergeCell ref="F171:F173"/>
    <mergeCell ref="G171:G173"/>
    <mergeCell ref="O171:O172"/>
    <mergeCell ref="A174:A176"/>
    <mergeCell ref="D174:D176"/>
    <mergeCell ref="O174:O176"/>
    <mergeCell ref="A169:A170"/>
    <mergeCell ref="B169:B170"/>
    <mergeCell ref="C169:C170"/>
    <mergeCell ref="D169:D170"/>
    <mergeCell ref="A171:A173"/>
    <mergeCell ref="B171:B173"/>
    <mergeCell ref="C171:C173"/>
    <mergeCell ref="D171:D173"/>
    <mergeCell ref="G159:G161"/>
    <mergeCell ref="C162:H162"/>
    <mergeCell ref="C163:R163"/>
    <mergeCell ref="E164:E170"/>
    <mergeCell ref="F164:F170"/>
    <mergeCell ref="G164:G170"/>
    <mergeCell ref="A159:A161"/>
    <mergeCell ref="B159:B161"/>
    <mergeCell ref="C159:C161"/>
    <mergeCell ref="D159:D161"/>
    <mergeCell ref="E159:E161"/>
    <mergeCell ref="F159:F161"/>
    <mergeCell ref="G153:G155"/>
    <mergeCell ref="O153:O155"/>
    <mergeCell ref="A156:A157"/>
    <mergeCell ref="B156:B157"/>
    <mergeCell ref="C156:C157"/>
    <mergeCell ref="D156:D157"/>
    <mergeCell ref="E156:E157"/>
    <mergeCell ref="F156:F157"/>
    <mergeCell ref="G156:G157"/>
    <mergeCell ref="O156:O157"/>
    <mergeCell ref="A153:A155"/>
    <mergeCell ref="B153:B155"/>
    <mergeCell ref="C153:C155"/>
    <mergeCell ref="D153:D155"/>
    <mergeCell ref="E153:E155"/>
    <mergeCell ref="F153:F155"/>
    <mergeCell ref="Q148:Q149"/>
    <mergeCell ref="R148:R149"/>
    <mergeCell ref="C150:H150"/>
    <mergeCell ref="O150:R150"/>
    <mergeCell ref="C151:R151"/>
    <mergeCell ref="G145:G147"/>
    <mergeCell ref="O145:O146"/>
    <mergeCell ref="A148:A149"/>
    <mergeCell ref="B148:B149"/>
    <mergeCell ref="C148:C149"/>
    <mergeCell ref="D148:D149"/>
    <mergeCell ref="E148:E149"/>
    <mergeCell ref="F148:F149"/>
    <mergeCell ref="G148:G149"/>
    <mergeCell ref="O148:O149"/>
    <mergeCell ref="A145:A147"/>
    <mergeCell ref="B145:B147"/>
    <mergeCell ref="C145:C147"/>
    <mergeCell ref="D145:D147"/>
    <mergeCell ref="E145:E147"/>
    <mergeCell ref="F145:F147"/>
    <mergeCell ref="A142:A144"/>
    <mergeCell ref="B142:B144"/>
    <mergeCell ref="C142:C144"/>
    <mergeCell ref="D142:D144"/>
    <mergeCell ref="E142:E144"/>
    <mergeCell ref="F142:F144"/>
    <mergeCell ref="G142:G144"/>
    <mergeCell ref="O142:O143"/>
    <mergeCell ref="P148:P149"/>
    <mergeCell ref="E124:E126"/>
    <mergeCell ref="F124:F126"/>
    <mergeCell ref="G124:G126"/>
    <mergeCell ref="G133:G135"/>
    <mergeCell ref="C136:H136"/>
    <mergeCell ref="O136:R136"/>
    <mergeCell ref="C137:R137"/>
    <mergeCell ref="A138:A141"/>
    <mergeCell ref="B138:B141"/>
    <mergeCell ref="C138:C141"/>
    <mergeCell ref="D138:D141"/>
    <mergeCell ref="E138:E141"/>
    <mergeCell ref="F138:F141"/>
    <mergeCell ref="A133:A135"/>
    <mergeCell ref="B133:B135"/>
    <mergeCell ref="C133:C135"/>
    <mergeCell ref="D133:D135"/>
    <mergeCell ref="E133:E135"/>
    <mergeCell ref="F133:F135"/>
    <mergeCell ref="G138:G141"/>
    <mergeCell ref="O138:O141"/>
    <mergeCell ref="D116:D118"/>
    <mergeCell ref="E116:E118"/>
    <mergeCell ref="F116:F118"/>
    <mergeCell ref="P127:P128"/>
    <mergeCell ref="A130:A132"/>
    <mergeCell ref="B130:B132"/>
    <mergeCell ref="C130:C132"/>
    <mergeCell ref="D130:D132"/>
    <mergeCell ref="E130:E132"/>
    <mergeCell ref="F130:F132"/>
    <mergeCell ref="G130:G132"/>
    <mergeCell ref="O124:O125"/>
    <mergeCell ref="A127:A129"/>
    <mergeCell ref="B127:B129"/>
    <mergeCell ref="C127:C129"/>
    <mergeCell ref="D127:D129"/>
    <mergeCell ref="E127:E129"/>
    <mergeCell ref="F127:F129"/>
    <mergeCell ref="G127:G129"/>
    <mergeCell ref="O127:O129"/>
    <mergeCell ref="A124:A126"/>
    <mergeCell ref="B124:B126"/>
    <mergeCell ref="C124:C126"/>
    <mergeCell ref="D124:D126"/>
    <mergeCell ref="G116:G118"/>
    <mergeCell ref="O116:O118"/>
    <mergeCell ref="G119:G123"/>
    <mergeCell ref="O119:O120"/>
    <mergeCell ref="O121:O122"/>
    <mergeCell ref="C110:H110"/>
    <mergeCell ref="C111:R111"/>
    <mergeCell ref="A112:A115"/>
    <mergeCell ref="B112:B115"/>
    <mergeCell ref="C112:C115"/>
    <mergeCell ref="D112:D115"/>
    <mergeCell ref="E112:E115"/>
    <mergeCell ref="F112:F115"/>
    <mergeCell ref="G112:G115"/>
    <mergeCell ref="O112:O114"/>
    <mergeCell ref="A119:A123"/>
    <mergeCell ref="B119:B123"/>
    <mergeCell ref="C119:C123"/>
    <mergeCell ref="D119:D123"/>
    <mergeCell ref="E119:E123"/>
    <mergeCell ref="F119:F123"/>
    <mergeCell ref="A116:A118"/>
    <mergeCell ref="B116:B118"/>
    <mergeCell ref="C116:C118"/>
    <mergeCell ref="A106:A109"/>
    <mergeCell ref="B106:B109"/>
    <mergeCell ref="C106:C109"/>
    <mergeCell ref="D106:D109"/>
    <mergeCell ref="E106:E109"/>
    <mergeCell ref="F106:F109"/>
    <mergeCell ref="G106:G109"/>
    <mergeCell ref="O106:O107"/>
    <mergeCell ref="O108:O109"/>
    <mergeCell ref="O91:O93"/>
    <mergeCell ref="D95:D96"/>
    <mergeCell ref="O95:O96"/>
    <mergeCell ref="A102:A105"/>
    <mergeCell ref="B102:B105"/>
    <mergeCell ref="C102:C105"/>
    <mergeCell ref="D102:D105"/>
    <mergeCell ref="E102:E105"/>
    <mergeCell ref="F102:F105"/>
    <mergeCell ref="G102:G105"/>
    <mergeCell ref="O102:O103"/>
    <mergeCell ref="O104:O105"/>
    <mergeCell ref="G88:G89"/>
    <mergeCell ref="A91:A94"/>
    <mergeCell ref="B91:B94"/>
    <mergeCell ref="C91:C94"/>
    <mergeCell ref="D91:D94"/>
    <mergeCell ref="E91:E94"/>
    <mergeCell ref="F91:F94"/>
    <mergeCell ref="G91:G94"/>
    <mergeCell ref="A88:A90"/>
    <mergeCell ref="B88:B90"/>
    <mergeCell ref="C88:C90"/>
    <mergeCell ref="D88:D90"/>
    <mergeCell ref="E88:E90"/>
    <mergeCell ref="F88:F90"/>
    <mergeCell ref="O82:O83"/>
    <mergeCell ref="P82:P83"/>
    <mergeCell ref="Q82:Q83"/>
    <mergeCell ref="R82:R83"/>
    <mergeCell ref="O84:O85"/>
    <mergeCell ref="O86:O87"/>
    <mergeCell ref="A82:A87"/>
    <mergeCell ref="B82:B87"/>
    <mergeCell ref="C82:C87"/>
    <mergeCell ref="D82:D87"/>
    <mergeCell ref="E82:E83"/>
    <mergeCell ref="F82:F87"/>
    <mergeCell ref="A78:A81"/>
    <mergeCell ref="B78:B81"/>
    <mergeCell ref="C78:C81"/>
    <mergeCell ref="D78:D81"/>
    <mergeCell ref="E78:E81"/>
    <mergeCell ref="F78:F81"/>
    <mergeCell ref="G78:G81"/>
    <mergeCell ref="O78:O79"/>
    <mergeCell ref="A76:A77"/>
    <mergeCell ref="B76:B77"/>
    <mergeCell ref="C76:C77"/>
    <mergeCell ref="D76:D77"/>
    <mergeCell ref="E76:E77"/>
    <mergeCell ref="F76:F77"/>
    <mergeCell ref="A73:A74"/>
    <mergeCell ref="B73:B74"/>
    <mergeCell ref="C73:C74"/>
    <mergeCell ref="D73:D74"/>
    <mergeCell ref="E73:E74"/>
    <mergeCell ref="F73:F74"/>
    <mergeCell ref="G73:G74"/>
    <mergeCell ref="G76:G77"/>
    <mergeCell ref="O76:O77"/>
    <mergeCell ref="G67:G70"/>
    <mergeCell ref="O67:O68"/>
    <mergeCell ref="P67:P68"/>
    <mergeCell ref="Q67:Q68"/>
    <mergeCell ref="R67:R68"/>
    <mergeCell ref="A71:A72"/>
    <mergeCell ref="B71:B72"/>
    <mergeCell ref="C71:C72"/>
    <mergeCell ref="D71:D72"/>
    <mergeCell ref="E71:E72"/>
    <mergeCell ref="A67:A70"/>
    <mergeCell ref="B67:B70"/>
    <mergeCell ref="C67:C70"/>
    <mergeCell ref="D67:D70"/>
    <mergeCell ref="E67:E70"/>
    <mergeCell ref="F67:F70"/>
    <mergeCell ref="F71:F72"/>
    <mergeCell ref="G71:G72"/>
    <mergeCell ref="F64:F66"/>
    <mergeCell ref="G64:G66"/>
    <mergeCell ref="O64:O65"/>
    <mergeCell ref="P64:P65"/>
    <mergeCell ref="Q64:Q65"/>
    <mergeCell ref="R64:R65"/>
    <mergeCell ref="G62:G63"/>
    <mergeCell ref="O62:O63"/>
    <mergeCell ref="P62:P63"/>
    <mergeCell ref="Q62:Q63"/>
    <mergeCell ref="R62:R63"/>
    <mergeCell ref="F62:F63"/>
    <mergeCell ref="A64:A66"/>
    <mergeCell ref="B64:B66"/>
    <mergeCell ref="C64:C66"/>
    <mergeCell ref="D64:D66"/>
    <mergeCell ref="E64:E66"/>
    <mergeCell ref="A62:A63"/>
    <mergeCell ref="B62:B63"/>
    <mergeCell ref="C62:C63"/>
    <mergeCell ref="D62:D63"/>
    <mergeCell ref="E62:E63"/>
    <mergeCell ref="D54:D56"/>
    <mergeCell ref="O54:O55"/>
    <mergeCell ref="O59:O60"/>
    <mergeCell ref="D60:D61"/>
    <mergeCell ref="A52:A53"/>
    <mergeCell ref="B52:B53"/>
    <mergeCell ref="C52:C53"/>
    <mergeCell ref="D52:D53"/>
    <mergeCell ref="E52:E53"/>
    <mergeCell ref="F52:F53"/>
    <mergeCell ref="A50:A51"/>
    <mergeCell ref="B50:B51"/>
    <mergeCell ref="C50:C51"/>
    <mergeCell ref="D50:D51"/>
    <mergeCell ref="E50:E51"/>
    <mergeCell ref="F50:F51"/>
    <mergeCell ref="G50:G51"/>
    <mergeCell ref="O50:O51"/>
    <mergeCell ref="G52:G53"/>
    <mergeCell ref="O52:O53"/>
    <mergeCell ref="O43:O44"/>
    <mergeCell ref="A45:A46"/>
    <mergeCell ref="B45:B46"/>
    <mergeCell ref="C45:C46"/>
    <mergeCell ref="D45:D46"/>
    <mergeCell ref="E45:E49"/>
    <mergeCell ref="F39:F41"/>
    <mergeCell ref="G39:G41"/>
    <mergeCell ref="O40:O41"/>
    <mergeCell ref="F45:F46"/>
    <mergeCell ref="G45:G46"/>
    <mergeCell ref="A47:A49"/>
    <mergeCell ref="B47:B49"/>
    <mergeCell ref="C47:C49"/>
    <mergeCell ref="D47:D49"/>
    <mergeCell ref="F47:F49"/>
    <mergeCell ref="G47:G49"/>
    <mergeCell ref="D42:D44"/>
    <mergeCell ref="E42:E44"/>
    <mergeCell ref="F42:F44"/>
    <mergeCell ref="G42:G44"/>
    <mergeCell ref="O48:O49"/>
    <mergeCell ref="P40:P41"/>
    <mergeCell ref="Q40:Q41"/>
    <mergeCell ref="R40:R41"/>
    <mergeCell ref="G35:G38"/>
    <mergeCell ref="O37:O38"/>
    <mergeCell ref="P37:P38"/>
    <mergeCell ref="Q37:Q38"/>
    <mergeCell ref="R37:R38"/>
    <mergeCell ref="A39:A41"/>
    <mergeCell ref="B39:B41"/>
    <mergeCell ref="C39:C41"/>
    <mergeCell ref="D39:D41"/>
    <mergeCell ref="E39:E41"/>
    <mergeCell ref="A35:A38"/>
    <mergeCell ref="B35:B38"/>
    <mergeCell ref="C35:C38"/>
    <mergeCell ref="D35:D38"/>
    <mergeCell ref="E35:E38"/>
    <mergeCell ref="F35:F38"/>
    <mergeCell ref="A33:A34"/>
    <mergeCell ref="B33:B34"/>
    <mergeCell ref="C33:C34"/>
    <mergeCell ref="D33:D34"/>
    <mergeCell ref="E33:E34"/>
    <mergeCell ref="F33:F34"/>
    <mergeCell ref="G33:G34"/>
    <mergeCell ref="D26:D27"/>
    <mergeCell ref="E26:E27"/>
    <mergeCell ref="D28:D29"/>
    <mergeCell ref="E28:E29"/>
    <mergeCell ref="D30:D31"/>
    <mergeCell ref="E30:E31"/>
    <mergeCell ref="A19:A25"/>
    <mergeCell ref="B19:B25"/>
    <mergeCell ref="C19:C25"/>
    <mergeCell ref="D19:D25"/>
    <mergeCell ref="E19:E25"/>
    <mergeCell ref="F19:F25"/>
    <mergeCell ref="G19:G25"/>
    <mergeCell ref="O19:O20"/>
    <mergeCell ref="O30:O31"/>
    <mergeCell ref="A15:A16"/>
    <mergeCell ref="B15:B16"/>
    <mergeCell ref="C15:C16"/>
    <mergeCell ref="D15:D16"/>
    <mergeCell ref="E15:E16"/>
    <mergeCell ref="F15:F16"/>
    <mergeCell ref="G15:G16"/>
    <mergeCell ref="O15:O16"/>
    <mergeCell ref="A17:A18"/>
    <mergeCell ref="B17:B18"/>
    <mergeCell ref="C17:C18"/>
    <mergeCell ref="D17:D18"/>
    <mergeCell ref="E17:E18"/>
    <mergeCell ref="F17:F18"/>
    <mergeCell ref="G17:G18"/>
    <mergeCell ref="O17:O18"/>
    <mergeCell ref="A9:R9"/>
    <mergeCell ref="A10:R10"/>
    <mergeCell ref="B11:R11"/>
    <mergeCell ref="C12:R12"/>
    <mergeCell ref="A13:A14"/>
    <mergeCell ref="B13:B14"/>
    <mergeCell ref="C13:C14"/>
    <mergeCell ref="D13:D14"/>
    <mergeCell ref="E13:E14"/>
    <mergeCell ref="F13:F14"/>
    <mergeCell ref="G13:G14"/>
    <mergeCell ref="O13:O14"/>
    <mergeCell ref="P13:P14"/>
    <mergeCell ref="Q13:Q14"/>
    <mergeCell ref="R13:R14"/>
    <mergeCell ref="O1:R1"/>
    <mergeCell ref="A2:R2"/>
    <mergeCell ref="A3:R3"/>
    <mergeCell ref="A4:R4"/>
    <mergeCell ref="P5:R5"/>
    <mergeCell ref="A6:A8"/>
    <mergeCell ref="B6:B8"/>
    <mergeCell ref="C6:C8"/>
    <mergeCell ref="D6:D8"/>
    <mergeCell ref="E6:E8"/>
    <mergeCell ref="O6:R6"/>
    <mergeCell ref="I7:I8"/>
    <mergeCell ref="J7:K7"/>
    <mergeCell ref="L7:L8"/>
    <mergeCell ref="O7:O8"/>
    <mergeCell ref="P7:R7"/>
    <mergeCell ref="F6:F8"/>
    <mergeCell ref="G6:G8"/>
    <mergeCell ref="H6:H8"/>
    <mergeCell ref="I6:L6"/>
    <mergeCell ref="M6:M8"/>
    <mergeCell ref="N6:N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6</vt:i4>
      </vt:variant>
    </vt:vector>
  </HeadingPairs>
  <TitlesOfParts>
    <vt:vector size="10" baseType="lpstr">
      <vt:lpstr>Lyginamasis variantas </vt:lpstr>
      <vt:lpstr>7 programa</vt:lpstr>
      <vt:lpstr>Aiškinamoji lentelė</vt:lpstr>
      <vt:lpstr>lyginamasis variantas</vt:lpstr>
      <vt:lpstr>'7 programa'!Print_Area</vt:lpstr>
      <vt:lpstr>'Aiškinamoji lentelė'!Print_Area</vt:lpstr>
      <vt:lpstr>'Lyginamasis variantas '!Print_Area</vt:lpstr>
      <vt:lpstr>'7 programa'!Print_Titles</vt:lpstr>
      <vt:lpstr>'Aiškinamoji lentelė'!Print_Titles</vt:lpstr>
      <vt:lpstr>'Lyginamasis variantas 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Audra Cepiene</cp:lastModifiedBy>
  <cp:lastPrinted>2014-12-10T09:06:04Z</cp:lastPrinted>
  <dcterms:created xsi:type="dcterms:W3CDTF">2007-07-27T10:32:34Z</dcterms:created>
  <dcterms:modified xsi:type="dcterms:W3CDTF">2014-12-18T09:27:23Z</dcterms:modified>
</cp:coreProperties>
</file>