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555" windowWidth="15480" windowHeight="11340" tabRatio="752" firstSheet="1" activeTab="1"/>
  </bookViews>
  <sheets>
    <sheet name="2014-2016 SVP" sheetId="10" state="hidden" r:id="rId1"/>
    <sheet name="8 programa" sheetId="15" r:id="rId2"/>
    <sheet name="Aiškinamoji lentelė" sheetId="14" state="hidden" r:id="rId3"/>
    <sheet name="Asignavimų valdytojų kodai" sheetId="13" state="hidden" r:id="rId4"/>
    <sheet name="8 pr. Lt" sheetId="16" state="hidden" r:id="rId5"/>
  </sheets>
  <definedNames>
    <definedName name="_xlnm.Print_Area" localSheetId="0">'2014-2016 SVP'!$A$1:$Z$88</definedName>
    <definedName name="_xlnm.Print_Area" localSheetId="1">'8 programa'!$A$1:$N$120</definedName>
    <definedName name="_xlnm.Print_Area" localSheetId="2">'Aiškinamoji lentelė'!$A$1:$AB$138</definedName>
    <definedName name="_xlnm.Print_Titles" localSheetId="0">'2014-2016 SVP'!$5:$7</definedName>
    <definedName name="_xlnm.Print_Titles" localSheetId="1">'8 programa'!$5:$7</definedName>
    <definedName name="_xlnm.Print_Titles" localSheetId="2">'Aiškinamoji lentelė'!$5:$7</definedName>
  </definedNames>
  <calcPr calcId="145621"/>
</workbook>
</file>

<file path=xl/calcChain.xml><?xml version="1.0" encoding="utf-8"?>
<calcChain xmlns="http://schemas.openxmlformats.org/spreadsheetml/2006/main">
  <c r="P65" i="14" l="1"/>
  <c r="O65" i="14" s="1"/>
  <c r="H111" i="15" l="1"/>
  <c r="H113" i="15"/>
  <c r="O132" i="14"/>
  <c r="H32" i="15"/>
  <c r="H31" i="15"/>
  <c r="Q65" i="14"/>
  <c r="R65" i="14"/>
  <c r="O130" i="14"/>
  <c r="H60" i="15" l="1"/>
  <c r="H23" i="15"/>
  <c r="H21" i="15"/>
  <c r="H78" i="15"/>
  <c r="H77" i="15"/>
  <c r="H77" i="16"/>
  <c r="H65" i="15"/>
  <c r="H111" i="16"/>
  <c r="M85" i="16"/>
  <c r="L85" i="16"/>
  <c r="H85" i="16"/>
  <c r="I85" i="16"/>
  <c r="J85" i="16"/>
  <c r="K85" i="16"/>
  <c r="H34" i="15"/>
  <c r="H33" i="15"/>
  <c r="J31" i="15" l="1"/>
  <c r="I31" i="15"/>
  <c r="J21" i="15"/>
  <c r="I21" i="15"/>
  <c r="O60" i="14"/>
  <c r="O34" i="14"/>
  <c r="I33" i="15" l="1"/>
  <c r="H116" i="15" l="1"/>
  <c r="J102" i="15" l="1"/>
  <c r="I102" i="15"/>
  <c r="H102" i="15"/>
  <c r="J98" i="15"/>
  <c r="I98" i="15"/>
  <c r="J94" i="15"/>
  <c r="I94" i="15"/>
  <c r="J87" i="15"/>
  <c r="I87" i="15"/>
  <c r="H87" i="15"/>
  <c r="H117" i="15"/>
  <c r="H115" i="15" s="1"/>
  <c r="I77" i="15"/>
  <c r="H84" i="15"/>
  <c r="J74" i="15"/>
  <c r="J73" i="15"/>
  <c r="I73" i="15"/>
  <c r="H72" i="15"/>
  <c r="J69" i="15"/>
  <c r="I69" i="15"/>
  <c r="H69" i="15"/>
  <c r="J67" i="15"/>
  <c r="J66" i="15"/>
  <c r="I66" i="15"/>
  <c r="H68" i="15"/>
  <c r="H63" i="15"/>
  <c r="I34" i="15"/>
  <c r="J33" i="15"/>
  <c r="J32" i="15"/>
  <c r="I32" i="15"/>
  <c r="J24" i="15"/>
  <c r="I24" i="15"/>
  <c r="H24" i="15"/>
  <c r="J23" i="15"/>
  <c r="I23" i="15"/>
  <c r="H112" i="15"/>
  <c r="H22" i="15"/>
  <c r="J19" i="15"/>
  <c r="I19" i="15"/>
  <c r="H19" i="15"/>
  <c r="H20" i="15" s="1"/>
  <c r="J12" i="15"/>
  <c r="H12" i="15"/>
  <c r="H103" i="15"/>
  <c r="H93" i="15"/>
  <c r="H75" i="15"/>
  <c r="H71" i="15"/>
  <c r="H64" i="15"/>
  <c r="H18" i="15"/>
  <c r="I12" i="15"/>
  <c r="M117" i="16"/>
  <c r="L117" i="16"/>
  <c r="M116" i="16"/>
  <c r="M115" i="16" s="1"/>
  <c r="L116" i="16"/>
  <c r="M114" i="16"/>
  <c r="L114" i="16"/>
  <c r="H114" i="16"/>
  <c r="M113" i="16"/>
  <c r="L113" i="16"/>
  <c r="M112" i="16"/>
  <c r="L112" i="16"/>
  <c r="M111" i="16"/>
  <c r="L111" i="16"/>
  <c r="K104" i="16"/>
  <c r="J104" i="16"/>
  <c r="M103" i="16"/>
  <c r="L103" i="16"/>
  <c r="L104" i="16" s="1"/>
  <c r="I103" i="16"/>
  <c r="H103" i="16"/>
  <c r="H104" i="16" s="1"/>
  <c r="H102" i="16"/>
  <c r="M101" i="16"/>
  <c r="L101" i="16"/>
  <c r="M97" i="16"/>
  <c r="L97" i="16"/>
  <c r="M93" i="16"/>
  <c r="L93" i="16"/>
  <c r="I93" i="16"/>
  <c r="H93" i="16"/>
  <c r="L84" i="16"/>
  <c r="K84" i="16"/>
  <c r="J84" i="16"/>
  <c r="I84" i="16"/>
  <c r="H78" i="16"/>
  <c r="J76" i="16"/>
  <c r="M75" i="16"/>
  <c r="L75" i="16"/>
  <c r="L76" i="16" s="1"/>
  <c r="K75" i="16"/>
  <c r="H75" i="16"/>
  <c r="H72" i="16"/>
  <c r="M71" i="16"/>
  <c r="L71" i="16"/>
  <c r="K71" i="16"/>
  <c r="H69" i="16"/>
  <c r="H71" i="16" s="1"/>
  <c r="M68" i="16"/>
  <c r="L68" i="16"/>
  <c r="K68" i="16"/>
  <c r="H65" i="16"/>
  <c r="H68" i="16" s="1"/>
  <c r="I64" i="16"/>
  <c r="I76" i="16" s="1"/>
  <c r="H63" i="16"/>
  <c r="H64" i="16" s="1"/>
  <c r="M60" i="16"/>
  <c r="L60" i="16"/>
  <c r="K60" i="16"/>
  <c r="H34" i="16"/>
  <c r="H116" i="16" s="1"/>
  <c r="H33" i="16"/>
  <c r="H117" i="16" s="1"/>
  <c r="H32" i="16"/>
  <c r="J31" i="16"/>
  <c r="J60" i="16" s="1"/>
  <c r="I31" i="16"/>
  <c r="I60" i="16" s="1"/>
  <c r="M28" i="16"/>
  <c r="L28" i="16"/>
  <c r="K28" i="16"/>
  <c r="J28" i="16"/>
  <c r="I28" i="16"/>
  <c r="H24" i="16"/>
  <c r="H23" i="16"/>
  <c r="H112" i="16" s="1"/>
  <c r="M22" i="16"/>
  <c r="L22" i="16"/>
  <c r="I22" i="16"/>
  <c r="H22" i="16" s="1"/>
  <c r="H21" i="16"/>
  <c r="M20" i="16"/>
  <c r="L20" i="16"/>
  <c r="I20" i="16"/>
  <c r="H20" i="16"/>
  <c r="H19" i="16"/>
  <c r="M18" i="16"/>
  <c r="M29" i="16" s="1"/>
  <c r="L18" i="16"/>
  <c r="K18" i="16"/>
  <c r="J18" i="16"/>
  <c r="J29" i="16" s="1"/>
  <c r="I18" i="16"/>
  <c r="H12" i="16"/>
  <c r="H28" i="15" l="1"/>
  <c r="H104" i="15"/>
  <c r="K29" i="16"/>
  <c r="K76" i="16"/>
  <c r="M76" i="16"/>
  <c r="H110" i="16"/>
  <c r="H28" i="16"/>
  <c r="L29" i="16"/>
  <c r="H113" i="16"/>
  <c r="H60" i="16"/>
  <c r="H84" i="16"/>
  <c r="I104" i="16"/>
  <c r="M104" i="16"/>
  <c r="L105" i="16"/>
  <c r="L106" i="16" s="1"/>
  <c r="M110" i="16"/>
  <c r="M118" i="16" s="1"/>
  <c r="L110" i="16"/>
  <c r="L115" i="16"/>
  <c r="H76" i="15"/>
  <c r="H29" i="15"/>
  <c r="H115" i="16"/>
  <c r="H76" i="16"/>
  <c r="K105" i="16"/>
  <c r="K106" i="16" s="1"/>
  <c r="J105" i="16"/>
  <c r="J106" i="16" s="1"/>
  <c r="M105" i="16"/>
  <c r="M106" i="16" s="1"/>
  <c r="I29" i="16"/>
  <c r="H29" i="16" s="1"/>
  <c r="H18" i="16"/>
  <c r="H85" i="15" l="1"/>
  <c r="H105" i="15" s="1"/>
  <c r="H106" i="15" s="1"/>
  <c r="L118" i="16"/>
  <c r="I105" i="16"/>
  <c r="I106" i="16" s="1"/>
  <c r="H105" i="16"/>
  <c r="H106" i="16" s="1"/>
  <c r="H118" i="16"/>
  <c r="J113" i="15"/>
  <c r="J114" i="15"/>
  <c r="J116" i="15"/>
  <c r="J117" i="15"/>
  <c r="H114" i="15" l="1"/>
  <c r="H110" i="15" s="1"/>
  <c r="H118" i="15" s="1"/>
  <c r="J111" i="15"/>
  <c r="I116" i="15"/>
  <c r="I114" i="15"/>
  <c r="I113" i="15"/>
  <c r="I112" i="15"/>
  <c r="I111" i="15"/>
  <c r="W65" i="14"/>
  <c r="W101" i="14" s="1"/>
  <c r="I60" i="15"/>
  <c r="J93" i="15"/>
  <c r="I93" i="15"/>
  <c r="I84" i="15"/>
  <c r="I110" i="15" l="1"/>
  <c r="J60" i="15"/>
  <c r="J28" i="15"/>
  <c r="I28" i="15"/>
  <c r="I18" i="15"/>
  <c r="J18" i="15"/>
  <c r="I117" i="15" l="1"/>
  <c r="J112" i="15"/>
  <c r="J103" i="15"/>
  <c r="I103" i="15"/>
  <c r="J101" i="15"/>
  <c r="I101" i="15"/>
  <c r="J97" i="15"/>
  <c r="I97" i="15"/>
  <c r="J75" i="15"/>
  <c r="I75" i="15"/>
  <c r="J71" i="15"/>
  <c r="I71" i="15"/>
  <c r="J68" i="15"/>
  <c r="I68" i="15"/>
  <c r="J22" i="15"/>
  <c r="I22" i="15"/>
  <c r="J20" i="15"/>
  <c r="I20" i="15"/>
  <c r="I104" i="15" l="1"/>
  <c r="I76" i="15"/>
  <c r="I85" i="15" s="1"/>
  <c r="I29" i="15"/>
  <c r="J29" i="15"/>
  <c r="J110" i="15"/>
  <c r="I115" i="15"/>
  <c r="J115" i="15"/>
  <c r="J104" i="15"/>
  <c r="J76" i="15"/>
  <c r="J85" i="15" s="1"/>
  <c r="R93" i="14"/>
  <c r="R90" i="14"/>
  <c r="I105" i="15" l="1"/>
  <c r="I106" i="15" s="1"/>
  <c r="J118" i="15"/>
  <c r="I118" i="15"/>
  <c r="J105" i="15"/>
  <c r="J106" i="15" s="1"/>
  <c r="W29" i="14"/>
  <c r="X29" i="14"/>
  <c r="P29" i="14"/>
  <c r="L29" i="14"/>
  <c r="M29" i="14"/>
  <c r="N29" i="14"/>
  <c r="Q29" i="14"/>
  <c r="R29" i="14"/>
  <c r="T29" i="14"/>
  <c r="U29" i="14"/>
  <c r="V29" i="14"/>
  <c r="O24" i="14"/>
  <c r="L72" i="14" l="1"/>
  <c r="M65" i="14"/>
  <c r="K58" i="14"/>
  <c r="K57" i="14"/>
  <c r="K60" i="14"/>
  <c r="L18" i="14"/>
  <c r="K137" i="14"/>
  <c r="K131" i="14"/>
  <c r="L84" i="14"/>
  <c r="K72" i="14"/>
  <c r="K84" i="14" s="1"/>
  <c r="N65" i="14"/>
  <c r="W111" i="14" l="1"/>
  <c r="P111" i="14"/>
  <c r="P87" i="14"/>
  <c r="O41" i="14" l="1"/>
  <c r="O37" i="14"/>
  <c r="O35" i="14"/>
  <c r="W95" i="14" l="1"/>
  <c r="X65" i="14"/>
  <c r="T65" i="14"/>
  <c r="O64" i="14"/>
  <c r="O48" i="14"/>
  <c r="O47" i="14"/>
  <c r="O45" i="14"/>
  <c r="O44" i="14"/>
  <c r="O28" i="14"/>
  <c r="P52" i="14" l="1"/>
  <c r="O53" i="14"/>
  <c r="O54" i="14"/>
  <c r="O40" i="14"/>
  <c r="O39" i="14"/>
  <c r="O38" i="14"/>
  <c r="O55" i="14"/>
  <c r="O56" i="14"/>
  <c r="O57" i="14"/>
  <c r="O61" i="14"/>
  <c r="O52" i="14" l="1"/>
  <c r="L52" i="14"/>
  <c r="L65" i="14" s="1"/>
  <c r="K65" i="14" s="1"/>
  <c r="K52" i="14" l="1"/>
  <c r="K136" i="14" s="1"/>
  <c r="M100" i="14"/>
  <c r="N100" i="14"/>
  <c r="Q100" i="14"/>
  <c r="R100" i="14"/>
  <c r="S100" i="14"/>
  <c r="T100" i="14"/>
  <c r="U100" i="14"/>
  <c r="V100" i="14"/>
  <c r="W100" i="14"/>
  <c r="X100" i="14"/>
  <c r="M18" i="14" l="1"/>
  <c r="N18" i="14"/>
  <c r="P18" i="14"/>
  <c r="Q18" i="14"/>
  <c r="R18" i="14"/>
  <c r="T18" i="14"/>
  <c r="U18" i="14"/>
  <c r="V18" i="14"/>
  <c r="W18" i="14"/>
  <c r="X18" i="14"/>
  <c r="P100" i="14" l="1"/>
  <c r="O91" i="14"/>
  <c r="O93" i="14" s="1"/>
  <c r="X76" i="14" l="1"/>
  <c r="X79" i="14" l="1"/>
  <c r="X134" i="14"/>
  <c r="W134" i="14"/>
  <c r="S134" i="14"/>
  <c r="O134" i="14"/>
  <c r="V84" i="14" l="1"/>
  <c r="V101" i="14" s="1"/>
  <c r="U84" i="14"/>
  <c r="U101" i="14" s="1"/>
  <c r="Q84" i="14"/>
  <c r="Q101" i="14" s="1"/>
  <c r="X83" i="14"/>
  <c r="X84" i="14" s="1"/>
  <c r="X101" i="14" s="1"/>
  <c r="W83" i="14"/>
  <c r="R83" i="14"/>
  <c r="O80" i="14"/>
  <c r="O83" i="14" s="1"/>
  <c r="R79" i="14"/>
  <c r="O77" i="14"/>
  <c r="O79" i="14" s="1"/>
  <c r="W76" i="14"/>
  <c r="R76" i="14"/>
  <c r="O73" i="14"/>
  <c r="O76" i="14" s="1"/>
  <c r="R84" i="14" l="1"/>
  <c r="R101" i="14" s="1"/>
  <c r="X137" i="14"/>
  <c r="X111" i="14"/>
  <c r="W137" i="14"/>
  <c r="O120" i="14"/>
  <c r="O105" i="14"/>
  <c r="O104" i="14"/>
  <c r="O89" i="14"/>
  <c r="O88" i="14"/>
  <c r="O86" i="14"/>
  <c r="O87" i="14" s="1"/>
  <c r="O68" i="14"/>
  <c r="O136" i="14"/>
  <c r="O25" i="14"/>
  <c r="O29" i="14" s="1"/>
  <c r="O21" i="14"/>
  <c r="O19" i="14"/>
  <c r="O17" i="14"/>
  <c r="O16" i="14"/>
  <c r="O15" i="14"/>
  <c r="O14" i="14"/>
  <c r="W20" i="14"/>
  <c r="X20" i="14"/>
  <c r="W22" i="14"/>
  <c r="X22" i="14"/>
  <c r="X119" i="14"/>
  <c r="W119" i="14"/>
  <c r="X115" i="14"/>
  <c r="W115" i="14"/>
  <c r="R122" i="14"/>
  <c r="O90" i="14" l="1"/>
  <c r="O100" i="14" s="1"/>
  <c r="X30" i="14"/>
  <c r="O131" i="14"/>
  <c r="W30" i="14"/>
  <c r="O72" i="14"/>
  <c r="O84" i="14" s="1"/>
  <c r="P72" i="14"/>
  <c r="P84" i="14" s="1"/>
  <c r="P101" i="14" s="1"/>
  <c r="K69" i="14"/>
  <c r="M84" i="14"/>
  <c r="M101" i="14" s="1"/>
  <c r="N84" i="14"/>
  <c r="N101" i="14" s="1"/>
  <c r="W79" i="14"/>
  <c r="W84" i="14" s="1"/>
  <c r="K70" i="14"/>
  <c r="K62" i="14"/>
  <c r="K48" i="14"/>
  <c r="K47" i="14"/>
  <c r="K42" i="14"/>
  <c r="K133" i="14" s="1"/>
  <c r="O101" i="14" l="1"/>
  <c r="O13" i="14"/>
  <c r="O18" i="14" l="1"/>
  <c r="S46" i="14"/>
  <c r="S63" i="14"/>
  <c r="O111" i="14"/>
  <c r="L121" i="14"/>
  <c r="K120" i="14"/>
  <c r="L119" i="14"/>
  <c r="K117" i="14"/>
  <c r="K119" i="14" s="1"/>
  <c r="N111" i="14"/>
  <c r="M111" i="14"/>
  <c r="L111" i="14"/>
  <c r="K104" i="14"/>
  <c r="L99" i="14"/>
  <c r="K98" i="14"/>
  <c r="L97" i="14"/>
  <c r="K96" i="14"/>
  <c r="K61" i="14"/>
  <c r="K56" i="14"/>
  <c r="K51" i="14"/>
  <c r="K45" i="14"/>
  <c r="K44" i="14"/>
  <c r="K41" i="14"/>
  <c r="K38" i="14"/>
  <c r="K37" i="14"/>
  <c r="K35" i="14"/>
  <c r="K132" i="14" s="1"/>
  <c r="K34" i="14"/>
  <c r="K28" i="14"/>
  <c r="K25" i="14"/>
  <c r="K29" i="14" s="1"/>
  <c r="L22" i="14"/>
  <c r="K21" i="14"/>
  <c r="L20" i="14"/>
  <c r="K20" i="14" s="1"/>
  <c r="K19" i="14"/>
  <c r="K16" i="14"/>
  <c r="K14" i="14"/>
  <c r="K13" i="14"/>
  <c r="L30" i="14" l="1"/>
  <c r="L100" i="14"/>
  <c r="L101" i="14" s="1"/>
  <c r="L122" i="14"/>
  <c r="K130" i="14"/>
  <c r="K129" i="14" s="1"/>
  <c r="K18" i="14"/>
  <c r="K101" i="14"/>
  <c r="K99" i="14"/>
  <c r="K22" i="14"/>
  <c r="K121" i="14"/>
  <c r="M30" i="14"/>
  <c r="N30" i="14"/>
  <c r="K97" i="14"/>
  <c r="K111" i="14"/>
  <c r="V82" i="10"/>
  <c r="U82" i="10"/>
  <c r="V67" i="10"/>
  <c r="U67" i="10"/>
  <c r="V63" i="10"/>
  <c r="U63" i="10"/>
  <c r="R63" i="10"/>
  <c r="V71" i="10"/>
  <c r="U71" i="10"/>
  <c r="R71" i="10"/>
  <c r="Q71" i="10" s="1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6" i="10" s="1"/>
  <c r="U34" i="10"/>
  <c r="U86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L123" i="14" l="1"/>
  <c r="L124" i="14" s="1"/>
  <c r="K122" i="14"/>
  <c r="K100" i="14"/>
  <c r="K30" i="14"/>
  <c r="K123" i="14" s="1"/>
  <c r="N123" i="14"/>
  <c r="N124" i="14" s="1"/>
  <c r="M123" i="14"/>
  <c r="M124" i="14" s="1"/>
  <c r="T57" i="10"/>
  <c r="R56" i="10"/>
  <c r="Q56" i="10" s="1"/>
  <c r="Q33" i="10"/>
  <c r="U32" i="10"/>
  <c r="U45" i="10" s="1"/>
  <c r="U57" i="10" s="1"/>
  <c r="R32" i="10"/>
  <c r="S32" i="10"/>
  <c r="S45" i="10" s="1"/>
  <c r="S57" i="10" s="1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U19" i="10" l="1"/>
  <c r="U81" i="10"/>
  <c r="V19" i="10"/>
  <c r="Q32" i="10"/>
  <c r="R45" i="10"/>
  <c r="Q12" i="10"/>
  <c r="R29" i="10"/>
  <c r="R57" i="10" l="1"/>
  <c r="Q57" i="10" s="1"/>
  <c r="Q45" i="10"/>
  <c r="S137" i="14" l="1"/>
  <c r="X136" i="14"/>
  <c r="W136" i="14"/>
  <c r="W135" i="14" s="1"/>
  <c r="X132" i="14"/>
  <c r="W132" i="14"/>
  <c r="X131" i="14"/>
  <c r="W131" i="14"/>
  <c r="Q122" i="14"/>
  <c r="X121" i="14"/>
  <c r="W121" i="14"/>
  <c r="T121" i="14"/>
  <c r="S121" i="14" s="1"/>
  <c r="P121" i="14"/>
  <c r="P122" i="14" s="1"/>
  <c r="S120" i="14"/>
  <c r="O121" i="14"/>
  <c r="T119" i="14"/>
  <c r="S117" i="14"/>
  <c r="S119" i="14" s="1"/>
  <c r="V111" i="14"/>
  <c r="U111" i="14"/>
  <c r="T111" i="14"/>
  <c r="S104" i="14"/>
  <c r="S61" i="14"/>
  <c r="S60" i="14"/>
  <c r="S57" i="14"/>
  <c r="S56" i="14"/>
  <c r="S52" i="14"/>
  <c r="S136" i="14" s="1"/>
  <c r="S51" i="14"/>
  <c r="S48" i="14"/>
  <c r="S45" i="14"/>
  <c r="S44" i="14"/>
  <c r="S41" i="14"/>
  <c r="S38" i="14"/>
  <c r="S37" i="14"/>
  <c r="S35" i="14"/>
  <c r="S34" i="14"/>
  <c r="S28" i="14"/>
  <c r="S25" i="14"/>
  <c r="T22" i="14"/>
  <c r="S22" i="14" s="1"/>
  <c r="P22" i="14"/>
  <c r="P30" i="14" s="1"/>
  <c r="S21" i="14"/>
  <c r="T20" i="14"/>
  <c r="S20" i="14" s="1"/>
  <c r="P20" i="14"/>
  <c r="O20" i="14" s="1"/>
  <c r="S19" i="14"/>
  <c r="S16" i="14"/>
  <c r="S14" i="14"/>
  <c r="S13" i="14"/>
  <c r="S29" i="14" l="1"/>
  <c r="S65" i="14"/>
  <c r="O129" i="14"/>
  <c r="S18" i="14"/>
  <c r="O137" i="14"/>
  <c r="O135" i="14" s="1"/>
  <c r="O22" i="14"/>
  <c r="U30" i="14"/>
  <c r="S135" i="14"/>
  <c r="S132" i="14"/>
  <c r="X135" i="14"/>
  <c r="R30" i="14"/>
  <c r="O30" i="14" s="1"/>
  <c r="Q30" i="14"/>
  <c r="S111" i="14"/>
  <c r="S122" i="14" s="1"/>
  <c r="X122" i="14"/>
  <c r="W130" i="14"/>
  <c r="W129" i="14" s="1"/>
  <c r="S130" i="14"/>
  <c r="V30" i="14"/>
  <c r="T122" i="14"/>
  <c r="W122" i="14"/>
  <c r="O122" i="14"/>
  <c r="K135" i="14"/>
  <c r="T30" i="14"/>
  <c r="S131" i="14"/>
  <c r="X130" i="14"/>
  <c r="X129" i="14" s="1"/>
  <c r="O138" i="14" l="1"/>
  <c r="U123" i="14"/>
  <c r="U124" i="14" s="1"/>
  <c r="W138" i="14"/>
  <c r="K138" i="14"/>
  <c r="Q123" i="14"/>
  <c r="Q124" i="14" s="1"/>
  <c r="V123" i="14"/>
  <c r="V124" i="14" s="1"/>
  <c r="X138" i="14"/>
  <c r="S30" i="14"/>
  <c r="X123" i="14"/>
  <c r="X124" i="14" s="1"/>
  <c r="S129" i="14"/>
  <c r="S138" i="14" s="1"/>
  <c r="R73" i="10"/>
  <c r="Q72" i="10"/>
  <c r="Q73" i="10" l="1"/>
  <c r="R74" i="10"/>
  <c r="Q86" i="10"/>
  <c r="Q85" i="10" l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5" i="10" l="1"/>
  <c r="J29" i="10" l="1"/>
  <c r="I25" i="10" l="1"/>
  <c r="I82" i="10" l="1"/>
  <c r="J45" i="10" l="1"/>
  <c r="K45" i="10"/>
  <c r="L45" i="10"/>
  <c r="J19" i="10"/>
  <c r="I83" i="10" l="1"/>
  <c r="M20" i="10" l="1"/>
  <c r="I85" i="10"/>
  <c r="I86" i="10"/>
  <c r="U85" i="10"/>
  <c r="M85" i="10"/>
  <c r="L74" i="10"/>
  <c r="M86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L57" i="10"/>
  <c r="V74" i="10"/>
  <c r="N30" i="10"/>
  <c r="N75" i="10" s="1"/>
  <c r="N76" i="10" s="1"/>
  <c r="U84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Q84" i="10"/>
  <c r="V84" i="10"/>
  <c r="U80" i="10"/>
  <c r="Q23" i="10"/>
  <c r="R30" i="10"/>
  <c r="M82" i="10"/>
  <c r="J57" i="10"/>
  <c r="I56" i="10"/>
  <c r="I84" i="10"/>
  <c r="I39" i="10"/>
  <c r="M83" i="10"/>
  <c r="M84" i="10"/>
  <c r="I30" i="10" l="1"/>
  <c r="U87" i="10"/>
  <c r="M30" i="10"/>
  <c r="M75" i="10" s="1"/>
  <c r="M76" i="10" s="1"/>
  <c r="P75" i="10"/>
  <c r="P76" i="10" s="1"/>
  <c r="S75" i="10"/>
  <c r="S76" i="10" s="1"/>
  <c r="I80" i="10"/>
  <c r="I87" i="10" s="1"/>
  <c r="I45" i="10"/>
  <c r="Q30" i="10"/>
  <c r="Q80" i="10"/>
  <c r="Q87" i="10" s="1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7" i="10" s="1"/>
  <c r="U75" i="10"/>
  <c r="U76" i="10" s="1"/>
  <c r="I57" i="10" l="1"/>
  <c r="V81" i="10" s="1"/>
  <c r="V80" i="10" s="1"/>
  <c r="V87" i="10" s="1"/>
  <c r="Q75" i="10"/>
  <c r="Q76" i="10" s="1"/>
  <c r="J74" i="10"/>
  <c r="J75" i="10" s="1"/>
  <c r="J76" i="10" s="1"/>
  <c r="I74" i="10"/>
  <c r="I75" i="10" l="1"/>
  <c r="I76" i="10" s="1"/>
  <c r="W123" i="14"/>
  <c r="W124" i="14" s="1"/>
  <c r="P123" i="14" l="1"/>
  <c r="P124" i="14" s="1"/>
  <c r="K124" i="14"/>
  <c r="O123" i="14" l="1"/>
  <c r="O124" i="14" s="1"/>
  <c r="S84" i="14"/>
  <c r="S101" i="14" s="1"/>
  <c r="T84" i="14"/>
  <c r="T101" i="14" s="1"/>
  <c r="R123" i="14"/>
  <c r="R124" i="14" s="1"/>
  <c r="T123" i="14" l="1"/>
  <c r="T124" i="14" s="1"/>
  <c r="S123" i="14"/>
  <c r="S124" i="14" s="1"/>
</calcChain>
</file>

<file path=xl/comments1.xml><?xml version="1.0" encoding="utf-8"?>
<comments xmlns="http://schemas.openxmlformats.org/spreadsheetml/2006/main">
  <authors>
    <author>Snieguole Kacerauskaite</author>
    <author>Sniega</author>
  </authors>
  <commentList>
    <comment ref="E95" authorId="0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E96" authorId="1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E98" authorId="1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E102" authorId="1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  <author>Sniega</author>
  </authors>
  <commentList>
    <comment ref="Y25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(Klaipėdos kultūros magistrų,  „Padėkos kaukės“, „Garbės piliečio ženklo“, „Albatroso“)</t>
        </r>
      </text>
    </comment>
    <comment ref="E53" authorId="0">
      <text>
        <r>
          <rPr>
            <sz val="9"/>
            <color indexed="81"/>
            <rFont val="Tahoma"/>
            <family val="2"/>
            <charset val="186"/>
          </rPr>
          <t xml:space="preserve">buvęs pavadinimas:
</t>
        </r>
        <r>
          <rPr>
            <b/>
            <sz val="9"/>
            <color indexed="81"/>
            <rFont val="Tahoma"/>
            <family val="2"/>
            <charset val="186"/>
          </rPr>
          <t>EEE projekto „Dizaino manufaktūra“ įgyvendinimas</t>
        </r>
      </text>
    </comment>
    <comment ref="O53" authorId="0">
      <text>
        <r>
          <rPr>
            <sz val="9"/>
            <color indexed="81"/>
            <rFont val="Tahoma"/>
            <family val="2"/>
            <charset val="186"/>
          </rPr>
          <t>Apyvartinės lėšos 160 tūkst. grįš 2016 m. II ketv.</t>
        </r>
      </text>
    </comment>
    <comment ref="F56" authorId="1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57" authorId="1">
      <text>
        <r>
          <rPr>
            <sz val="9"/>
            <color indexed="81"/>
            <rFont val="Tahoma"/>
            <family val="2"/>
            <charset val="186"/>
          </rPr>
          <t xml:space="preserve">"Parengti miesto piliavietėje naujai įrengiamų erdvių muziejifikavimo koncepciją ir įrengti ekspozicijas"
</t>
        </r>
      </text>
    </comment>
    <comment ref="E73" authorId="0">
      <text>
        <r>
          <rPr>
            <sz val="9"/>
            <color indexed="81"/>
            <rFont val="Tahoma"/>
            <family val="2"/>
            <charset val="186"/>
          </rPr>
          <t>Viešosios bibliotekos 13 filialų, kurie nėra juridiniai asmenys: Kalnupės, Pempininkų, Vingio, Laukininkų, Miško, Melnragės, Debreceno,</t>
        </r>
        <r>
          <rPr>
            <b/>
            <sz val="9"/>
            <color indexed="81"/>
            <rFont val="Tahoma"/>
            <family val="2"/>
            <charset val="186"/>
          </rPr>
          <t xml:space="preserve"> „Kauno atžalyno“</t>
        </r>
        <r>
          <rPr>
            <sz val="9"/>
            <color indexed="81"/>
            <rFont val="Tahoma"/>
            <family val="2"/>
            <charset val="186"/>
          </rPr>
          <t xml:space="preserve">, Girulių, Šiaulių, „Karlskronos“, „Pelėdžiuko“, „Ruoniuko“ (KMT 2010-07-02 sprendimas Nr. T2-182) 
</t>
        </r>
      </text>
    </comment>
    <comment ref="E94" authorId="0">
      <text>
        <r>
          <rPr>
            <sz val="9"/>
            <color indexed="81"/>
            <rFont val="Tahoma"/>
            <family val="2"/>
            <charset val="186"/>
          </rPr>
          <t xml:space="preserve">Tarybos kolegijos siūlymas
</t>
        </r>
      </text>
    </comment>
    <comment ref="F104" authorId="1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  <comment ref="F105" authorId="1">
      <text>
        <r>
          <rPr>
            <sz val="9"/>
            <color indexed="81"/>
            <rFont val="Tahoma"/>
            <family val="2"/>
            <charset val="186"/>
          </rPr>
          <t xml:space="preserve">"Išsaugoti ir puoselėti miesto jūrinį tapatumą atspindinčius jūrinius simbolius ir objektus bei panaudoti juos turizmo tikslams"
</t>
        </r>
      </text>
    </comment>
    <comment ref="F113" authorId="0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F114" authorId="1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F116" authorId="1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F120" authorId="1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comments3.xml><?xml version="1.0" encoding="utf-8"?>
<comments xmlns="http://schemas.openxmlformats.org/spreadsheetml/2006/main">
  <authors>
    <author>Snieguole Kacerauskaite</author>
    <author>Sniega</author>
  </authors>
  <commentList>
    <comment ref="E95" authorId="0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E96" authorId="1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E98" authorId="1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E102" authorId="1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<sst xmlns="http://schemas.openxmlformats.org/spreadsheetml/2006/main" count="1098" uniqueCount="296">
  <si>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</si>
  <si>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</si>
  <si>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</si>
  <si>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</si>
  <si>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</si>
  <si>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</si>
  <si>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</si>
  <si>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</si>
  <si>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</si>
  <si>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</si>
  <si>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</si>
  <si>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</si>
  <si>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</si>
  <si>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</si>
  <si>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</si>
  <si>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</si>
  <si>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</si>
  <si>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</si>
  <si>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</si>
  <si>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</si>
  <si>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</si>
  <si>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</si>
  <si>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</si>
  <si>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</si>
  <si>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</si>
  <si>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</si>
  <si>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</si>
  <si>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</si>
  <si>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</si>
  <si>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</si>
  <si>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</si>
  <si>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</si>
  <si>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</si>
  <si>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</si>
  <si>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</si>
  <si>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</si>
  <si>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</si>
  <si>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</si>
  <si>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</si>
  <si>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miesto savivaldybės etnokultūros centro veiklos organizavimas</t>
  </si>
  <si>
    <t>Remti kūrybinių organizacijų iniciatyvas ir miesto švenčių organizavimą</t>
  </si>
  <si>
    <t>05</t>
  </si>
  <si>
    <t>Papriemonės kodas</t>
  </si>
  <si>
    <t>1</t>
  </si>
  <si>
    <t>Kultūrinių projektų dalinis finansavimas ir vykdymas</t>
  </si>
  <si>
    <t>Organizuota jaunųjų kūrėjų kūrybos pristatymų, sk.</t>
  </si>
  <si>
    <t>Skirta meno stipendijų, sk.</t>
  </si>
  <si>
    <t>Surengta valstybinių švenčių</t>
  </si>
  <si>
    <t>Surengta paminėtinų datų renginių</t>
  </si>
  <si>
    <t>Lankytojų skaičius, tūkst.</t>
  </si>
  <si>
    <t>4</t>
  </si>
  <si>
    <t>2015-ųjų metų lėšų projektas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</si>
  <si>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</si>
  <si>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</si>
  <si>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</si>
  <si>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</si>
  <si>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</si>
  <si>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06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</si>
  <si>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</si>
  <si>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</si>
  <si>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</si>
  <si>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</si>
  <si>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</si>
  <si>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</si>
  <si>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</si>
  <si>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</si>
  <si>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</si>
  <si>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</si>
  <si>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Kultūros objektų infrastruktūros modernizavimas:</t>
  </si>
  <si>
    <t>MIESTO KULTŪRINIO SAVITUMO PUOSELĖJIMO BEI KULTŪRINIŲ PASLAUGŲ GERINIMO PROGRAMOS (NR. 08)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</si>
  <si>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</si>
  <si>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</si>
  <si>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Finansuota programų, sk.</t>
  </si>
  <si>
    <t>Meno stipendijų kultūros ir meno kūrėjams mokėjimas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</si>
  <si>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</si>
  <si>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</si>
  <si>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</si>
  <si>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</si>
  <si>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</si>
  <si>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Jaunųjų kūrėjų kūrybos pristatymas</t>
  </si>
  <si>
    <t>Jaunimo teatrinės veiklos programų rėmimas</t>
  </si>
  <si>
    <t>Dokumentų išduotis, tūkst.</t>
  </si>
  <si>
    <t>Tarptautinių ir regioninių kultūrinio turizmo kelių vystymas ir sklaida</t>
  </si>
  <si>
    <t>Parengta programa ir sąvadas</t>
  </si>
  <si>
    <t>Ekspozicijų skaičius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</si>
  <si>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</si>
  <si>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</si>
  <si>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</si>
  <si>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</si>
  <si>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</si>
  <si>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3.3.2.5.</t>
  </si>
  <si>
    <t>3.3.2.6.</t>
  </si>
  <si>
    <t>3.3.2.7.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</si>
  <si>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</si>
  <si>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</si>
  <si>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</si>
  <si>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</si>
  <si>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</si>
  <si>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</si>
  <si>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</si>
  <si>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</si>
  <si>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</si>
  <si>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</si>
  <si>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</si>
  <si>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</si>
  <si>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</si>
  <si>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</si>
  <si>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2016 m. poreikis</t>
  </si>
  <si>
    <t>Paremtų rezidentų sk.</t>
  </si>
  <si>
    <t>Bendras parodų, projektų ir renginių (edukacinių ir kamerinių) skaičius</t>
  </si>
  <si>
    <t>Bendras parodų, projektų ir renginių skaičius</t>
  </si>
  <si>
    <t>07</t>
  </si>
  <si>
    <t>Pritaikyta tyrimų, sk.</t>
  </si>
  <si>
    <t>3.3.2.4</t>
  </si>
  <si>
    <t>3.3.3.1.</t>
  </si>
  <si>
    <t>BĮ Klaipėdos miesto savivaldybės Mažosios Lietuvos istorijos muziejaus veiklos organizavimas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</si>
  <si>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</si>
  <si>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</si>
  <si>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Etnokultūros centro pastato (Bažnyčių g. 4) fasado ir stogo remontas</t>
  </si>
  <si>
    <t>Vasaros koncertų estrados modernizavimo galimybių studijos parengimas</t>
  </si>
  <si>
    <t>Kultūrinio turizmo maršrutų  (vėtrungių, švyturių, vargonų, karalienės Luizės keliо) formavimas</t>
  </si>
  <si>
    <t>Kūrybinių industrijų Menų inkubatoriaus rezidentų projektų dalinis finansavimas</t>
  </si>
  <si>
    <t>Viešosios bibliotekos tinklo ir bendruomenės centrų  modernizavimo galimybių studijos parengimas</t>
  </si>
  <si>
    <t xml:space="preserve">Dokumentacijos, reikalingos kultūros infrastruktūros plėtrai, parengimas:          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</si>
  <si>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</si>
  <si>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</si>
  <si>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</si>
  <si>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Kultūrinių renginių organizavimas</t>
  </si>
  <si>
    <t>Skatinti miesto bendruomenės kultūrinį ir kūrybinį aktyvumą bei gerinti kultūrinių paslaugų prieinamumą ir kokybę</t>
  </si>
  <si>
    <t xml:space="preserve">Organizuota apdovanojimo ceremonijų </t>
  </si>
  <si>
    <t>Dalyvauta Lietuvos dainų šventėje „Čia mūsų namai“</t>
  </si>
  <si>
    <t>Parengta galimybių studijų, sk.</t>
  </si>
  <si>
    <t>Vykdytojas (skyrius / asmuo)</t>
  </si>
  <si>
    <t>UKD Kultūros sk.</t>
  </si>
  <si>
    <t>MŪD Socialinės infrastruktūros priežiūros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</si>
  <si>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</si>
  <si>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</si>
  <si>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</si>
  <si>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</si>
  <si>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</si>
  <si>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</si>
  <si>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</si>
  <si>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</si>
  <si>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</si>
  <si>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</si>
  <si>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</si>
  <si>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</si>
  <si>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</si>
  <si>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</si>
  <si>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</si>
  <si>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</si>
  <si>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</si>
  <si>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</si>
  <si>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</si>
  <si>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</si>
  <si>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</si>
  <si>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</si>
  <si>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</si>
  <si>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</si>
  <si>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</si>
  <si>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</si>
  <si>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</si>
  <si>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</si>
  <si>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</si>
  <si>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</si>
  <si>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</si>
  <si>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Reprezentacinių Klaipėdos festivalių dalinis finansavimas</t>
  </si>
  <si>
    <t>BĮ Klaipėdos kultūrų komunikacijų centro veiklos organizavimas, iš jų:</t>
  </si>
  <si>
    <t>Klaipėdos koncertų salės pastato šlaitinio čerpių stogo remontas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</si>
  <si>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</si>
  <si>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</si>
  <si>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</si>
  <si>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</si>
  <si>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</si>
  <si>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</si>
  <si>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</si>
  <si>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</si>
  <si>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</si>
  <si>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</si>
  <si>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</si>
  <si>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</si>
  <si>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</si>
  <si>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 xml:space="preserve"> 2014–2017 M. KLAIPĖDOS MIESTO SAVIVALDYBĖS</t>
  </si>
  <si>
    <t>Patvirtintos lėšos 2014-iesiems metams**</t>
  </si>
  <si>
    <t>Lėšų poreikis 2015-iesiems metams</t>
  </si>
  <si>
    <t>2015-ųjų metų asignavimų planas</t>
  </si>
  <si>
    <t>2017-ųjų metų lėšų projektas</t>
  </si>
  <si>
    <t>2017-ieji metai</t>
  </si>
  <si>
    <t>** pagal Klaipėdos miesto savivaldybės tarybos 2014 m. sausio 30 d. sprendimą Nr. T2-16</t>
  </si>
  <si>
    <t>Jūrinę kultūrą puoselėjančių renginių dalinis finansavimas</t>
  </si>
  <si>
    <t>Nusipelniusių žmonių pagerbimas ir istorinių įvykių, vietų bei asmenybių atminimo įamžinimas</t>
  </si>
  <si>
    <t>9</t>
  </si>
  <si>
    <t>Pagaminta apdovanojimų, sk.</t>
  </si>
  <si>
    <t>7</t>
  </si>
  <si>
    <t>Surengta spektaklių, koncertų, kitų renginių</t>
  </si>
  <si>
    <t>BĮ Klaipėdos miesto savivaldybės koncertinės įstaigos Klaipėdos koncertų salės veiklos organizavimas, iš jų:</t>
  </si>
  <si>
    <t>EEE projekto „Tarptautinės kūrybinės koprodukcijos šiuolaikinės muzikos festivalis „Permainų muzika“ įgyvendinimas“</t>
  </si>
  <si>
    <t>Surengtų etnokultūrinių renginių sk.</t>
  </si>
  <si>
    <t>Vasaros lauko estrados remontas (sulūžusių suolelių pakeitimas naujais)</t>
  </si>
  <si>
    <t>BĮ Klaipėdos kultūrų komunikacijų centro fachverkinės architektūros pastato tvarkybos darbai (avarinės būklės likvidavimas, taikomieji tyrimai, projektavimas)</t>
  </si>
  <si>
    <t>Miesto kultūrą pristatančių objektų gamyba (ekspozicinė įranga, ekspozicijos, leidiniai)</t>
  </si>
  <si>
    <t>Išleista leidinių</t>
  </si>
  <si>
    <t>Baltijos jūros regiono šalių kultūrinio bendradarbiavimo projektų dalinis finansavimas</t>
  </si>
  <si>
    <t>Baltijos jūros regiono šalių kultūros forumų inicijavimas ir organizavimas</t>
  </si>
  <si>
    <t>Dalyvauta, inicijuota kultūros forumų</t>
  </si>
  <si>
    <t>Kūrybinių industrijų Menų inkubatoriaus rezidentų projektų dalinis finansavimas (stipendijos kultūros ir meno kūrėjams)</t>
  </si>
  <si>
    <t>2014-ųjų m. asignavimų planas</t>
  </si>
  <si>
    <t>2015-ųjų metų  asignavimų planas</t>
  </si>
  <si>
    <t>2017 m. poreikis</t>
  </si>
  <si>
    <t>Suorganizuota valstybinių švenčių, atmintinų datų paminėjimų ir miesto švenčių (Sausio 15, Vasario 16-oji, Kovo 11-oji,  Miesto gimtadienis, Kalėdinių ir naujametinių renginių ciklas ir pan.)</t>
  </si>
  <si>
    <t>5</t>
  </si>
  <si>
    <t>IED Projektų skyrius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</si>
  <si>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</si>
  <si>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SB(P)</t>
  </si>
  <si>
    <t>Parengtas techninis projektas, vnt.
Atlikti rekonsrukcijos darbai, užbaigtumas, proc.</t>
  </si>
  <si>
    <t xml:space="preserve">
30</t>
  </si>
  <si>
    <t xml:space="preserve">Parengtas techninis projektas, vnt.
</t>
  </si>
  <si>
    <t>Klaipėdos miesto savivaldybės Mažosios Lietuvos istorijos muziejaus Kalvystės muziejaus Šaltkalvių g. 2, Klaipėda, energetinio efektyvumo didinimas</t>
  </si>
  <si>
    <t>Senjorų veiklai pritaikyta salė, vnt.</t>
  </si>
  <si>
    <t>Organzuota ir įgyvendinta Jūros šventė</t>
  </si>
  <si>
    <t xml:space="preserve">Parengtas techninis projektas, vnt.
</t>
  </si>
  <si>
    <t>Atlikti rekonsrukcijos darbai, užbaigtumas, proc.</t>
  </si>
  <si>
    <t>Klaipėdos miesto savivaldybės viešosios bibliotekos „Kauno atžalynas“ filialo pritaikymas bendruomenės poreikiams</t>
  </si>
  <si>
    <t>Biudžetinių įstaigų patalpų būklės gerinimas</t>
  </si>
  <si>
    <t>Įstaigų skaičius</t>
  </si>
  <si>
    <t>Etnokultūros centro pastato (Bažnyčių g. 4) šiluminio mazgo remontas</t>
  </si>
  <si>
    <t>Atnaujinta suolelių, proc.</t>
  </si>
  <si>
    <t>Kultūros, meno, edukacinės veiklos ir leidybos projektų dalinis finansavimas</t>
  </si>
  <si>
    <t xml:space="preserve">Jūros šventės  organizavimas ir įgyvendinimas  </t>
  </si>
  <si>
    <t xml:space="preserve">Dailės palikimo išsaugojimo Klaipėdos m. koncepcijos ir programos parengimas (galerija) </t>
  </si>
  <si>
    <t>Suremontuota šilumino mazgo patalpa</t>
  </si>
  <si>
    <t>2015 m. asignavimų planas</t>
  </si>
  <si>
    <t>2016 m. lėšų projektas</t>
  </si>
  <si>
    <t>2017 m. lėšų projektas</t>
  </si>
  <si>
    <t>3.3.2.3</t>
  </si>
  <si>
    <t>1068</t>
  </si>
  <si>
    <t>833,5</t>
  </si>
  <si>
    <t>823,5</t>
  </si>
  <si>
    <t>3.3.2.5., 3.3.2.7.</t>
  </si>
  <si>
    <t>Iš viso priemonei:</t>
  </si>
  <si>
    <t>Vasaros koncertų estrados remontas</t>
  </si>
  <si>
    <t>3.2.2.2, 3.3.1.1, 3.3.2.6.</t>
  </si>
  <si>
    <t>Eur</t>
  </si>
  <si>
    <t>Planas</t>
  </si>
  <si>
    <t>Iš dalies finansuota projektų, skaičius</t>
  </si>
  <si>
    <t>Organizuota jaunųjų kūrėjų kūrybos pristatymų, skaičius</t>
  </si>
  <si>
    <t>Finansuota programų, skaičius</t>
  </si>
  <si>
    <t>Skirta meno stipendijų, skaičius</t>
  </si>
  <si>
    <t>Suorganizuota renginių, skaičius</t>
  </si>
  <si>
    <t>Pagaminta memorialinių objektų ir apdovanojimų, skaičius</t>
  </si>
  <si>
    <t>Organizuota apdovanojimo ceremonijų, skaičius</t>
  </si>
  <si>
    <t xml:space="preserve">Parengta ekspozicijų atnaujinimo ir piliavietės erdvių muziejifikavimo koncepcijų ir programų, skaičius            </t>
  </si>
  <si>
    <t>Parengta galimybių studijų, skaičius</t>
  </si>
  <si>
    <t xml:space="preserve">Iš dalies finansuota projektų, skaičius </t>
  </si>
  <si>
    <t>Pagaminta ekspozicijų, skaičius</t>
  </si>
  <si>
    <t>Išleista leidinių, skaičius</t>
  </si>
  <si>
    <t>Pritaikyta objektų, skaičius</t>
  </si>
  <si>
    <t>Inicijuota kultūros forumų, skaičius</t>
  </si>
  <si>
    <t>Atlikta tyrimų, skaičius</t>
  </si>
  <si>
    <t>Paremta rezidentų, skaičius</t>
  </si>
  <si>
    <t>Socialinę atskirtį mažinančių kultūros projektų dalinis finansavimas (2015 m. – projektai, skirti Senjorų metams paminėti)</t>
  </si>
  <si>
    <t>Jūros šventės  organizavimas ir įgyvendinimas</t>
  </si>
  <si>
    <t>BĮ Klaipėdos miesto savivaldybės viešosios bibliotekos veiklos organizavimas</t>
  </si>
  <si>
    <t xml:space="preserve"> - projekto „Pažink svetimšalį: Gdansko, Kaliningrado ir Klaipėdos gyventojų savitarpio pažinimo skatinimas per šiuolaikinės kultūros ir meno mainus“ įgyvendinimas</t>
  </si>
  <si>
    <t>Fachverkinės architektūros pastatų komplekso (Bažnyčių g. 4 / Daržų g. 10; Aukštoji g. 1 / Didžioji Vandens g. 2) sutvarkymas</t>
  </si>
  <si>
    <t>Pastato Debreceno g. 48 pritaikymas BĮ Klaipėdos miesto kultūros centro Žvejų rūmų veiklai (senjorų užimtumui)</t>
  </si>
  <si>
    <t>Miesto jūrinį tapatumą atspindinčių objektų (istorinių laivų ir pan.) pritaikymas kultūrinio turizmo reikmėms</t>
  </si>
  <si>
    <t>Jūrinio paveldo tyrimų rėmimas</t>
  </si>
  <si>
    <t>Projekto „Pažink svetimšalį: Gdansko, Kaliningrado ir Klaipėdos gyventojų savitarpio pažinimo skatinimas per šiuolaikinės kultūros ir meno mainus“ įgyvendinimas</t>
  </si>
  <si>
    <t>Fachverkinės architektūros pastatų komplekso (Bažnyčių g. 4 / Daržų g. 10; Aukštoji g. 1 /  Didžioji Vandens g. 2) sutvarkymas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</si>
  <si>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</si>
  <si>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Paramą gavusių projektų skaičius</t>
  </si>
  <si>
    <t>Atliktų tyrimų, skaičius</t>
  </si>
  <si>
    <t>Renginių, kuriuose dalyvauta, skaičius</t>
  </si>
  <si>
    <t>Pagamintа ekspozicinės įrangos, skaičius</t>
  </si>
  <si>
    <t>Sutvarkyta objektų, skaičius</t>
  </si>
  <si>
    <t>Dalyvių  ir lankytojų skaičius etnokultūriniuose renginiuose, tūkst.</t>
  </si>
  <si>
    <t xml:space="preserve">Parengta ekspozicijų atnaujinimo ir piliavietės erdvių muziejifikavimo koncepcijų ir programų, skaičius             </t>
  </si>
  <si>
    <t>Surengta edukacinių programų, parodų, renginių, skaičius</t>
  </si>
  <si>
    <t>Pagaminta memorialinių objektų, skaičius</t>
  </si>
  <si>
    <t>Suorganizuotas Žiemos renginių ciklas, skaičius</t>
  </si>
  <si>
    <t>Surengta koncertų ir kitų renginių, skaičius</t>
  </si>
  <si>
    <t xml:space="preserve">Surengta kalendorinių, atmintinų datų, švenčių, skaičius                         </t>
  </si>
  <si>
    <t>Surengta koncertų, vakaronių, skaičius</t>
  </si>
  <si>
    <t>Surengta parodų, edukacinių renginių, skaičius</t>
  </si>
  <si>
    <t>Virtualių lankytojų skaičius</t>
  </si>
  <si>
    <t>Administruojamų tinklalapių skaičius</t>
  </si>
  <si>
    <t>Įgyvendinta meno parodų, skaičius</t>
  </si>
  <si>
    <t>Suremontuota kultūros objektų, skaičius</t>
  </si>
  <si>
    <t>Socialinę atskirtį mažinančių kultūros projektų dalinis finansavimas (2015 m. – projektai, skirti Senjorų metams paminėti);</t>
  </si>
  <si>
    <r>
      <t xml:space="preserve"> - Europos ekonominės erdvės 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projektas „Bendradarbiavimu paremta profesionalaus meno integracija į kūrybines dirbtuves“</t>
    </r>
  </si>
  <si>
    <t xml:space="preserve"> - Europos ekonominės erdvės projekto „Tarptautinės kūrybinės koprodukcijos šiuolaikinės muzikos festivalis „Permainų muzika“ įgyvendinimas</t>
  </si>
  <si>
    <t>Europos ekonominės erdvės  projektas „Bendradarbiavimu paremta profesionalaus meno integracija į kūrybines dirbtuves“</t>
  </si>
  <si>
    <r>
      <t xml:space="preserve"> - Europos ekonominės erdvės</t>
    </r>
    <r>
      <rPr>
        <sz val="10"/>
        <color rgb="FFFF000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projektas „Bendradarbiavimu paremta profesionalaus meno integracija į kūrybines dirbtuves“</t>
    </r>
  </si>
  <si>
    <t xml:space="preserve"> - Europos ekonominės erdvės  projekto „Tarptautinės kūrybinės koprodukcijos šiuolaikinės muzikos festivalis „Permainų muzika“ įgyvendinimas</t>
  </si>
  <si>
    <t xml:space="preserve"> 2015–2017 M. KLAIPĖDOS MIESTO SAVIVALDYBĖS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</si>
</sst>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02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Border="1" applyAlignment="1">
      <alignment horizontal="center" vertical="top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23" xfId="0" applyFont="1" applyBorder="1"/>
    <xf numFmtId="0" fontId="4" fillId="0" borderId="56" xfId="0" applyFont="1" applyBorder="1"/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164" fontId="4" fillId="5" borderId="25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164" fontId="4" fillId="5" borderId="61" xfId="0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 wrapText="1"/>
    </xf>
    <xf numFmtId="1" fontId="5" fillId="0" borderId="37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0" fontId="4" fillId="0" borderId="0" xfId="0" applyFont="1" applyBorder="1"/>
    <xf numFmtId="164" fontId="4" fillId="5" borderId="68" xfId="0" applyNumberFormat="1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/>
    </xf>
    <xf numFmtId="0" fontId="10" fillId="0" borderId="0" xfId="0" applyFont="1"/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0" fontId="5" fillId="6" borderId="41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horizontal="center" vertical="top"/>
    </xf>
    <xf numFmtId="49" fontId="5" fillId="5" borderId="28" xfId="0" applyNumberFormat="1" applyFont="1" applyFill="1" applyBorder="1" applyAlignment="1">
      <alignment vertical="top"/>
    </xf>
    <xf numFmtId="49" fontId="5" fillId="5" borderId="22" xfId="0" applyNumberFormat="1" applyFont="1" applyFill="1" applyBorder="1" applyAlignment="1">
      <alignment vertical="top"/>
    </xf>
    <xf numFmtId="49" fontId="4" fillId="5" borderId="20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 wrapText="1"/>
    </xf>
    <xf numFmtId="49" fontId="4" fillId="0" borderId="0" xfId="0" applyNumberFormat="1" applyFont="1"/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vertical="top"/>
    </xf>
    <xf numFmtId="49" fontId="4" fillId="5" borderId="49" xfId="0" applyNumberFormat="1" applyFont="1" applyFill="1" applyBorder="1" applyAlignment="1">
      <alignment vertical="top"/>
    </xf>
    <xf numFmtId="164" fontId="4" fillId="6" borderId="41" xfId="0" applyNumberFormat="1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44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48" xfId="0" applyFont="1" applyFill="1" applyBorder="1" applyAlignment="1">
      <alignment horizontal="left" vertical="top" wrapText="1"/>
    </xf>
    <xf numFmtId="0" fontId="4" fillId="0" borderId="38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3" xfId="0" applyFont="1" applyBorder="1"/>
    <xf numFmtId="49" fontId="5" fillId="6" borderId="28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49" fontId="4" fillId="6" borderId="22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6" fillId="6" borderId="70" xfId="0" applyFont="1" applyFill="1" applyBorder="1" applyAlignment="1">
      <alignment horizontal="center" vertical="top"/>
    </xf>
    <xf numFmtId="49" fontId="5" fillId="6" borderId="13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vertical="top" wrapText="1"/>
    </xf>
    <xf numFmtId="49" fontId="4" fillId="6" borderId="20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0" fontId="4" fillId="5" borderId="38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4" fillId="0" borderId="44" xfId="0" applyFont="1" applyFill="1" applyBorder="1" applyAlignment="1">
      <alignment vertical="top" wrapText="1"/>
    </xf>
    <xf numFmtId="0" fontId="4" fillId="0" borderId="39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0" fontId="2" fillId="0" borderId="47" xfId="0" applyFont="1" applyBorder="1"/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48" xfId="0" applyFont="1" applyBorder="1"/>
    <xf numFmtId="0" fontId="4" fillId="0" borderId="59" xfId="0" applyFont="1" applyBorder="1"/>
    <xf numFmtId="0" fontId="4" fillId="0" borderId="33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49" fontId="4" fillId="0" borderId="35" xfId="0" applyNumberFormat="1" applyFont="1" applyFill="1" applyBorder="1" applyAlignment="1">
      <alignment horizontal="center" vertical="top"/>
    </xf>
    <xf numFmtId="164" fontId="4" fillId="0" borderId="59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22" xfId="0" applyNumberFormat="1" applyFont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164" fontId="2" fillId="0" borderId="26" xfId="0" applyNumberFormat="1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49" fontId="4" fillId="5" borderId="3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4" fillId="0" borderId="73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6" fillId="6" borderId="49" xfId="0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0" fontId="4" fillId="0" borderId="24" xfId="0" applyFont="1" applyBorder="1"/>
    <xf numFmtId="0" fontId="4" fillId="0" borderId="25" xfId="0" applyFont="1" applyBorder="1"/>
    <xf numFmtId="164" fontId="4" fillId="8" borderId="18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164" fontId="4" fillId="9" borderId="24" xfId="0" applyNumberFormat="1" applyFont="1" applyFill="1" applyBorder="1" applyAlignment="1">
      <alignment horizontal="center" vertical="top"/>
    </xf>
    <xf numFmtId="164" fontId="4" fillId="9" borderId="9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76" xfId="0" applyNumberFormat="1" applyFont="1" applyFill="1" applyBorder="1" applyAlignment="1">
      <alignment horizontal="center" vertical="top"/>
    </xf>
    <xf numFmtId="164" fontId="4" fillId="9" borderId="44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5" fillId="9" borderId="65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4" fillId="9" borderId="78" xfId="0" applyNumberFormat="1" applyFont="1" applyFill="1" applyBorder="1" applyAlignment="1">
      <alignment horizontal="center" vertical="top" wrapText="1"/>
    </xf>
    <xf numFmtId="164" fontId="4" fillId="9" borderId="48" xfId="0" applyNumberFormat="1" applyFont="1" applyFill="1" applyBorder="1" applyAlignment="1">
      <alignment horizontal="center" vertical="top" wrapText="1"/>
    </xf>
    <xf numFmtId="164" fontId="4" fillId="9" borderId="77" xfId="0" applyNumberFormat="1" applyFont="1" applyFill="1" applyBorder="1" applyAlignment="1">
      <alignment horizontal="center" vertical="top" wrapText="1"/>
    </xf>
    <xf numFmtId="164" fontId="4" fillId="9" borderId="18" xfId="0" applyNumberFormat="1" applyFont="1" applyFill="1" applyBorder="1" applyAlignment="1">
      <alignment horizontal="center" vertical="top" wrapText="1"/>
    </xf>
    <xf numFmtId="164" fontId="4" fillId="9" borderId="9" xfId="0" applyNumberFormat="1" applyFont="1" applyFill="1" applyBorder="1" applyAlignment="1">
      <alignment horizontal="center" vertical="top" wrapText="1"/>
    </xf>
    <xf numFmtId="164" fontId="4" fillId="9" borderId="22" xfId="0" applyNumberFormat="1" applyFont="1" applyFill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 vertical="top" wrapText="1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0" fontId="5" fillId="9" borderId="41" xfId="0" applyFont="1" applyFill="1" applyBorder="1" applyAlignment="1">
      <alignment horizontal="center" vertical="top" wrapText="1"/>
    </xf>
    <xf numFmtId="164" fontId="4" fillId="9" borderId="33" xfId="0" applyNumberFormat="1" applyFont="1" applyFill="1" applyBorder="1" applyAlignment="1">
      <alignment horizontal="center" vertical="top" wrapText="1"/>
    </xf>
    <xf numFmtId="164" fontId="4" fillId="9" borderId="64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4" fillId="9" borderId="78" xfId="0" applyNumberFormat="1" applyFont="1" applyFill="1" applyBorder="1" applyAlignment="1">
      <alignment horizontal="center" vertical="top"/>
    </xf>
    <xf numFmtId="164" fontId="4" fillId="9" borderId="48" xfId="0" applyNumberFormat="1" applyFont="1" applyFill="1" applyBorder="1" applyAlignment="1">
      <alignment horizontal="center" vertical="top"/>
    </xf>
    <xf numFmtId="164" fontId="4" fillId="9" borderId="77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5" fillId="9" borderId="64" xfId="0" applyNumberFormat="1" applyFont="1" applyFill="1" applyBorder="1" applyAlignment="1">
      <alignment horizontal="center" vertical="top"/>
    </xf>
    <xf numFmtId="0" fontId="5" fillId="9" borderId="40" xfId="0" applyFont="1" applyFill="1" applyBorder="1" applyAlignment="1">
      <alignment horizontal="center" vertical="top" wrapText="1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5" fillId="9" borderId="43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4" fillId="9" borderId="71" xfId="0" applyNumberFormat="1" applyFont="1" applyFill="1" applyBorder="1" applyAlignment="1">
      <alignment horizontal="center" vertical="top"/>
    </xf>
    <xf numFmtId="164" fontId="4" fillId="9" borderId="70" xfId="0" applyNumberFormat="1" applyFont="1" applyFill="1" applyBorder="1" applyAlignment="1">
      <alignment horizontal="center" vertical="top"/>
    </xf>
    <xf numFmtId="164" fontId="4" fillId="9" borderId="75" xfId="0" applyNumberFormat="1" applyFont="1" applyFill="1" applyBorder="1" applyAlignment="1">
      <alignment horizontal="center" vertical="top"/>
    </xf>
    <xf numFmtId="164" fontId="4" fillId="9" borderId="49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 wrapText="1"/>
    </xf>
    <xf numFmtId="164" fontId="4" fillId="9" borderId="44" xfId="0" applyNumberFormat="1" applyFont="1" applyFill="1" applyBorder="1" applyAlignment="1">
      <alignment horizontal="center" vertical="top" wrapText="1"/>
    </xf>
    <xf numFmtId="164" fontId="4" fillId="9" borderId="26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0" fontId="5" fillId="9" borderId="31" xfId="0" applyFont="1" applyFill="1" applyBorder="1" applyAlignment="1">
      <alignment horizontal="center" vertical="top" wrapText="1"/>
    </xf>
    <xf numFmtId="164" fontId="5" fillId="9" borderId="29" xfId="0" applyNumberFormat="1" applyFont="1" applyFill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4" fillId="9" borderId="23" xfId="0" applyNumberFormat="1" applyFont="1" applyFill="1" applyBorder="1" applyAlignment="1">
      <alignment horizontal="center" vertical="top"/>
    </xf>
    <xf numFmtId="164" fontId="5" fillId="9" borderId="24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9" borderId="64" xfId="0" applyNumberFormat="1" applyFont="1" applyFill="1" applyBorder="1" applyAlignment="1">
      <alignment horizontal="center" vertical="top"/>
    </xf>
    <xf numFmtId="164" fontId="2" fillId="9" borderId="44" xfId="0" applyNumberFormat="1" applyFont="1" applyFill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4" xfId="0" applyNumberFormat="1" applyFont="1" applyFill="1" applyBorder="1" applyAlignment="1">
      <alignment horizontal="center" vertical="top"/>
    </xf>
    <xf numFmtId="164" fontId="1" fillId="9" borderId="1" xfId="0" applyNumberFormat="1" applyFont="1" applyFill="1" applyBorder="1" applyAlignment="1">
      <alignment horizontal="center" vertical="top"/>
    </xf>
    <xf numFmtId="164" fontId="2" fillId="9" borderId="69" xfId="0" applyNumberFormat="1" applyFont="1" applyFill="1" applyBorder="1" applyAlignment="1">
      <alignment horizontal="center" vertical="top"/>
    </xf>
    <xf numFmtId="164" fontId="2" fillId="9" borderId="23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1" fillId="9" borderId="76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44" xfId="0" applyNumberFormat="1" applyFont="1" applyFill="1" applyBorder="1" applyAlignment="1">
      <alignment horizontal="center" vertical="top"/>
    </xf>
    <xf numFmtId="0" fontId="4" fillId="9" borderId="78" xfId="0" applyFont="1" applyFill="1" applyBorder="1"/>
    <xf numFmtId="0" fontId="4" fillId="9" borderId="33" xfId="0" applyFont="1" applyFill="1" applyBorder="1"/>
    <xf numFmtId="0" fontId="4" fillId="9" borderId="48" xfId="0" applyFont="1" applyFill="1" applyBorder="1"/>
    <xf numFmtId="164" fontId="2" fillId="9" borderId="78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0" fontId="1" fillId="9" borderId="40" xfId="0" applyFont="1" applyFill="1" applyBorder="1" applyAlignment="1">
      <alignment horizontal="center" vertical="top" wrapText="1"/>
    </xf>
    <xf numFmtId="164" fontId="1" fillId="9" borderId="60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45" xfId="0" applyNumberFormat="1" applyFont="1" applyFill="1" applyBorder="1" applyAlignment="1">
      <alignment horizontal="center" vertical="top"/>
    </xf>
    <xf numFmtId="164" fontId="1" fillId="9" borderId="40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 wrapText="1"/>
    </xf>
    <xf numFmtId="49" fontId="4" fillId="6" borderId="41" xfId="0" applyNumberFormat="1" applyFont="1" applyFill="1" applyBorder="1" applyAlignment="1">
      <alignment vertical="top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2" fillId="0" borderId="61" xfId="0" applyNumberFormat="1" applyFont="1" applyFill="1" applyBorder="1" applyAlignment="1">
      <alignment horizontal="center" vertical="top"/>
    </xf>
    <xf numFmtId="164" fontId="12" fillId="0" borderId="24" xfId="0" applyNumberFormat="1" applyFont="1" applyFill="1" applyBorder="1" applyAlignment="1">
      <alignment horizontal="center" vertical="top"/>
    </xf>
    <xf numFmtId="164" fontId="12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0" borderId="70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horizontal="center" vertical="top"/>
    </xf>
    <xf numFmtId="164" fontId="9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2" fillId="0" borderId="16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12" fillId="0" borderId="22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textRotation="90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9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textRotation="90" wrapText="1"/>
    </xf>
    <xf numFmtId="164" fontId="2" fillId="9" borderId="75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0" borderId="11" xfId="0" applyFont="1" applyBorder="1"/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9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9" borderId="19" xfId="0" applyNumberFormat="1" applyFont="1" applyFill="1" applyBorder="1" applyAlignment="1">
      <alignment horizontal="center" vertical="top"/>
    </xf>
    <xf numFmtId="164" fontId="2" fillId="9" borderId="74" xfId="0" applyNumberFormat="1" applyFont="1" applyFill="1" applyBorder="1" applyAlignment="1">
      <alignment horizontal="center" vertical="top"/>
    </xf>
    <xf numFmtId="164" fontId="2" fillId="9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5" fillId="8" borderId="9" xfId="0" applyFont="1" applyFill="1" applyBorder="1" applyAlignment="1">
      <alignment vertical="center" textRotation="90" wrapText="1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9" borderId="19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4" fillId="9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164" fontId="4" fillId="5" borderId="74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1" fontId="14" fillId="0" borderId="37" xfId="0" applyNumberFormat="1" applyFont="1" applyBorder="1" applyAlignment="1">
      <alignment horizontal="center" vertical="top" wrapText="1"/>
    </xf>
    <xf numFmtId="1" fontId="14" fillId="0" borderId="38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top" wrapText="1"/>
    </xf>
    <xf numFmtId="49" fontId="4" fillId="0" borderId="38" xfId="0" applyNumberFormat="1" applyFont="1" applyBorder="1" applyAlignment="1">
      <alignment horizontal="center" vertical="top"/>
    </xf>
    <xf numFmtId="49" fontId="4" fillId="2" borderId="17" xfId="0" applyNumberFormat="1" applyFont="1" applyFill="1" applyBorder="1" applyAlignment="1">
      <alignment horizontal="center" vertical="top"/>
    </xf>
    <xf numFmtId="49" fontId="4" fillId="6" borderId="74" xfId="0" applyNumberFormat="1" applyFont="1" applyFill="1" applyBorder="1" applyAlignment="1">
      <alignment vertical="top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71" xfId="0" applyNumberFormat="1" applyFont="1" applyFill="1" applyBorder="1" applyAlignment="1">
      <alignment horizontal="center" vertical="top" wrapText="1"/>
    </xf>
    <xf numFmtId="0" fontId="4" fillId="0" borderId="49" xfId="0" applyNumberFormat="1" applyFont="1" applyFill="1" applyBorder="1" applyAlignment="1">
      <alignment horizontal="center" vertical="top" wrapText="1"/>
    </xf>
    <xf numFmtId="0" fontId="4" fillId="0" borderId="55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vertical="top" wrapText="1"/>
    </xf>
    <xf numFmtId="0" fontId="4" fillId="0" borderId="76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vertical="top" wrapText="1"/>
    </xf>
    <xf numFmtId="49" fontId="4" fillId="5" borderId="24" xfId="0" applyNumberFormat="1" applyFont="1" applyFill="1" applyBorder="1" applyAlignment="1">
      <alignment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 wrapText="1"/>
    </xf>
    <xf numFmtId="0" fontId="4" fillId="0" borderId="25" xfId="0" applyNumberFormat="1" applyFont="1" applyFill="1" applyBorder="1" applyAlignment="1">
      <alignment horizontal="center" vertical="top" wrapText="1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76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 wrapText="1"/>
    </xf>
    <xf numFmtId="49" fontId="4" fillId="0" borderId="54" xfId="0" applyNumberFormat="1" applyFont="1" applyFill="1" applyBorder="1" applyAlignment="1">
      <alignment horizontal="center" vertical="top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55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/>
    </xf>
    <xf numFmtId="49" fontId="4" fillId="5" borderId="51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 wrapText="1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77" xfId="0" applyNumberFormat="1" applyFont="1" applyFill="1" applyBorder="1" applyAlignment="1">
      <alignment horizontal="center" vertical="top" wrapText="1"/>
    </xf>
    <xf numFmtId="164" fontId="4" fillId="8" borderId="18" xfId="0" applyNumberFormat="1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164" fontId="4" fillId="8" borderId="22" xfId="0" applyNumberFormat="1" applyFont="1" applyFill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 wrapText="1"/>
    </xf>
    <xf numFmtId="164" fontId="4" fillId="8" borderId="33" xfId="0" applyNumberFormat="1" applyFont="1" applyFill="1" applyBorder="1" applyAlignment="1">
      <alignment horizontal="center" vertical="top" wrapText="1"/>
    </xf>
    <xf numFmtId="164" fontId="4" fillId="8" borderId="64" xfId="0" applyNumberFormat="1" applyFont="1" applyFill="1" applyBorder="1" applyAlignment="1">
      <alignment horizontal="center" vertical="top"/>
    </xf>
    <xf numFmtId="164" fontId="5" fillId="8" borderId="76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0" fontId="6" fillId="0" borderId="43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 shrinkToFit="1"/>
    </xf>
    <xf numFmtId="0" fontId="4" fillId="5" borderId="24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0" fontId="4" fillId="5" borderId="53" xfId="0" applyFont="1" applyFill="1" applyBorder="1" applyAlignment="1">
      <alignment horizontal="left" vertical="top" wrapText="1" shrinkToFit="1"/>
    </xf>
    <xf numFmtId="0" fontId="4" fillId="5" borderId="62" xfId="0" applyFont="1" applyFill="1" applyBorder="1" applyAlignment="1">
      <alignment horizontal="center" vertical="top"/>
    </xf>
    <xf numFmtId="0" fontId="4" fillId="5" borderId="49" xfId="0" applyFont="1" applyFill="1" applyBorder="1" applyAlignment="1">
      <alignment horizontal="center" vertical="top"/>
    </xf>
    <xf numFmtId="0" fontId="4" fillId="5" borderId="55" xfId="0" applyFont="1" applyFill="1" applyBorder="1" applyAlignment="1">
      <alignment horizontal="center" vertical="top"/>
    </xf>
    <xf numFmtId="164" fontId="4" fillId="0" borderId="62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 shrinkToFit="1"/>
    </xf>
    <xf numFmtId="0" fontId="4" fillId="8" borderId="53" xfId="0" applyFont="1" applyFill="1" applyBorder="1" applyAlignment="1">
      <alignment horizontal="center" vertical="top"/>
    </xf>
    <xf numFmtId="0" fontId="4" fillId="8" borderId="29" xfId="0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 wrapText="1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left" vertical="top" wrapText="1"/>
    </xf>
    <xf numFmtId="0" fontId="4" fillId="5" borderId="56" xfId="0" applyFont="1" applyFill="1" applyBorder="1" applyAlignment="1">
      <alignment horizontal="center" vertical="top"/>
    </xf>
    <xf numFmtId="0" fontId="4" fillId="5" borderId="48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0" fontId="4" fillId="5" borderId="53" xfId="0" applyFont="1" applyFill="1" applyBorder="1" applyAlignment="1">
      <alignment horizontal="left" vertical="top" wrapText="1"/>
    </xf>
    <xf numFmtId="164" fontId="5" fillId="5" borderId="41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0" fontId="4" fillId="5" borderId="52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4" fillId="5" borderId="34" xfId="0" applyFont="1" applyFill="1" applyBorder="1" applyAlignment="1">
      <alignment horizontal="center" vertical="top"/>
    </xf>
    <xf numFmtId="0" fontId="4" fillId="5" borderId="59" xfId="0" applyFont="1" applyFill="1" applyBorder="1" applyAlignment="1">
      <alignment horizontal="center" vertical="top"/>
    </xf>
    <xf numFmtId="0" fontId="4" fillId="5" borderId="25" xfId="0" applyFont="1" applyFill="1" applyBorder="1" applyAlignment="1">
      <alignment horizontal="center" vertical="top"/>
    </xf>
    <xf numFmtId="0" fontId="4" fillId="5" borderId="29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54" xfId="0" applyFont="1" applyFill="1" applyBorder="1" applyAlignment="1">
      <alignment horizontal="left" vertical="top" wrapText="1"/>
    </xf>
    <xf numFmtId="0" fontId="4" fillId="5" borderId="63" xfId="0" applyFont="1" applyFill="1" applyBorder="1" applyAlignment="1">
      <alignment horizontal="center" vertical="top"/>
    </xf>
    <xf numFmtId="0" fontId="4" fillId="5" borderId="68" xfId="0" applyFont="1" applyFill="1" applyBorder="1" applyAlignment="1">
      <alignment horizontal="left" vertical="top" wrapText="1"/>
    </xf>
    <xf numFmtId="164" fontId="4" fillId="5" borderId="32" xfId="0" applyNumberFormat="1" applyFont="1" applyFill="1" applyBorder="1" applyAlignment="1">
      <alignment horizontal="center" vertical="top" wrapText="1"/>
    </xf>
    <xf numFmtId="49" fontId="4" fillId="5" borderId="60" xfId="0" applyNumberFormat="1" applyFont="1" applyFill="1" applyBorder="1" applyAlignment="1">
      <alignment horizontal="center" vertical="top"/>
    </xf>
    <xf numFmtId="49" fontId="4" fillId="5" borderId="70" xfId="0" applyNumberFormat="1" applyFont="1" applyFill="1" applyBorder="1" applyAlignment="1">
      <alignment horizontal="center" vertical="top"/>
    </xf>
    <xf numFmtId="0" fontId="4" fillId="0" borderId="49" xfId="0" applyFont="1" applyFill="1" applyBorder="1" applyAlignment="1">
      <alignment vertical="top" wrapText="1"/>
    </xf>
    <xf numFmtId="164" fontId="4" fillId="8" borderId="70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 wrapText="1"/>
    </xf>
    <xf numFmtId="164" fontId="4" fillId="8" borderId="24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49" fontId="4" fillId="0" borderId="30" xfId="0" applyNumberFormat="1" applyFont="1" applyBorder="1" applyAlignment="1">
      <alignment vertical="top" wrapText="1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0" fontId="4" fillId="5" borderId="42" xfId="0" applyFont="1" applyFill="1" applyBorder="1" applyAlignment="1">
      <alignment horizontal="center" vertical="top"/>
    </xf>
    <xf numFmtId="0" fontId="4" fillId="5" borderId="76" xfId="0" applyFont="1" applyFill="1" applyBorder="1" applyAlignment="1">
      <alignment horizontal="center" vertical="top"/>
    </xf>
    <xf numFmtId="0" fontId="4" fillId="5" borderId="64" xfId="0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 wrapText="1"/>
    </xf>
    <xf numFmtId="164" fontId="4" fillId="8" borderId="44" xfId="0" applyNumberFormat="1" applyFont="1" applyFill="1" applyBorder="1" applyAlignment="1">
      <alignment horizontal="center" vertical="top" wrapText="1"/>
    </xf>
    <xf numFmtId="164" fontId="4" fillId="5" borderId="60" xfId="0" applyNumberFormat="1" applyFont="1" applyFill="1" applyBorder="1" applyAlignment="1">
      <alignment horizontal="center" vertical="top"/>
    </xf>
    <xf numFmtId="164" fontId="4" fillId="0" borderId="0" xfId="0" applyNumberFormat="1" applyFont="1"/>
    <xf numFmtId="164" fontId="4" fillId="8" borderId="23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2" fillId="8" borderId="64" xfId="0" applyNumberFormat="1" applyFont="1" applyFill="1" applyBorder="1" applyAlignment="1">
      <alignment horizontal="center" vertical="top"/>
    </xf>
    <xf numFmtId="164" fontId="2" fillId="8" borderId="44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0" fontId="4" fillId="0" borderId="68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5" fillId="9" borderId="67" xfId="0" applyFont="1" applyFill="1" applyBorder="1" applyAlignment="1">
      <alignment horizontal="center" vertical="top" wrapText="1"/>
    </xf>
    <xf numFmtId="164" fontId="2" fillId="8" borderId="43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164" fontId="1" fillId="9" borderId="34" xfId="0" applyNumberFormat="1" applyFont="1" applyFill="1" applyBorder="1" applyAlignment="1">
      <alignment horizontal="center" vertical="top"/>
    </xf>
    <xf numFmtId="164" fontId="2" fillId="0" borderId="60" xfId="0" applyNumberFormat="1" applyFont="1" applyBorder="1" applyAlignment="1">
      <alignment horizontal="center" vertical="top"/>
    </xf>
    <xf numFmtId="164" fontId="2" fillId="9" borderId="43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16" xfId="0" applyNumberFormat="1" applyFont="1" applyFill="1" applyBorder="1" applyAlignment="1">
      <alignment horizontal="center" vertical="top"/>
    </xf>
    <xf numFmtId="164" fontId="2" fillId="9" borderId="36" xfId="0" applyNumberFormat="1" applyFont="1" applyFill="1" applyBorder="1" applyAlignment="1">
      <alignment horizontal="center" vertical="top"/>
    </xf>
    <xf numFmtId="0" fontId="4" fillId="0" borderId="49" xfId="0" applyFont="1" applyBorder="1"/>
    <xf numFmtId="0" fontId="4" fillId="0" borderId="75" xfId="0" applyFont="1" applyBorder="1"/>
    <xf numFmtId="0" fontId="4" fillId="0" borderId="63" xfId="0" applyFont="1" applyBorder="1"/>
    <xf numFmtId="0" fontId="4" fillId="9" borderId="12" xfId="0" applyFont="1" applyFill="1" applyBorder="1"/>
    <xf numFmtId="0" fontId="4" fillId="9" borderId="0" xfId="0" applyFont="1" applyFill="1" applyBorder="1"/>
    <xf numFmtId="0" fontId="4" fillId="9" borderId="49" xfId="0" applyFont="1" applyFill="1" applyBorder="1"/>
    <xf numFmtId="0" fontId="4" fillId="9" borderId="63" xfId="0" applyFont="1" applyFill="1" applyBorder="1"/>
    <xf numFmtId="49" fontId="5" fillId="5" borderId="13" xfId="0" applyNumberFormat="1" applyFont="1" applyFill="1" applyBorder="1" applyAlignment="1">
      <alignment horizontal="center" vertical="top"/>
    </xf>
    <xf numFmtId="164" fontId="4" fillId="8" borderId="21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vertical="top" wrapText="1"/>
    </xf>
    <xf numFmtId="49" fontId="4" fillId="5" borderId="24" xfId="0" applyNumberFormat="1" applyFont="1" applyFill="1" applyBorder="1" applyAlignment="1">
      <alignment horizontal="center" vertical="top"/>
    </xf>
    <xf numFmtId="164" fontId="2" fillId="8" borderId="61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2" fillId="8" borderId="32" xfId="0" applyNumberFormat="1" applyFont="1" applyFill="1" applyBorder="1" applyAlignment="1">
      <alignment horizontal="center" vertical="top"/>
    </xf>
    <xf numFmtId="164" fontId="2" fillId="0" borderId="27" xfId="0" applyNumberFormat="1" applyFont="1" applyBorder="1" applyAlignment="1">
      <alignment horizontal="center" vertical="top"/>
    </xf>
    <xf numFmtId="164" fontId="2" fillId="9" borderId="61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 wrapText="1"/>
    </xf>
    <xf numFmtId="164" fontId="2" fillId="8" borderId="30" xfId="0" applyNumberFormat="1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42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horizontal="center" vertical="top"/>
    </xf>
    <xf numFmtId="0" fontId="2" fillId="8" borderId="35" xfId="0" applyFont="1" applyFill="1" applyBorder="1" applyAlignment="1">
      <alignment horizontal="left" vertical="top" wrapText="1"/>
    </xf>
    <xf numFmtId="0" fontId="2" fillId="8" borderId="76" xfId="0" applyFont="1" applyFill="1" applyBorder="1" applyAlignment="1">
      <alignment horizontal="center" vertical="top"/>
    </xf>
    <xf numFmtId="0" fontId="2" fillId="8" borderId="44" xfId="0" applyFont="1" applyFill="1" applyBorder="1" applyAlignment="1">
      <alignment horizontal="center" vertical="top"/>
    </xf>
    <xf numFmtId="0" fontId="2" fillId="8" borderId="45" xfId="0" applyFont="1" applyFill="1" applyBorder="1" applyAlignment="1">
      <alignment horizontal="center" vertical="top"/>
    </xf>
    <xf numFmtId="0" fontId="2" fillId="8" borderId="30" xfId="0" applyFont="1" applyFill="1" applyBorder="1"/>
    <xf numFmtId="164" fontId="4" fillId="8" borderId="31" xfId="0" applyNumberFormat="1" applyFont="1" applyFill="1" applyBorder="1" applyAlignment="1">
      <alignment horizontal="center" vertical="top" wrapText="1"/>
    </xf>
    <xf numFmtId="0" fontId="4" fillId="8" borderId="25" xfId="0" applyFont="1" applyFill="1" applyBorder="1" applyAlignment="1">
      <alignment horizontal="center" vertical="top"/>
    </xf>
    <xf numFmtId="0" fontId="4" fillId="9" borderId="61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0" fontId="4" fillId="9" borderId="71" xfId="0" applyFont="1" applyFill="1" applyBorder="1" applyAlignment="1">
      <alignment horizontal="center"/>
    </xf>
    <xf numFmtId="0" fontId="4" fillId="9" borderId="49" xfId="0" applyFont="1" applyFill="1" applyBorder="1" applyAlignment="1">
      <alignment horizontal="center"/>
    </xf>
    <xf numFmtId="164" fontId="2" fillId="5" borderId="28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0" fontId="4" fillId="9" borderId="62" xfId="0" applyFont="1" applyFill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164" fontId="2" fillId="8" borderId="6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8" borderId="27" xfId="0" applyNumberFormat="1" applyFont="1" applyFill="1" applyBorder="1" applyAlignment="1">
      <alignment horizontal="center" vertical="top"/>
    </xf>
    <xf numFmtId="0" fontId="4" fillId="8" borderId="78" xfId="0" applyFont="1" applyFill="1" applyBorder="1"/>
    <xf numFmtId="0" fontId="4" fillId="8" borderId="33" xfId="0" applyFont="1" applyFill="1" applyBorder="1"/>
    <xf numFmtId="0" fontId="4" fillId="8" borderId="48" xfId="0" applyFont="1" applyFill="1" applyBorder="1"/>
    <xf numFmtId="164" fontId="2" fillId="8" borderId="78" xfId="0" applyNumberFormat="1" applyFont="1" applyFill="1" applyBorder="1" applyAlignment="1">
      <alignment horizontal="center"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0" fontId="4" fillId="5" borderId="12" xfId="1" applyFont="1" applyFill="1" applyBorder="1" applyAlignment="1">
      <alignment vertical="top" wrapText="1"/>
    </xf>
    <xf numFmtId="0" fontId="4" fillId="5" borderId="43" xfId="1" applyFont="1" applyFill="1" applyBorder="1" applyAlignment="1">
      <alignment horizontal="center" vertical="top"/>
    </xf>
    <xf numFmtId="0" fontId="4" fillId="5" borderId="44" xfId="1" applyFont="1" applyFill="1" applyBorder="1" applyAlignment="1">
      <alignment horizontal="center" vertical="top"/>
    </xf>
    <xf numFmtId="0" fontId="4" fillId="5" borderId="45" xfId="1" applyFont="1" applyFill="1" applyBorder="1" applyAlignment="1">
      <alignment horizontal="center" vertical="top"/>
    </xf>
    <xf numFmtId="0" fontId="4" fillId="5" borderId="7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center" vertical="top" wrapText="1"/>
    </xf>
    <xf numFmtId="164" fontId="4" fillId="8" borderId="76" xfId="0" applyNumberFormat="1" applyFont="1" applyFill="1" applyBorder="1" applyAlignment="1">
      <alignment horizontal="center" vertical="top" wrapText="1"/>
    </xf>
    <xf numFmtId="164" fontId="4" fillId="8" borderId="60" xfId="0" applyNumberFormat="1" applyFont="1" applyFill="1" applyBorder="1" applyAlignment="1">
      <alignment horizontal="center" vertical="top" wrapText="1"/>
    </xf>
    <xf numFmtId="164" fontId="4" fillId="5" borderId="45" xfId="0" applyNumberFormat="1" applyFont="1" applyFill="1" applyBorder="1" applyAlignment="1">
      <alignment horizontal="center" vertical="top" wrapText="1"/>
    </xf>
    <xf numFmtId="164" fontId="4" fillId="9" borderId="76" xfId="0" applyNumberFormat="1" applyFont="1" applyFill="1" applyBorder="1" applyAlignment="1">
      <alignment horizontal="center" vertical="top" wrapText="1"/>
    </xf>
    <xf numFmtId="164" fontId="4" fillId="9" borderId="60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center" vertical="top"/>
    </xf>
    <xf numFmtId="0" fontId="4" fillId="0" borderId="64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4" fillId="0" borderId="18" xfId="0" applyFont="1" applyBorder="1"/>
    <xf numFmtId="0" fontId="4" fillId="9" borderId="9" xfId="0" applyFont="1" applyFill="1" applyBorder="1"/>
    <xf numFmtId="0" fontId="4" fillId="9" borderId="58" xfId="0" applyFont="1" applyFill="1" applyBorder="1"/>
    <xf numFmtId="49" fontId="4" fillId="8" borderId="3" xfId="0" applyNumberFormat="1" applyFont="1" applyFill="1" applyBorder="1" applyAlignment="1">
      <alignment vertical="top"/>
    </xf>
    <xf numFmtId="0" fontId="4" fillId="8" borderId="3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vertical="top" wrapText="1"/>
    </xf>
    <xf numFmtId="0" fontId="4" fillId="5" borderId="72" xfId="0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/>
    </xf>
    <xf numFmtId="49" fontId="5" fillId="0" borderId="49" xfId="0" applyNumberFormat="1" applyFont="1" applyBorder="1" applyAlignment="1">
      <alignment vertical="top"/>
    </xf>
    <xf numFmtId="0" fontId="4" fillId="0" borderId="30" xfId="0" applyNumberFormat="1" applyFont="1" applyBorder="1" applyAlignment="1">
      <alignment vertical="top" wrapText="1"/>
    </xf>
    <xf numFmtId="49" fontId="4" fillId="5" borderId="70" xfId="0" applyNumberFormat="1" applyFont="1" applyFill="1" applyBorder="1" applyAlignment="1">
      <alignment vertical="top"/>
    </xf>
    <xf numFmtId="49" fontId="4" fillId="0" borderId="70" xfId="0" applyNumberFormat="1" applyFont="1" applyBorder="1" applyAlignment="1">
      <alignment vertical="top"/>
    </xf>
    <xf numFmtId="0" fontId="5" fillId="0" borderId="53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vertical="top" wrapText="1"/>
    </xf>
    <xf numFmtId="0" fontId="4" fillId="0" borderId="61" xfId="0" applyNumberFormat="1" applyFont="1" applyFill="1" applyBorder="1" applyAlignment="1">
      <alignment horizontal="center" vertical="top" wrapText="1"/>
    </xf>
    <xf numFmtId="0" fontId="4" fillId="8" borderId="43" xfId="0" applyFont="1" applyFill="1" applyBorder="1" applyAlignment="1">
      <alignment horizontal="center" vertical="top"/>
    </xf>
    <xf numFmtId="164" fontId="2" fillId="0" borderId="12" xfId="0" applyNumberFormat="1" applyFont="1" applyFill="1" applyBorder="1" applyAlignment="1">
      <alignment horizontal="left" vertical="top" wrapText="1"/>
    </xf>
    <xf numFmtId="164" fontId="2" fillId="0" borderId="31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0" fontId="4" fillId="8" borderId="40" xfId="0" applyFont="1" applyFill="1" applyBorder="1" applyAlignment="1">
      <alignment horizontal="center" vertical="top" wrapText="1"/>
    </xf>
    <xf numFmtId="164" fontId="4" fillId="8" borderId="40" xfId="0" applyNumberFormat="1" applyFont="1" applyFill="1" applyBorder="1" applyAlignment="1">
      <alignment horizontal="center" vertical="top"/>
    </xf>
    <xf numFmtId="0" fontId="4" fillId="0" borderId="22" xfId="0" applyFont="1" applyBorder="1"/>
    <xf numFmtId="164" fontId="4" fillId="8" borderId="0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64" fontId="4" fillId="9" borderId="0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0" fontId="6" fillId="0" borderId="60" xfId="0" applyFont="1" applyBorder="1" applyAlignment="1">
      <alignment horizontal="center" vertical="top"/>
    </xf>
    <xf numFmtId="164" fontId="4" fillId="9" borderId="56" xfId="0" applyNumberFormat="1" applyFont="1" applyFill="1" applyBorder="1" applyAlignment="1">
      <alignment horizontal="center" vertical="top" wrapText="1"/>
    </xf>
    <xf numFmtId="164" fontId="4" fillId="9" borderId="46" xfId="0" applyNumberFormat="1" applyFont="1" applyFill="1" applyBorder="1" applyAlignment="1">
      <alignment horizontal="center" vertical="top" wrapText="1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9" borderId="25" xfId="0" applyNumberFormat="1" applyFont="1" applyFill="1" applyBorder="1" applyAlignment="1">
      <alignment horizontal="center" vertical="top"/>
    </xf>
    <xf numFmtId="0" fontId="6" fillId="0" borderId="40" xfId="0" applyFont="1" applyBorder="1" applyAlignment="1">
      <alignment vertical="top" wrapText="1"/>
    </xf>
    <xf numFmtId="164" fontId="4" fillId="5" borderId="35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left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vertical="top" wrapText="1"/>
    </xf>
    <xf numFmtId="164" fontId="4" fillId="5" borderId="53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12" fillId="0" borderId="43" xfId="0" applyFont="1" applyFill="1" applyBorder="1" applyAlignment="1">
      <alignment horizontal="center" wrapText="1"/>
    </xf>
    <xf numFmtId="0" fontId="12" fillId="0" borderId="44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top" wrapText="1"/>
    </xf>
    <xf numFmtId="0" fontId="12" fillId="0" borderId="36" xfId="0" applyNumberFormat="1" applyFont="1" applyFill="1" applyBorder="1" applyAlignment="1">
      <alignment horizontal="center" vertical="top"/>
    </xf>
    <xf numFmtId="0" fontId="4" fillId="0" borderId="58" xfId="0" applyNumberFormat="1" applyFont="1" applyFill="1" applyBorder="1" applyAlignment="1">
      <alignment horizontal="center" vertical="top"/>
    </xf>
    <xf numFmtId="0" fontId="12" fillId="0" borderId="45" xfId="0" applyFont="1" applyFill="1" applyBorder="1" applyAlignment="1">
      <alignment horizontal="center" wrapText="1"/>
    </xf>
    <xf numFmtId="164" fontId="4" fillId="6" borderId="67" xfId="0" applyNumberFormat="1" applyFont="1" applyFill="1" applyBorder="1" applyAlignment="1">
      <alignment vertical="top" wrapText="1"/>
    </xf>
    <xf numFmtId="0" fontId="4" fillId="0" borderId="35" xfId="0" applyNumberFormat="1" applyFont="1" applyFill="1" applyBorder="1" applyAlignment="1">
      <alignment horizontal="center" vertical="top"/>
    </xf>
    <xf numFmtId="0" fontId="2" fillId="0" borderId="39" xfId="0" applyFont="1" applyBorder="1"/>
    <xf numFmtId="0" fontId="2" fillId="0" borderId="38" xfId="0" applyFont="1" applyBorder="1"/>
    <xf numFmtId="0" fontId="4" fillId="5" borderId="37" xfId="0" applyFont="1" applyFill="1" applyBorder="1" applyAlignment="1">
      <alignment vertical="top" wrapText="1"/>
    </xf>
    <xf numFmtId="164" fontId="5" fillId="3" borderId="80" xfId="0" applyNumberFormat="1" applyFont="1" applyFill="1" applyBorder="1" applyAlignment="1">
      <alignment horizontal="center" vertical="top"/>
    </xf>
    <xf numFmtId="0" fontId="4" fillId="0" borderId="47" xfId="0" applyFont="1" applyBorder="1"/>
    <xf numFmtId="164" fontId="5" fillId="9" borderId="42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5" fillId="6" borderId="51" xfId="0" applyNumberFormat="1" applyFont="1" applyFill="1" applyBorder="1" applyAlignment="1">
      <alignment horizontal="center" vertical="top"/>
    </xf>
    <xf numFmtId="0" fontId="4" fillId="8" borderId="40" xfId="0" applyFont="1" applyFill="1" applyBorder="1" applyAlignment="1">
      <alignment horizontal="center" vertical="top"/>
    </xf>
    <xf numFmtId="49" fontId="4" fillId="8" borderId="9" xfId="0" applyNumberFormat="1" applyFont="1" applyFill="1" applyBorder="1" applyAlignment="1">
      <alignment vertical="top"/>
    </xf>
    <xf numFmtId="0" fontId="4" fillId="5" borderId="75" xfId="0" applyFont="1" applyFill="1" applyBorder="1" applyAlignment="1">
      <alignment horizontal="center" vertical="top"/>
    </xf>
    <xf numFmtId="49" fontId="5" fillId="2" borderId="62" xfId="0" applyNumberFormat="1" applyFont="1" applyFill="1" applyBorder="1" applyAlignment="1">
      <alignment vertical="top"/>
    </xf>
    <xf numFmtId="49" fontId="5" fillId="3" borderId="49" xfId="0" applyNumberFormat="1" applyFont="1" applyFill="1" applyBorder="1" applyAlignment="1">
      <alignment horizontal="center" vertical="top"/>
    </xf>
    <xf numFmtId="49" fontId="4" fillId="0" borderId="70" xfId="0" applyNumberFormat="1" applyFont="1" applyBorder="1" applyAlignment="1">
      <alignment vertical="top" wrapText="1"/>
    </xf>
    <xf numFmtId="49" fontId="5" fillId="0" borderId="53" xfId="0" applyNumberFormat="1" applyFont="1" applyBorder="1" applyAlignment="1">
      <alignment vertical="top" wrapText="1"/>
    </xf>
    <xf numFmtId="49" fontId="4" fillId="0" borderId="53" xfId="0" applyNumberFormat="1" applyFont="1" applyBorder="1" applyAlignment="1">
      <alignment vertical="top" wrapText="1"/>
    </xf>
    <xf numFmtId="0" fontId="4" fillId="5" borderId="53" xfId="0" applyFont="1" applyFill="1" applyBorder="1" applyAlignment="1">
      <alignment horizontal="center" vertical="top" wrapText="1"/>
    </xf>
    <xf numFmtId="164" fontId="4" fillId="8" borderId="75" xfId="0" applyNumberFormat="1" applyFont="1" applyFill="1" applyBorder="1" applyAlignment="1">
      <alignment horizontal="center" vertical="top" wrapText="1"/>
    </xf>
    <xf numFmtId="164" fontId="4" fillId="8" borderId="49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4" fillId="5" borderId="62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63" xfId="0" applyNumberFormat="1" applyFont="1" applyFill="1" applyBorder="1" applyAlignment="1">
      <alignment horizontal="center" vertical="top" wrapText="1"/>
    </xf>
    <xf numFmtId="164" fontId="4" fillId="9" borderId="75" xfId="0" applyNumberFormat="1" applyFont="1" applyFill="1" applyBorder="1" applyAlignment="1">
      <alignment horizontal="center" vertical="top" wrapText="1"/>
    </xf>
    <xf numFmtId="164" fontId="4" fillId="9" borderId="49" xfId="0" applyNumberFormat="1" applyFont="1" applyFill="1" applyBorder="1" applyAlignment="1">
      <alignment horizontal="center" vertical="top" wrapText="1"/>
    </xf>
    <xf numFmtId="164" fontId="4" fillId="9" borderId="70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vertical="top" wrapText="1"/>
    </xf>
    <xf numFmtId="49" fontId="4" fillId="0" borderId="61" xfId="0" applyNumberFormat="1" applyFont="1" applyFill="1" applyBorder="1" applyAlignment="1">
      <alignment horizontal="center" vertical="top"/>
    </xf>
    <xf numFmtId="49" fontId="4" fillId="5" borderId="25" xfId="0" applyNumberFormat="1" applyFont="1" applyFill="1" applyBorder="1" applyAlignment="1">
      <alignment horizontal="center" vertical="top"/>
    </xf>
    <xf numFmtId="49" fontId="5" fillId="2" borderId="54" xfId="0" applyNumberFormat="1" applyFont="1" applyFill="1" applyBorder="1" applyAlignment="1">
      <alignment horizontal="center" vertical="top"/>
    </xf>
    <xf numFmtId="49" fontId="4" fillId="0" borderId="63" xfId="0" applyNumberFormat="1" applyFont="1" applyBorder="1" applyAlignment="1">
      <alignment vertical="top"/>
    </xf>
    <xf numFmtId="49" fontId="5" fillId="0" borderId="53" xfId="0" applyNumberFormat="1" applyFont="1" applyBorder="1" applyAlignment="1">
      <alignment vertical="top"/>
    </xf>
    <xf numFmtId="164" fontId="4" fillId="5" borderId="54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left" vertical="top" wrapText="1"/>
    </xf>
    <xf numFmtId="0" fontId="6" fillId="0" borderId="49" xfId="0" applyFont="1" applyBorder="1" applyAlignment="1">
      <alignment vertical="top"/>
    </xf>
    <xf numFmtId="164" fontId="1" fillId="9" borderId="65" xfId="0" applyNumberFormat="1" applyFont="1" applyFill="1" applyBorder="1" applyAlignment="1">
      <alignment horizontal="center" vertical="top"/>
    </xf>
    <xf numFmtId="164" fontId="5" fillId="6" borderId="41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0" fontId="12" fillId="8" borderId="43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 vertical="top" wrapText="1"/>
    </xf>
    <xf numFmtId="0" fontId="12" fillId="8" borderId="45" xfId="0" applyFont="1" applyFill="1" applyBorder="1" applyAlignment="1">
      <alignment horizontal="center" vertical="top" wrapText="1"/>
    </xf>
    <xf numFmtId="0" fontId="4" fillId="8" borderId="31" xfId="0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4" fillId="0" borderId="32" xfId="0" applyNumberFormat="1" applyFont="1" applyFill="1" applyBorder="1" applyAlignment="1">
      <alignment horizontal="center" vertical="top"/>
    </xf>
    <xf numFmtId="0" fontId="5" fillId="0" borderId="53" xfId="0" applyFont="1" applyBorder="1" applyAlignment="1">
      <alignment vertical="top"/>
    </xf>
    <xf numFmtId="49" fontId="5" fillId="0" borderId="0" xfId="0" applyNumberFormat="1" applyFont="1" applyBorder="1" applyAlignment="1">
      <alignment vertical="top"/>
    </xf>
    <xf numFmtId="0" fontId="4" fillId="5" borderId="38" xfId="0" applyFont="1" applyFill="1" applyBorder="1" applyAlignment="1">
      <alignment horizontal="center" vertical="top" wrapText="1"/>
    </xf>
    <xf numFmtId="164" fontId="4" fillId="0" borderId="23" xfId="0" applyNumberFormat="1" applyFont="1" applyBorder="1" applyAlignment="1">
      <alignment horizontal="center" vertical="top"/>
    </xf>
    <xf numFmtId="164" fontId="4" fillId="0" borderId="37" xfId="0" applyNumberFormat="1" applyFont="1" applyBorder="1" applyAlignment="1">
      <alignment horizontal="center" vertical="top"/>
    </xf>
    <xf numFmtId="164" fontId="4" fillId="5" borderId="23" xfId="0" applyNumberFormat="1" applyFont="1" applyFill="1" applyBorder="1" applyAlignment="1">
      <alignment horizontal="center" vertical="top" wrapText="1"/>
    </xf>
    <xf numFmtId="0" fontId="4" fillId="8" borderId="40" xfId="0" applyFont="1" applyFill="1" applyBorder="1" applyAlignment="1">
      <alignment vertical="top" wrapText="1"/>
    </xf>
    <xf numFmtId="0" fontId="4" fillId="8" borderId="30" xfId="0" applyFont="1" applyFill="1" applyBorder="1" applyAlignment="1">
      <alignment vertical="top" wrapText="1"/>
    </xf>
    <xf numFmtId="0" fontId="4" fillId="8" borderId="72" xfId="0" applyFont="1" applyFill="1" applyBorder="1" applyAlignment="1">
      <alignment vertical="top" wrapText="1"/>
    </xf>
    <xf numFmtId="0" fontId="4" fillId="8" borderId="11" xfId="0" applyFont="1" applyFill="1" applyBorder="1" applyAlignment="1">
      <alignment horizontal="left" vertical="top" indent="1"/>
    </xf>
    <xf numFmtId="0" fontId="4" fillId="8" borderId="15" xfId="0" applyFont="1" applyFill="1" applyBorder="1" applyAlignment="1">
      <alignment horizontal="left" vertical="top" indent="1"/>
    </xf>
    <xf numFmtId="0" fontId="4" fillId="8" borderId="38" xfId="0" applyFont="1" applyFill="1" applyBorder="1" applyAlignment="1">
      <alignment horizontal="center" vertical="top"/>
    </xf>
    <xf numFmtId="0" fontId="4" fillId="8" borderId="37" xfId="0" applyFont="1" applyFill="1" applyBorder="1" applyAlignment="1">
      <alignment horizontal="center" vertical="top"/>
    </xf>
    <xf numFmtId="0" fontId="4" fillId="8" borderId="72" xfId="0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0" borderId="73" xfId="0" applyNumberFormat="1" applyFont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 wrapText="1"/>
    </xf>
    <xf numFmtId="164" fontId="4" fillId="5" borderId="74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 wrapText="1"/>
    </xf>
    <xf numFmtId="0" fontId="4" fillId="0" borderId="73" xfId="0" applyNumberFormat="1" applyFont="1" applyFill="1" applyBorder="1" applyAlignment="1">
      <alignment horizontal="center" vertical="top" wrapText="1"/>
    </xf>
    <xf numFmtId="0" fontId="4" fillId="0" borderId="35" xfId="0" applyNumberFormat="1" applyFont="1" applyBorder="1" applyAlignment="1">
      <alignment horizontal="center" vertical="top"/>
    </xf>
    <xf numFmtId="0" fontId="4" fillId="8" borderId="44" xfId="0" applyFont="1" applyFill="1" applyBorder="1" applyAlignment="1">
      <alignment horizontal="center" vertical="top"/>
    </xf>
    <xf numFmtId="0" fontId="4" fillId="8" borderId="45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8" borderId="58" xfId="0" applyFont="1" applyFill="1" applyBorder="1" applyAlignment="1">
      <alignment horizontal="center" vertical="top"/>
    </xf>
    <xf numFmtId="0" fontId="4" fillId="8" borderId="17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 vertical="top"/>
    </xf>
    <xf numFmtId="0" fontId="4" fillId="8" borderId="73" xfId="0" applyFont="1" applyFill="1" applyBorder="1" applyAlignment="1">
      <alignment horizontal="center" vertical="top"/>
    </xf>
    <xf numFmtId="0" fontId="12" fillId="0" borderId="12" xfId="0" applyNumberFormat="1" applyFont="1" applyFill="1" applyBorder="1" applyAlignment="1">
      <alignment horizontal="center" vertical="top"/>
    </xf>
    <xf numFmtId="0" fontId="12" fillId="0" borderId="9" xfId="0" applyNumberFormat="1" applyFont="1" applyFill="1" applyBorder="1" applyAlignment="1">
      <alignment horizontal="center" vertical="top"/>
    </xf>
    <xf numFmtId="0" fontId="12" fillId="0" borderId="49" xfId="0" applyNumberFormat="1" applyFont="1" applyFill="1" applyBorder="1" applyAlignment="1">
      <alignment horizontal="center" vertical="top"/>
    </xf>
    <xf numFmtId="0" fontId="4" fillId="0" borderId="54" xfId="0" applyFont="1" applyBorder="1" applyAlignment="1">
      <alignment horizontal="center"/>
    </xf>
    <xf numFmtId="0" fontId="4" fillId="6" borderId="67" xfId="0" applyNumberFormat="1" applyFont="1" applyFill="1" applyBorder="1" applyAlignment="1">
      <alignment horizontal="center" vertical="top"/>
    </xf>
    <xf numFmtId="0" fontId="4" fillId="6" borderId="1" xfId="0" applyNumberFormat="1" applyFont="1" applyFill="1" applyBorder="1" applyAlignment="1">
      <alignment horizontal="center" vertical="top"/>
    </xf>
    <xf numFmtId="0" fontId="4" fillId="6" borderId="34" xfId="0" applyNumberFormat="1" applyFont="1" applyFill="1" applyBorder="1" applyAlignment="1">
      <alignment horizontal="center" vertical="top"/>
    </xf>
    <xf numFmtId="0" fontId="4" fillId="0" borderId="44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6" borderId="4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44" xfId="0" applyFont="1" applyBorder="1"/>
    <xf numFmtId="49" fontId="4" fillId="0" borderId="45" xfId="0" applyNumberFormat="1" applyFont="1" applyBorder="1" applyAlignment="1">
      <alignment vertical="top"/>
    </xf>
    <xf numFmtId="49" fontId="5" fillId="8" borderId="9" xfId="0" applyNumberFormat="1" applyFont="1" applyFill="1" applyBorder="1" applyAlignment="1">
      <alignment vertical="center" textRotation="90" wrapText="1"/>
    </xf>
    <xf numFmtId="49" fontId="4" fillId="8" borderId="58" xfId="0" applyNumberFormat="1" applyFont="1" applyFill="1" applyBorder="1" applyAlignment="1">
      <alignment vertical="top" wrapText="1"/>
    </xf>
    <xf numFmtId="49" fontId="5" fillId="8" borderId="30" xfId="0" applyNumberFormat="1" applyFont="1" applyFill="1" applyBorder="1" applyAlignment="1">
      <alignment vertical="top" wrapText="1"/>
    </xf>
    <xf numFmtId="49" fontId="4" fillId="8" borderId="30" xfId="0" applyNumberFormat="1" applyFont="1" applyFill="1" applyBorder="1" applyAlignment="1">
      <alignment vertical="top" wrapText="1"/>
    </xf>
    <xf numFmtId="0" fontId="4" fillId="8" borderId="30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vertical="top" wrapText="1"/>
    </xf>
    <xf numFmtId="164" fontId="4" fillId="8" borderId="58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top"/>
    </xf>
    <xf numFmtId="164" fontId="4" fillId="0" borderId="73" xfId="0" applyNumberFormat="1" applyFont="1" applyFill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164" fontId="4" fillId="0" borderId="24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left" vertical="top" wrapText="1"/>
    </xf>
    <xf numFmtId="0" fontId="5" fillId="8" borderId="48" xfId="0" applyFont="1" applyFill="1" applyBorder="1" applyAlignment="1">
      <alignment horizontal="left" vertical="top" wrapText="1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 textRotation="90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left" vertical="top" wrapText="1"/>
    </xf>
    <xf numFmtId="0" fontId="4" fillId="0" borderId="63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4" fillId="9" borderId="12" xfId="0" applyNumberFormat="1" applyFont="1" applyFill="1" applyBorder="1" applyAlignment="1">
      <alignment horizontal="center" vertical="top" wrapText="1"/>
    </xf>
    <xf numFmtId="164" fontId="4" fillId="9" borderId="68" xfId="0" applyNumberFormat="1" applyFont="1" applyFill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/>
    </xf>
    <xf numFmtId="0" fontId="4" fillId="0" borderId="54" xfId="0" applyFont="1" applyBorder="1" applyAlignment="1">
      <alignment horizontal="center" vertical="top"/>
    </xf>
    <xf numFmtId="0" fontId="4" fillId="0" borderId="69" xfId="0" applyFont="1" applyBorder="1"/>
    <xf numFmtId="164" fontId="2" fillId="0" borderId="18" xfId="0" applyNumberFormat="1" applyFont="1" applyBorder="1" applyAlignment="1">
      <alignment horizontal="center" vertical="top"/>
    </xf>
    <xf numFmtId="0" fontId="2" fillId="0" borderId="69" xfId="0" applyFont="1" applyBorder="1"/>
    <xf numFmtId="164" fontId="4" fillId="0" borderId="75" xfId="0" applyNumberFormat="1" applyFont="1" applyFill="1" applyBorder="1" applyAlignment="1">
      <alignment horizontal="center" vertical="top"/>
    </xf>
    <xf numFmtId="164" fontId="2" fillId="0" borderId="75" xfId="0" applyNumberFormat="1" applyFont="1" applyBorder="1" applyAlignment="1">
      <alignment horizontal="center" vertical="top"/>
    </xf>
    <xf numFmtId="0" fontId="4" fillId="9" borderId="38" xfId="0" applyFont="1" applyFill="1" applyBorder="1"/>
    <xf numFmtId="164" fontId="2" fillId="9" borderId="30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0" fontId="4" fillId="0" borderId="36" xfId="0" applyNumberFormat="1" applyFont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 wrapText="1"/>
    </xf>
    <xf numFmtId="49" fontId="5" fillId="8" borderId="23" xfId="0" applyNumberFormat="1" applyFont="1" applyFill="1" applyBorder="1" applyAlignment="1">
      <alignment horizontal="center" vertical="top"/>
    </xf>
    <xf numFmtId="0" fontId="5" fillId="8" borderId="23" xfId="0" applyFont="1" applyFill="1" applyBorder="1" applyAlignment="1">
      <alignment horizontal="right" vertical="top"/>
    </xf>
    <xf numFmtId="164" fontId="5" fillId="8" borderId="23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right"/>
    </xf>
    <xf numFmtId="164" fontId="4" fillId="5" borderId="76" xfId="0" applyNumberFormat="1" applyFont="1" applyFill="1" applyBorder="1" applyAlignment="1">
      <alignment horizontal="center" vertical="top" wrapText="1"/>
    </xf>
    <xf numFmtId="164" fontId="4" fillId="9" borderId="40" xfId="0" applyNumberFormat="1" applyFont="1" applyFill="1" applyBorder="1" applyAlignment="1">
      <alignment horizontal="center" vertical="top" wrapText="1"/>
    </xf>
    <xf numFmtId="164" fontId="4" fillId="9" borderId="30" xfId="0" applyNumberFormat="1" applyFont="1" applyFill="1" applyBorder="1" applyAlignment="1">
      <alignment horizontal="center" vertical="top" wrapText="1"/>
    </xf>
    <xf numFmtId="164" fontId="4" fillId="9" borderId="30" xfId="0" applyNumberFormat="1" applyFont="1" applyFill="1" applyBorder="1" applyAlignment="1">
      <alignment horizontal="center" vertical="top"/>
    </xf>
    <xf numFmtId="1" fontId="4" fillId="0" borderId="38" xfId="0" applyNumberFormat="1" applyFont="1" applyBorder="1" applyAlignment="1">
      <alignment horizontal="center" vertical="top" wrapText="1"/>
    </xf>
    <xf numFmtId="0" fontId="4" fillId="8" borderId="9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4" fillId="8" borderId="30" xfId="0" applyFont="1" applyFill="1" applyBorder="1" applyAlignment="1">
      <alignment horizontal="left" vertical="top" wrapText="1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left" vertical="top" wrapText="1"/>
    </xf>
    <xf numFmtId="164" fontId="4" fillId="0" borderId="40" xfId="0" applyNumberFormat="1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49" fontId="4" fillId="0" borderId="36" xfId="0" applyNumberFormat="1" applyFont="1" applyFill="1" applyBorder="1" applyAlignment="1">
      <alignment horizontal="center" vertical="top"/>
    </xf>
    <xf numFmtId="164" fontId="4" fillId="9" borderId="11" xfId="0" applyNumberFormat="1" applyFont="1" applyFill="1" applyBorder="1" applyAlignment="1">
      <alignment horizontal="center" vertical="top" wrapText="1"/>
    </xf>
    <xf numFmtId="164" fontId="4" fillId="5" borderId="13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 wrapText="1"/>
    </xf>
    <xf numFmtId="164" fontId="4" fillId="0" borderId="53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/>
    </xf>
    <xf numFmtId="49" fontId="4" fillId="0" borderId="68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5" borderId="73" xfId="0" applyNumberFormat="1" applyFont="1" applyFill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top"/>
    </xf>
    <xf numFmtId="164" fontId="4" fillId="0" borderId="0" xfId="0" applyNumberFormat="1" applyFont="1" applyBorder="1"/>
    <xf numFmtId="164" fontId="4" fillId="0" borderId="12" xfId="0" applyNumberFormat="1" applyFont="1" applyBorder="1"/>
    <xf numFmtId="0" fontId="4" fillId="9" borderId="16" xfId="0" applyFont="1" applyFill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1" fontId="4" fillId="0" borderId="26" xfId="0" applyNumberFormat="1" applyFont="1" applyFill="1" applyBorder="1" applyAlignment="1">
      <alignment horizontal="center" vertical="top"/>
    </xf>
    <xf numFmtId="0" fontId="4" fillId="8" borderId="12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left" vertical="top" wrapText="1" shrinkToFit="1"/>
    </xf>
    <xf numFmtId="164" fontId="5" fillId="5" borderId="9" xfId="0" applyNumberFormat="1" applyFont="1" applyFill="1" applyBorder="1" applyAlignment="1">
      <alignment horizontal="center" vertical="top"/>
    </xf>
    <xf numFmtId="164" fontId="5" fillId="5" borderId="58" xfId="0" applyNumberFormat="1" applyFont="1" applyFill="1" applyBorder="1" applyAlignment="1">
      <alignment horizontal="center" vertical="top"/>
    </xf>
    <xf numFmtId="164" fontId="5" fillId="5" borderId="30" xfId="0" applyNumberFormat="1" applyFont="1" applyFill="1" applyBorder="1" applyAlignment="1">
      <alignment horizontal="center" vertical="top"/>
    </xf>
    <xf numFmtId="164" fontId="4" fillId="0" borderId="9" xfId="0" applyNumberFormat="1" applyFont="1" applyBorder="1" applyAlignment="1">
      <alignment vertical="top"/>
    </xf>
    <xf numFmtId="0" fontId="4" fillId="5" borderId="0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vertical="center" textRotation="90" wrapText="1"/>
    </xf>
    <xf numFmtId="0" fontId="5" fillId="9" borderId="41" xfId="0" applyFont="1" applyFill="1" applyBorder="1" applyAlignment="1">
      <alignment horizontal="center" vertical="top"/>
    </xf>
    <xf numFmtId="164" fontId="4" fillId="0" borderId="68" xfId="0" applyNumberFormat="1" applyFont="1" applyFill="1" applyBorder="1" applyAlignment="1">
      <alignment horizontal="left" vertical="top" wrapText="1"/>
    </xf>
    <xf numFmtId="0" fontId="4" fillId="8" borderId="1" xfId="0" applyNumberFormat="1" applyFont="1" applyFill="1" applyBorder="1" applyAlignment="1">
      <alignment horizontal="center" vertical="top"/>
    </xf>
    <xf numFmtId="0" fontId="4" fillId="8" borderId="34" xfId="0" applyNumberFormat="1" applyFont="1" applyFill="1" applyBorder="1" applyAlignment="1">
      <alignment horizontal="center" vertical="top"/>
    </xf>
    <xf numFmtId="0" fontId="4" fillId="8" borderId="15" xfId="0" applyNumberFormat="1" applyFont="1" applyFill="1" applyBorder="1" applyAlignment="1">
      <alignment horizontal="center" vertical="top"/>
    </xf>
    <xf numFmtId="0" fontId="4" fillId="8" borderId="3" xfId="0" applyNumberFormat="1" applyFont="1" applyFill="1" applyBorder="1" applyAlignment="1">
      <alignment horizontal="center" vertical="top"/>
    </xf>
    <xf numFmtId="0" fontId="4" fillId="8" borderId="50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164" fontId="5" fillId="9" borderId="25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vertical="top" wrapText="1"/>
    </xf>
    <xf numFmtId="0" fontId="4" fillId="0" borderId="54" xfId="0" applyNumberFormat="1" applyFont="1" applyFill="1" applyBorder="1" applyAlignment="1">
      <alignment horizontal="center" vertical="top"/>
    </xf>
    <xf numFmtId="0" fontId="4" fillId="0" borderId="55" xfId="0" applyNumberFormat="1" applyFont="1" applyFill="1" applyBorder="1" applyAlignment="1">
      <alignment horizontal="center" vertical="top"/>
    </xf>
    <xf numFmtId="164" fontId="4" fillId="9" borderId="47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164" fontId="4" fillId="8" borderId="41" xfId="0" applyNumberFormat="1" applyFont="1" applyFill="1" applyBorder="1" applyAlignment="1">
      <alignment vertical="top" wrapText="1"/>
    </xf>
    <xf numFmtId="0" fontId="4" fillId="8" borderId="4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49" fontId="4" fillId="8" borderId="74" xfId="0" applyNumberFormat="1" applyFont="1" applyFill="1" applyBorder="1" applyAlignment="1">
      <alignment vertical="top"/>
    </xf>
    <xf numFmtId="49" fontId="4" fillId="8" borderId="72" xfId="0" applyNumberFormat="1" applyFont="1" applyFill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9" borderId="38" xfId="0" applyFont="1" applyFill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164" fontId="2" fillId="0" borderId="70" xfId="0" applyNumberFormat="1" applyFont="1" applyBorder="1" applyAlignment="1">
      <alignment horizontal="center" vertical="top"/>
    </xf>
    <xf numFmtId="0" fontId="2" fillId="8" borderId="18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8" borderId="58" xfId="0" applyFont="1" applyFill="1" applyBorder="1" applyAlignment="1">
      <alignment horizontal="center" vertical="top"/>
    </xf>
    <xf numFmtId="0" fontId="2" fillId="8" borderId="30" xfId="0" applyFont="1" applyFill="1" applyBorder="1" applyAlignment="1">
      <alignment horizontal="left" vertical="top" wrapText="1"/>
    </xf>
    <xf numFmtId="164" fontId="2" fillId="0" borderId="30" xfId="0" applyNumberFormat="1" applyFont="1" applyFill="1" applyBorder="1" applyAlignment="1">
      <alignment horizontal="left" vertical="top" wrapText="1"/>
    </xf>
    <xf numFmtId="0" fontId="5" fillId="8" borderId="13" xfId="0" applyFont="1" applyFill="1" applyBorder="1" applyAlignment="1">
      <alignment horizontal="left" vertical="top" wrapText="1"/>
    </xf>
    <xf numFmtId="0" fontId="2" fillId="9" borderId="38" xfId="0" applyFont="1" applyFill="1" applyBorder="1"/>
    <xf numFmtId="0" fontId="1" fillId="0" borderId="58" xfId="0" applyFont="1" applyFill="1" applyBorder="1" applyAlignment="1">
      <alignment vertical="center" textRotation="90" wrapText="1"/>
    </xf>
    <xf numFmtId="164" fontId="4" fillId="0" borderId="18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Border="1" applyAlignment="1">
      <alignment horizontal="center" vertical="top"/>
    </xf>
    <xf numFmtId="164" fontId="4" fillId="0" borderId="75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8" borderId="30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/>
    </xf>
    <xf numFmtId="0" fontId="4" fillId="0" borderId="63" xfId="0" applyNumberFormat="1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left" vertical="top" wrapText="1"/>
    </xf>
    <xf numFmtId="164" fontId="4" fillId="0" borderId="40" xfId="0" applyNumberFormat="1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8" borderId="9" xfId="0" applyFont="1" applyFill="1" applyBorder="1" applyAlignment="1">
      <alignment horizontal="center" vertical="top"/>
    </xf>
    <xf numFmtId="0" fontId="4" fillId="8" borderId="58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49" fontId="5" fillId="2" borderId="54" xfId="0" applyNumberFormat="1" applyFont="1" applyFill="1" applyBorder="1" applyAlignment="1">
      <alignment vertical="top"/>
    </xf>
    <xf numFmtId="49" fontId="5" fillId="3" borderId="49" xfId="0" applyNumberFormat="1" applyFont="1" applyFill="1" applyBorder="1" applyAlignment="1">
      <alignment vertical="top"/>
    </xf>
    <xf numFmtId="0" fontId="5" fillId="0" borderId="58" xfId="0" applyFont="1" applyFill="1" applyBorder="1" applyAlignment="1">
      <alignment vertical="top" textRotation="90" wrapText="1"/>
    </xf>
    <xf numFmtId="0" fontId="5" fillId="0" borderId="73" xfId="0" applyFont="1" applyFill="1" applyBorder="1" applyAlignment="1">
      <alignment vertical="top" textRotation="90" wrapText="1"/>
    </xf>
    <xf numFmtId="0" fontId="5" fillId="0" borderId="53" xfId="0" applyFont="1" applyBorder="1" applyAlignment="1">
      <alignment horizontal="center" vertical="top"/>
    </xf>
    <xf numFmtId="0" fontId="4" fillId="0" borderId="54" xfId="0" applyFont="1" applyBorder="1"/>
    <xf numFmtId="0" fontId="4" fillId="9" borderId="53" xfId="0" applyFont="1" applyFill="1" applyBorder="1"/>
    <xf numFmtId="0" fontId="4" fillId="0" borderId="71" xfId="0" applyFont="1" applyBorder="1"/>
    <xf numFmtId="0" fontId="2" fillId="8" borderId="53" xfId="0" applyFont="1" applyFill="1" applyBorder="1"/>
    <xf numFmtId="0" fontId="2" fillId="8" borderId="55" xfId="0" applyFont="1" applyFill="1" applyBorder="1" applyAlignment="1">
      <alignment horizontal="left" vertical="top" wrapText="1"/>
    </xf>
    <xf numFmtId="0" fontId="2" fillId="8" borderId="75" xfId="0" applyFont="1" applyFill="1" applyBorder="1" applyAlignment="1">
      <alignment horizontal="center" vertical="top"/>
    </xf>
    <xf numFmtId="0" fontId="2" fillId="8" borderId="49" xfId="0" applyFont="1" applyFill="1" applyBorder="1" applyAlignment="1">
      <alignment horizontal="center" vertical="top"/>
    </xf>
    <xf numFmtId="0" fontId="2" fillId="8" borderId="63" xfId="0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5" borderId="4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8" borderId="44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5" borderId="49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8" borderId="72" xfId="0" applyFont="1" applyFill="1" applyBorder="1" applyAlignment="1">
      <alignment horizontal="left" vertical="top" wrapText="1"/>
    </xf>
    <xf numFmtId="0" fontId="4" fillId="8" borderId="38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center" vertical="top"/>
    </xf>
    <xf numFmtId="0" fontId="4" fillId="8" borderId="57" xfId="0" applyFont="1" applyFill="1" applyBorder="1" applyAlignment="1">
      <alignment horizontal="center" vertical="top"/>
    </xf>
    <xf numFmtId="49" fontId="4" fillId="0" borderId="30" xfId="0" applyNumberFormat="1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63" xfId="0" applyNumberFormat="1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left" vertical="top" wrapText="1"/>
    </xf>
    <xf numFmtId="49" fontId="4" fillId="5" borderId="44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left" vertical="top" wrapText="1"/>
    </xf>
    <xf numFmtId="164" fontId="4" fillId="0" borderId="40" xfId="0" applyNumberFormat="1" applyFont="1" applyFill="1" applyBorder="1" applyAlignment="1">
      <alignment horizontal="left" vertical="top" wrapText="1"/>
    </xf>
    <xf numFmtId="49" fontId="4" fillId="0" borderId="53" xfId="0" applyNumberFormat="1" applyFont="1" applyBorder="1" applyAlignment="1">
      <alignment horizontal="center" vertical="top" wrapText="1"/>
    </xf>
    <xf numFmtId="0" fontId="4" fillId="8" borderId="58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vertical="center" textRotation="90" wrapText="1"/>
    </xf>
    <xf numFmtId="0" fontId="4" fillId="0" borderId="9" xfId="0" applyFont="1" applyFill="1" applyBorder="1" applyAlignment="1">
      <alignment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4" fillId="0" borderId="13" xfId="0" applyNumberFormat="1" applyFont="1" applyFill="1" applyBorder="1" applyAlignment="1">
      <alignment vertical="center" textRotation="90" wrapText="1"/>
    </xf>
    <xf numFmtId="49" fontId="4" fillId="0" borderId="9" xfId="0" applyNumberFormat="1" applyFont="1" applyFill="1" applyBorder="1" applyAlignment="1">
      <alignment vertical="center" textRotation="90" wrapText="1"/>
    </xf>
    <xf numFmtId="49" fontId="4" fillId="0" borderId="49" xfId="0" applyNumberFormat="1" applyFont="1" applyFill="1" applyBorder="1" applyAlignment="1">
      <alignment vertical="center" textRotation="90" wrapText="1"/>
    </xf>
    <xf numFmtId="49" fontId="4" fillId="8" borderId="9" xfId="0" applyNumberFormat="1" applyFont="1" applyFill="1" applyBorder="1" applyAlignment="1">
      <alignment vertical="center" textRotation="90" wrapText="1"/>
    </xf>
    <xf numFmtId="49" fontId="4" fillId="0" borderId="3" xfId="0" applyNumberFormat="1" applyFont="1" applyFill="1" applyBorder="1" applyAlignment="1">
      <alignment vertical="center" textRotation="90" wrapText="1"/>
    </xf>
    <xf numFmtId="0" fontId="4" fillId="5" borderId="13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center" textRotation="90" wrapText="1"/>
    </xf>
    <xf numFmtId="0" fontId="4" fillId="8" borderId="30" xfId="0" applyFont="1" applyFill="1" applyBorder="1" applyAlignment="1">
      <alignment horizontal="left" vertical="top" wrapText="1"/>
    </xf>
    <xf numFmtId="0" fontId="4" fillId="8" borderId="58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/>
    <xf numFmtId="164" fontId="4" fillId="0" borderId="0" xfId="0" applyNumberFormat="1" applyFont="1" applyFill="1" applyAlignment="1">
      <alignment vertical="top"/>
    </xf>
    <xf numFmtId="164" fontId="2" fillId="0" borderId="0" xfId="0" applyNumberFormat="1" applyFont="1" applyAlignment="1">
      <alignment vertical="top"/>
    </xf>
    <xf numFmtId="164" fontId="4" fillId="5" borderId="11" xfId="0" applyNumberFormat="1" applyFont="1" applyFill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4" fillId="9" borderId="11" xfId="0" applyNumberFormat="1" applyFont="1" applyFill="1" applyBorder="1" applyAlignment="1">
      <alignment horizontal="center" vertical="top"/>
    </xf>
    <xf numFmtId="3" fontId="4" fillId="5" borderId="38" xfId="0" applyNumberFormat="1" applyFont="1" applyFill="1" applyBorder="1" applyAlignment="1">
      <alignment horizontal="center" vertical="top"/>
    </xf>
    <xf numFmtId="3" fontId="4" fillId="5" borderId="23" xfId="0" applyNumberFormat="1" applyFont="1" applyFill="1" applyBorder="1" applyAlignment="1">
      <alignment horizontal="center" vertical="top"/>
    </xf>
    <xf numFmtId="3" fontId="4" fillId="9" borderId="12" xfId="0" applyNumberFormat="1" applyFont="1" applyFill="1" applyBorder="1" applyAlignment="1">
      <alignment horizontal="center" vertical="top"/>
    </xf>
    <xf numFmtId="3" fontId="4" fillId="0" borderId="30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4" fillId="5" borderId="30" xfId="0" applyNumberFormat="1" applyFont="1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/>
    </xf>
    <xf numFmtId="3" fontId="4" fillId="9" borderId="54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71" xfId="0" applyNumberFormat="1" applyFont="1" applyFill="1" applyBorder="1" applyAlignment="1">
      <alignment horizontal="center" vertical="top"/>
    </xf>
    <xf numFmtId="3" fontId="5" fillId="9" borderId="67" xfId="0" applyNumberFormat="1" applyFont="1" applyFill="1" applyBorder="1" applyAlignment="1">
      <alignment horizontal="center" vertical="top" wrapText="1"/>
    </xf>
    <xf numFmtId="3" fontId="5" fillId="9" borderId="52" xfId="0" applyNumberFormat="1" applyFont="1" applyFill="1" applyBorder="1" applyAlignment="1">
      <alignment horizontal="center" vertical="top"/>
    </xf>
    <xf numFmtId="3" fontId="5" fillId="9" borderId="41" xfId="0" applyNumberFormat="1" applyFont="1" applyFill="1" applyBorder="1" applyAlignment="1">
      <alignment horizontal="center" vertical="top"/>
    </xf>
    <xf numFmtId="3" fontId="5" fillId="9" borderId="4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 wrapText="1"/>
    </xf>
    <xf numFmtId="3" fontId="4" fillId="5" borderId="26" xfId="0" applyNumberFormat="1" applyFont="1" applyFill="1" applyBorder="1" applyAlignment="1">
      <alignment horizontal="center" vertical="top" wrapText="1"/>
    </xf>
    <xf numFmtId="3" fontId="4" fillId="9" borderId="40" xfId="0" applyNumberFormat="1" applyFont="1" applyFill="1" applyBorder="1" applyAlignment="1">
      <alignment horizontal="center" vertical="top" wrapText="1"/>
    </xf>
    <xf numFmtId="3" fontId="4" fillId="5" borderId="29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40" xfId="0" applyNumberFormat="1" applyFont="1" applyFill="1" applyBorder="1" applyAlignment="1">
      <alignment horizontal="center" vertical="top" wrapText="1"/>
    </xf>
    <xf numFmtId="3" fontId="4" fillId="9" borderId="30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center" vertical="top" wrapText="1"/>
    </xf>
    <xf numFmtId="3" fontId="4" fillId="5" borderId="30" xfId="0" applyNumberFormat="1" applyFont="1" applyFill="1" applyBorder="1" applyAlignment="1">
      <alignment horizontal="center" vertical="top" wrapText="1"/>
    </xf>
    <xf numFmtId="3" fontId="4" fillId="9" borderId="30" xfId="0" applyNumberFormat="1" applyFont="1" applyFill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top"/>
    </xf>
    <xf numFmtId="3" fontId="5" fillId="9" borderId="41" xfId="0" applyNumberFormat="1" applyFont="1" applyFill="1" applyBorder="1" applyAlignment="1">
      <alignment horizontal="center" vertical="top" wrapText="1"/>
    </xf>
    <xf numFmtId="3" fontId="5" fillId="3" borderId="7" xfId="0" applyNumberFormat="1" applyFont="1" applyFill="1" applyBorder="1" applyAlignment="1">
      <alignment horizontal="center" vertical="top"/>
    </xf>
    <xf numFmtId="3" fontId="5" fillId="3" borderId="6" xfId="0" applyNumberFormat="1" applyFont="1" applyFill="1" applyBorder="1" applyAlignment="1">
      <alignment horizontal="center" vertical="top"/>
    </xf>
    <xf numFmtId="3" fontId="4" fillId="9" borderId="11" xfId="1" applyNumberFormat="1" applyFont="1" applyFill="1" applyBorder="1" applyAlignment="1">
      <alignment horizontal="center" vertical="top" wrapText="1"/>
    </xf>
    <xf numFmtId="3" fontId="4" fillId="5" borderId="38" xfId="0" applyNumberFormat="1" applyFont="1" applyFill="1" applyBorder="1" applyAlignment="1">
      <alignment horizontal="center" vertical="top" wrapText="1"/>
    </xf>
    <xf numFmtId="3" fontId="4" fillId="9" borderId="29" xfId="0" applyNumberFormat="1" applyFont="1" applyFill="1" applyBorder="1" applyAlignment="1">
      <alignment horizontal="center" vertical="top"/>
    </xf>
    <xf numFmtId="3" fontId="4" fillId="5" borderId="31" xfId="0" applyNumberFormat="1" applyFont="1" applyFill="1" applyBorder="1" applyAlignment="1">
      <alignment horizontal="center" vertical="top" wrapText="1"/>
    </xf>
    <xf numFmtId="3" fontId="4" fillId="9" borderId="12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horizontal="center" vertical="top"/>
    </xf>
    <xf numFmtId="3" fontId="5" fillId="5" borderId="30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 wrapText="1"/>
    </xf>
    <xf numFmtId="3" fontId="5" fillId="9" borderId="67" xfId="0" applyNumberFormat="1" applyFont="1" applyFill="1" applyBorder="1" applyAlignment="1">
      <alignment horizontal="center" vertical="top"/>
    </xf>
    <xf numFmtId="3" fontId="5" fillId="9" borderId="68" xfId="0" applyNumberFormat="1" applyFont="1" applyFill="1" applyBorder="1" applyAlignment="1">
      <alignment horizontal="center" vertical="top" wrapText="1"/>
    </xf>
    <xf numFmtId="3" fontId="5" fillId="9" borderId="40" xfId="0" applyNumberFormat="1" applyFont="1" applyFill="1" applyBorder="1" applyAlignment="1">
      <alignment horizontal="center" vertical="top"/>
    </xf>
    <xf numFmtId="3" fontId="5" fillId="9" borderId="4" xfId="0" applyNumberFormat="1" applyFont="1" applyFill="1" applyBorder="1" applyAlignment="1">
      <alignment horizontal="center" vertical="top" wrapText="1"/>
    </xf>
    <xf numFmtId="3" fontId="4" fillId="5" borderId="31" xfId="0" applyNumberFormat="1" applyFont="1" applyFill="1" applyBorder="1" applyAlignment="1">
      <alignment horizontal="center" vertical="top"/>
    </xf>
    <xf numFmtId="3" fontId="4" fillId="5" borderId="32" xfId="0" applyNumberFormat="1" applyFont="1" applyFill="1" applyBorder="1" applyAlignment="1">
      <alignment horizontal="center" vertical="top"/>
    </xf>
    <xf numFmtId="3" fontId="5" fillId="9" borderId="29" xfId="0" applyNumberFormat="1" applyFont="1" applyFill="1" applyBorder="1" applyAlignment="1">
      <alignment horizontal="center" vertical="top" wrapText="1"/>
    </xf>
    <xf numFmtId="3" fontId="5" fillId="9" borderId="26" xfId="0" applyNumberFormat="1" applyFont="1" applyFill="1" applyBorder="1" applyAlignment="1">
      <alignment horizontal="center" vertical="top"/>
    </xf>
    <xf numFmtId="3" fontId="5" fillId="9" borderId="31" xfId="0" applyNumberFormat="1" applyFont="1" applyFill="1" applyBorder="1" applyAlignment="1">
      <alignment horizontal="center" vertical="top"/>
    </xf>
    <xf numFmtId="3" fontId="4" fillId="9" borderId="68" xfId="0" applyNumberFormat="1" applyFont="1" applyFill="1" applyBorder="1" applyAlignment="1">
      <alignment horizontal="center" vertical="top" wrapText="1"/>
    </xf>
    <xf numFmtId="3" fontId="4" fillId="9" borderId="68" xfId="0" applyNumberFormat="1" applyFont="1" applyFill="1" applyBorder="1" applyAlignment="1">
      <alignment horizontal="center" vertical="top"/>
    </xf>
    <xf numFmtId="3" fontId="4" fillId="8" borderId="64" xfId="0" applyNumberFormat="1" applyFont="1" applyFill="1" applyBorder="1" applyAlignment="1">
      <alignment horizontal="center" vertical="top"/>
    </xf>
    <xf numFmtId="3" fontId="5" fillId="8" borderId="40" xfId="0" applyNumberFormat="1" applyFont="1" applyFill="1" applyBorder="1" applyAlignment="1">
      <alignment horizontal="center" vertical="top"/>
    </xf>
    <xf numFmtId="3" fontId="5" fillId="8" borderId="64" xfId="0" applyNumberFormat="1" applyFont="1" applyFill="1" applyBorder="1" applyAlignment="1">
      <alignment horizontal="center" vertical="top"/>
    </xf>
    <xf numFmtId="3" fontId="4" fillId="8" borderId="40" xfId="0" applyNumberFormat="1" applyFont="1" applyFill="1" applyBorder="1" applyAlignment="1">
      <alignment horizontal="center" vertical="top"/>
    </xf>
    <xf numFmtId="3" fontId="5" fillId="9" borderId="6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36" xfId="0" applyNumberFormat="1" applyFont="1" applyFill="1" applyBorder="1" applyAlignment="1">
      <alignment horizontal="center" vertical="top"/>
    </xf>
    <xf numFmtId="3" fontId="4" fillId="9" borderId="29" xfId="0" applyNumberFormat="1" applyFont="1" applyFill="1" applyBorder="1" applyAlignment="1">
      <alignment horizontal="center" vertical="top" wrapText="1"/>
    </xf>
    <xf numFmtId="3" fontId="4" fillId="9" borderId="0" xfId="0" applyNumberFormat="1" applyFont="1" applyFill="1" applyBorder="1" applyAlignment="1">
      <alignment horizontal="center" vertical="top"/>
    </xf>
    <xf numFmtId="3" fontId="2" fillId="5" borderId="30" xfId="0" applyNumberFormat="1" applyFont="1" applyFill="1" applyBorder="1" applyAlignment="1">
      <alignment horizontal="center" vertical="top" wrapText="1"/>
    </xf>
    <xf numFmtId="3" fontId="2" fillId="8" borderId="30" xfId="0" applyNumberFormat="1" applyFont="1" applyFill="1" applyBorder="1" applyAlignment="1">
      <alignment horizontal="center" vertical="top" wrapText="1"/>
    </xf>
    <xf numFmtId="3" fontId="4" fillId="9" borderId="54" xfId="0" applyNumberFormat="1" applyFont="1" applyFill="1" applyBorder="1" applyAlignment="1">
      <alignment horizontal="center"/>
    </xf>
    <xf numFmtId="3" fontId="2" fillId="8" borderId="53" xfId="0" applyNumberFormat="1" applyFont="1" applyFill="1" applyBorder="1"/>
    <xf numFmtId="3" fontId="2" fillId="5" borderId="53" xfId="0" applyNumberFormat="1" applyFont="1" applyFill="1" applyBorder="1" applyAlignment="1">
      <alignment horizontal="center" vertical="top" wrapText="1"/>
    </xf>
    <xf numFmtId="3" fontId="1" fillId="9" borderId="41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horizontal="center" vertical="top"/>
    </xf>
    <xf numFmtId="3" fontId="4" fillId="8" borderId="30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 wrapText="1"/>
    </xf>
    <xf numFmtId="3" fontId="4" fillId="0" borderId="53" xfId="0" applyNumberFormat="1" applyFont="1" applyBorder="1" applyAlignment="1">
      <alignment horizontal="center" vertical="top"/>
    </xf>
    <xf numFmtId="3" fontId="5" fillId="3" borderId="74" xfId="0" applyNumberFormat="1" applyFont="1" applyFill="1" applyBorder="1" applyAlignment="1">
      <alignment horizontal="center" vertical="top"/>
    </xf>
    <xf numFmtId="3" fontId="5" fillId="3" borderId="15" xfId="0" applyNumberFormat="1" applyFont="1" applyFill="1" applyBorder="1" applyAlignment="1">
      <alignment horizontal="center" vertical="top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8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/>
    </xf>
    <xf numFmtId="3" fontId="5" fillId="4" borderId="14" xfId="0" applyNumberFormat="1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3" fontId="5" fillId="8" borderId="2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top" wrapText="1"/>
    </xf>
    <xf numFmtId="3" fontId="5" fillId="4" borderId="26" xfId="0" applyNumberFormat="1" applyFont="1" applyFill="1" applyBorder="1" applyAlignment="1">
      <alignment horizontal="center" vertical="top"/>
    </xf>
    <xf numFmtId="3" fontId="5" fillId="4" borderId="31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/>
    </xf>
    <xf numFmtId="3" fontId="4" fillId="0" borderId="31" xfId="0" applyNumberFormat="1" applyFont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Fill="1" applyBorder="1" applyAlignment="1">
      <alignment horizontal="center" vertical="top" wrapText="1"/>
    </xf>
    <xf numFmtId="3" fontId="4" fillId="0" borderId="32" xfId="0" applyNumberFormat="1" applyFont="1" applyFill="1" applyBorder="1" applyAlignment="1">
      <alignment horizontal="center" vertical="top" wrapText="1"/>
    </xf>
    <xf numFmtId="3" fontId="5" fillId="4" borderId="31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/>
    </xf>
    <xf numFmtId="3" fontId="4" fillId="5" borderId="11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/>
    </xf>
    <xf numFmtId="3" fontId="5" fillId="5" borderId="1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5" borderId="43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vertical="top" wrapText="1"/>
    </xf>
    <xf numFmtId="164" fontId="4" fillId="0" borderId="61" xfId="0" applyNumberFormat="1" applyFont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 wrapText="1"/>
    </xf>
    <xf numFmtId="0" fontId="12" fillId="5" borderId="52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2" fillId="5" borderId="34" xfId="0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right"/>
    </xf>
    <xf numFmtId="0" fontId="4" fillId="5" borderId="30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0" borderId="23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0" fontId="5" fillId="9" borderId="52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right" vertical="top"/>
    </xf>
    <xf numFmtId="0" fontId="5" fillId="9" borderId="51" xfId="0" applyFont="1" applyFill="1" applyBorder="1" applyAlignment="1">
      <alignment horizontal="right" vertical="top"/>
    </xf>
    <xf numFmtId="0" fontId="5" fillId="3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7" borderId="47" xfId="0" applyNumberFormat="1" applyFont="1" applyFill="1" applyBorder="1" applyAlignment="1">
      <alignment horizontal="left" vertical="top" wrapText="1"/>
    </xf>
    <xf numFmtId="49" fontId="5" fillId="7" borderId="33" xfId="0" applyNumberFormat="1" applyFont="1" applyFill="1" applyBorder="1" applyAlignment="1">
      <alignment horizontal="left" vertical="top" wrapText="1"/>
    </xf>
    <xf numFmtId="49" fontId="5" fillId="7" borderId="46" xfId="0" applyNumberFormat="1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73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 textRotation="90" wrapText="1"/>
    </xf>
    <xf numFmtId="0" fontId="14" fillId="0" borderId="3" xfId="0" applyFont="1" applyFill="1" applyBorder="1" applyAlignment="1">
      <alignment horizontal="center" vertical="top" textRotation="90" wrapText="1"/>
    </xf>
    <xf numFmtId="0" fontId="4" fillId="5" borderId="3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4" fillId="0" borderId="74" xfId="0" applyNumberFormat="1" applyFont="1" applyBorder="1" applyAlignment="1">
      <alignment horizontal="right" vertical="top"/>
    </xf>
    <xf numFmtId="3" fontId="4" fillId="0" borderId="38" xfId="0" applyNumberFormat="1" applyFont="1" applyBorder="1" applyAlignment="1">
      <alignment horizontal="center" vertical="center" textRotation="90" wrapText="1"/>
    </xf>
    <xf numFmtId="3" fontId="4" fillId="0" borderId="30" xfId="0" applyNumberFormat="1" applyFont="1" applyBorder="1" applyAlignment="1">
      <alignment horizontal="center" vertical="center" textRotation="90" wrapText="1"/>
    </xf>
    <xf numFmtId="3" fontId="4" fillId="0" borderId="72" xfId="0" applyNumberFormat="1" applyFont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top" textRotation="90" wrapText="1"/>
    </xf>
    <xf numFmtId="0" fontId="5" fillId="0" borderId="58" xfId="0" applyFont="1" applyFill="1" applyBorder="1" applyAlignment="1">
      <alignment horizontal="center" vertical="top" textRotation="90" wrapText="1"/>
    </xf>
    <xf numFmtId="0" fontId="4" fillId="8" borderId="13" xfId="0" applyFont="1" applyFill="1" applyBorder="1" applyAlignment="1">
      <alignment horizontal="left" vertical="top" wrapText="1"/>
    </xf>
    <xf numFmtId="0" fontId="11" fillId="0" borderId="44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center" vertical="top" textRotation="90" wrapText="1"/>
    </xf>
    <xf numFmtId="0" fontId="5" fillId="5" borderId="58" xfId="0" applyFont="1" applyFill="1" applyBorder="1" applyAlignment="1">
      <alignment horizontal="center" vertical="top" textRotation="90" wrapText="1"/>
    </xf>
    <xf numFmtId="0" fontId="4" fillId="8" borderId="30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center" vertical="center" textRotation="90" wrapText="1"/>
    </xf>
    <xf numFmtId="0" fontId="4" fillId="8" borderId="9" xfId="0" applyFont="1" applyFill="1" applyBorder="1" applyAlignment="1">
      <alignment horizontal="center" vertical="top"/>
    </xf>
    <xf numFmtId="49" fontId="4" fillId="0" borderId="30" xfId="0" applyNumberFormat="1" applyFont="1" applyBorder="1" applyAlignment="1">
      <alignment horizontal="center" vertical="top"/>
    </xf>
    <xf numFmtId="0" fontId="4" fillId="8" borderId="58" xfId="0" applyFont="1" applyFill="1" applyBorder="1" applyAlignment="1">
      <alignment horizontal="center" vertical="top"/>
    </xf>
    <xf numFmtId="0" fontId="4" fillId="8" borderId="49" xfId="0" applyFont="1" applyFill="1" applyBorder="1" applyAlignment="1">
      <alignment horizontal="left" vertical="top" wrapText="1"/>
    </xf>
    <xf numFmtId="0" fontId="4" fillId="8" borderId="16" xfId="0" applyFont="1" applyFill="1" applyBorder="1" applyAlignment="1">
      <alignment horizontal="center" vertical="top"/>
    </xf>
    <xf numFmtId="0" fontId="5" fillId="0" borderId="63" xfId="0" applyFont="1" applyFill="1" applyBorder="1" applyAlignment="1">
      <alignment horizontal="center" vertical="center" textRotation="90" wrapText="1"/>
    </xf>
    <xf numFmtId="0" fontId="4" fillId="0" borderId="68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54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14" fillId="9" borderId="66" xfId="0" applyFont="1" applyFill="1" applyBorder="1" applyAlignment="1">
      <alignment horizontal="right" vertical="top" wrapText="1"/>
    </xf>
    <xf numFmtId="0" fontId="14" fillId="9" borderId="4" xfId="0" applyFont="1" applyFill="1" applyBorder="1" applyAlignment="1">
      <alignment horizontal="right" vertical="top" wrapText="1"/>
    </xf>
    <xf numFmtId="0" fontId="14" fillId="9" borderId="34" xfId="0" applyFont="1" applyFill="1" applyBorder="1" applyAlignment="1">
      <alignment horizontal="right" vertical="top" wrapText="1"/>
    </xf>
    <xf numFmtId="0" fontId="4" fillId="8" borderId="60" xfId="0" applyFont="1" applyFill="1" applyBorder="1" applyAlignment="1">
      <alignment horizontal="left" vertical="top" wrapText="1"/>
    </xf>
    <xf numFmtId="0" fontId="4" fillId="8" borderId="22" xfId="0" applyFont="1" applyFill="1" applyBorder="1" applyAlignment="1">
      <alignment horizontal="left" vertical="top" wrapText="1"/>
    </xf>
    <xf numFmtId="0" fontId="4" fillId="8" borderId="20" xfId="0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right" vertical="top"/>
    </xf>
    <xf numFmtId="0" fontId="2" fillId="8" borderId="9" xfId="0" applyFont="1" applyFill="1" applyBorder="1" applyAlignment="1">
      <alignment horizontal="left" vertical="top" wrapText="1"/>
    </xf>
    <xf numFmtId="0" fontId="2" fillId="8" borderId="49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top" textRotation="90" wrapText="1"/>
    </xf>
    <xf numFmtId="0" fontId="5" fillId="9" borderId="67" xfId="0" applyFont="1" applyFill="1" applyBorder="1" applyAlignment="1">
      <alignment horizontal="right" vertical="top"/>
    </xf>
    <xf numFmtId="0" fontId="5" fillId="9" borderId="4" xfId="0" applyFont="1" applyFill="1" applyBorder="1" applyAlignment="1">
      <alignment horizontal="right" vertical="top"/>
    </xf>
    <xf numFmtId="0" fontId="5" fillId="9" borderId="34" xfId="0" applyFont="1" applyFill="1" applyBorder="1" applyAlignment="1">
      <alignment horizontal="right" vertical="top"/>
    </xf>
    <xf numFmtId="0" fontId="5" fillId="4" borderId="29" xfId="0" applyFont="1" applyFill="1" applyBorder="1" applyAlignment="1">
      <alignment horizontal="left" vertical="top"/>
    </xf>
    <xf numFmtId="0" fontId="5" fillId="4" borderId="26" xfId="0" applyFont="1" applyFill="1" applyBorder="1" applyAlignment="1">
      <alignment horizontal="left" vertical="top"/>
    </xf>
    <xf numFmtId="0" fontId="5" fillId="4" borderId="32" xfId="0" applyFont="1" applyFill="1" applyBorder="1" applyAlignment="1">
      <alignment horizontal="left" vertical="top"/>
    </xf>
    <xf numFmtId="49" fontId="5" fillId="0" borderId="74" xfId="0" applyNumberFormat="1" applyFont="1" applyFill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right" vertical="top"/>
    </xf>
    <xf numFmtId="0" fontId="5" fillId="4" borderId="10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8" borderId="40" xfId="0" applyFont="1" applyFill="1" applyBorder="1" applyAlignment="1">
      <alignment horizontal="left" vertical="top" wrapText="1"/>
    </xf>
    <xf numFmtId="0" fontId="4" fillId="8" borderId="7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0" fontId="4" fillId="8" borderId="38" xfId="0" applyFont="1" applyFill="1" applyBorder="1" applyAlignment="1">
      <alignment horizontal="left" vertical="top" wrapText="1"/>
    </xf>
    <xf numFmtId="0" fontId="4" fillId="8" borderId="53" xfId="0" applyFont="1" applyFill="1" applyBorder="1" applyAlignment="1">
      <alignment horizontal="left" vertical="top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8" borderId="21" xfId="0" applyFont="1" applyFill="1" applyBorder="1" applyAlignment="1">
      <alignment horizontal="center" vertical="top"/>
    </xf>
    <xf numFmtId="0" fontId="4" fillId="8" borderId="62" xfId="0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center" vertical="top"/>
    </xf>
    <xf numFmtId="0" fontId="4" fillId="8" borderId="49" xfId="0" applyFont="1" applyFill="1" applyBorder="1" applyAlignment="1">
      <alignment horizontal="center" vertical="top"/>
    </xf>
    <xf numFmtId="0" fontId="4" fillId="8" borderId="57" xfId="0" applyFont="1" applyFill="1" applyBorder="1" applyAlignment="1">
      <alignment horizontal="center" vertical="top"/>
    </xf>
    <xf numFmtId="0" fontId="4" fillId="8" borderId="63" xfId="0" applyFont="1" applyFill="1" applyBorder="1" applyAlignment="1">
      <alignment horizontal="center" vertical="top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4" fillId="5" borderId="40" xfId="1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/>
    </xf>
    <xf numFmtId="0" fontId="4" fillId="0" borderId="45" xfId="0" applyNumberFormat="1" applyFont="1" applyFill="1" applyBorder="1" applyAlignment="1">
      <alignment horizontal="center" vertical="top"/>
    </xf>
    <xf numFmtId="0" fontId="4" fillId="0" borderId="63" xfId="0" applyNumberFormat="1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/>
    </xf>
    <xf numFmtId="0" fontId="4" fillId="5" borderId="0" xfId="0" applyNumberFormat="1" applyFont="1" applyFill="1" applyBorder="1" applyAlignment="1">
      <alignment horizontal="left" vertical="top" wrapText="1"/>
    </xf>
    <xf numFmtId="0" fontId="5" fillId="0" borderId="47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8" borderId="44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center" vertical="top" textRotation="90" wrapText="1"/>
    </xf>
    <xf numFmtId="0" fontId="4" fillId="0" borderId="9" xfId="0" applyFont="1" applyFill="1" applyBorder="1" applyAlignment="1">
      <alignment horizontal="center" vertical="top" textRotation="90" wrapText="1"/>
    </xf>
    <xf numFmtId="164" fontId="4" fillId="0" borderId="40" xfId="0" applyNumberFormat="1" applyFont="1" applyFill="1" applyBorder="1" applyAlignment="1">
      <alignment horizontal="left" vertical="top" wrapText="1"/>
    </xf>
    <xf numFmtId="49" fontId="4" fillId="0" borderId="53" xfId="0" applyNumberFormat="1" applyFont="1" applyBorder="1" applyAlignment="1">
      <alignment horizontal="center" vertical="top" wrapText="1"/>
    </xf>
    <xf numFmtId="0" fontId="4" fillId="0" borderId="43" xfId="0" applyNumberFormat="1" applyFont="1" applyFill="1" applyBorder="1" applyAlignment="1">
      <alignment horizontal="center" vertical="top"/>
    </xf>
    <xf numFmtId="0" fontId="4" fillId="0" borderId="62" xfId="0" applyNumberFormat="1" applyFont="1" applyFill="1" applyBorder="1" applyAlignment="1">
      <alignment horizontal="center" vertical="top"/>
    </xf>
    <xf numFmtId="49" fontId="4" fillId="5" borderId="44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4" fillId="0" borderId="23" xfId="0" applyNumberFormat="1" applyFont="1" applyBorder="1" applyAlignment="1">
      <alignment vertical="top" wrapText="1"/>
    </xf>
    <xf numFmtId="0" fontId="4" fillId="0" borderId="38" xfId="0" applyNumberFormat="1" applyFont="1" applyBorder="1" applyAlignment="1">
      <alignment horizontal="center" vertical="top" wrapText="1"/>
    </xf>
    <xf numFmtId="0" fontId="4" fillId="0" borderId="30" xfId="0" applyNumberFormat="1" applyFont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49" fontId="4" fillId="0" borderId="40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164" fontId="4" fillId="0" borderId="21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57" xfId="0" applyNumberFormat="1" applyFont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4"/>
  <sheetViews>
    <sheetView zoomScaleNormal="100" zoomScaleSheetLayoutView="100" zoomScalePageLayoutView="51" workbookViewId="0">
      <selection sqref="A1:Z1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620" t="s">
        <v>173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</row>
    <row r="2" spans="1:30" s="11" customFormat="1" ht="21" customHeight="1" x14ac:dyDescent="0.2">
      <c r="A2" s="1630" t="s">
        <v>69</v>
      </c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  <c r="Q2" s="1631"/>
      <c r="R2" s="1631"/>
      <c r="S2" s="1631"/>
      <c r="T2" s="1631"/>
      <c r="U2" s="1631"/>
      <c r="V2" s="1631"/>
      <c r="W2" s="1631"/>
      <c r="X2" s="1631"/>
      <c r="Y2" s="1631"/>
      <c r="Z2" s="1631"/>
    </row>
    <row r="3" spans="1:30" s="11" customFormat="1" ht="15" customHeight="1" x14ac:dyDescent="0.2">
      <c r="A3" s="1620" t="s">
        <v>175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R3" s="1638"/>
      <c r="S3" s="1638"/>
      <c r="T3" s="1638"/>
      <c r="U3" s="1638"/>
      <c r="V3" s="1638"/>
      <c r="W3" s="1638"/>
      <c r="X3" s="1638"/>
      <c r="Y3" s="1638"/>
      <c r="Z3" s="1638"/>
    </row>
    <row r="4" spans="1:30" s="11" customFormat="1" ht="14.25" customHeight="1" thickBot="1" x14ac:dyDescent="0.25">
      <c r="A4" s="8"/>
      <c r="B4" s="8"/>
      <c r="C4" s="8"/>
      <c r="D4" s="8"/>
      <c r="E4" s="467"/>
      <c r="F4" s="467"/>
      <c r="G4" s="42"/>
      <c r="H4" s="49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624" t="s">
        <v>0</v>
      </c>
      <c r="Z4" s="1624"/>
    </row>
    <row r="5" spans="1:30" s="11" customFormat="1" ht="21.75" customHeight="1" thickBot="1" x14ac:dyDescent="0.25">
      <c r="A5" s="1632" t="s">
        <v>1</v>
      </c>
      <c r="B5" s="1635" t="s">
        <v>2</v>
      </c>
      <c r="C5" s="1635" t="s">
        <v>3</v>
      </c>
      <c r="D5" s="1501" t="s">
        <v>25</v>
      </c>
      <c r="E5" s="1639" t="s">
        <v>4</v>
      </c>
      <c r="F5" s="1504" t="s">
        <v>174</v>
      </c>
      <c r="G5" s="1642" t="s">
        <v>5</v>
      </c>
      <c r="H5" s="1492" t="s">
        <v>6</v>
      </c>
      <c r="I5" s="1496" t="s">
        <v>74</v>
      </c>
      <c r="J5" s="1497"/>
      <c r="K5" s="1497"/>
      <c r="L5" s="1498"/>
      <c r="M5" s="1496" t="s">
        <v>75</v>
      </c>
      <c r="N5" s="1497"/>
      <c r="O5" s="1497"/>
      <c r="P5" s="1498"/>
      <c r="Q5" s="1496" t="s">
        <v>76</v>
      </c>
      <c r="R5" s="1497"/>
      <c r="S5" s="1497"/>
      <c r="T5" s="1498"/>
      <c r="U5" s="1457" t="s">
        <v>51</v>
      </c>
      <c r="V5" s="1457" t="s">
        <v>77</v>
      </c>
      <c r="W5" s="1509" t="s">
        <v>176</v>
      </c>
      <c r="X5" s="1510"/>
      <c r="Y5" s="1510"/>
      <c r="Z5" s="1511"/>
    </row>
    <row r="6" spans="1:30" s="11" customFormat="1" ht="15" customHeight="1" x14ac:dyDescent="0.2">
      <c r="A6" s="1633"/>
      <c r="B6" s="1636"/>
      <c r="C6" s="1636"/>
      <c r="D6" s="1502"/>
      <c r="E6" s="1640"/>
      <c r="F6" s="1505"/>
      <c r="G6" s="1643"/>
      <c r="H6" s="1493"/>
      <c r="I6" s="1499" t="s">
        <v>7</v>
      </c>
      <c r="J6" s="1495" t="s">
        <v>8</v>
      </c>
      <c r="K6" s="1495"/>
      <c r="L6" s="1507" t="s">
        <v>26</v>
      </c>
      <c r="M6" s="1499" t="s">
        <v>7</v>
      </c>
      <c r="N6" s="1495" t="s">
        <v>8</v>
      </c>
      <c r="O6" s="1495"/>
      <c r="P6" s="1507" t="s">
        <v>26</v>
      </c>
      <c r="Q6" s="1499" t="s">
        <v>7</v>
      </c>
      <c r="R6" s="1495" t="s">
        <v>8</v>
      </c>
      <c r="S6" s="1495"/>
      <c r="T6" s="1507" t="s">
        <v>26</v>
      </c>
      <c r="U6" s="1458"/>
      <c r="V6" s="1458"/>
      <c r="W6" s="1649" t="s">
        <v>25</v>
      </c>
      <c r="X6" s="1460" t="s">
        <v>54</v>
      </c>
      <c r="Y6" s="1461"/>
      <c r="Z6" s="1462"/>
    </row>
    <row r="7" spans="1:30" s="11" customFormat="1" ht="117.75" customHeight="1" thickBot="1" x14ac:dyDescent="0.25">
      <c r="A7" s="1634"/>
      <c r="B7" s="1637"/>
      <c r="C7" s="1637"/>
      <c r="D7" s="1503"/>
      <c r="E7" s="1641"/>
      <c r="F7" s="1506"/>
      <c r="G7" s="1644"/>
      <c r="H7" s="1494"/>
      <c r="I7" s="1500"/>
      <c r="J7" s="470" t="s">
        <v>7</v>
      </c>
      <c r="K7" s="12" t="s">
        <v>27</v>
      </c>
      <c r="L7" s="1508"/>
      <c r="M7" s="1500"/>
      <c r="N7" s="470" t="s">
        <v>7</v>
      </c>
      <c r="O7" s="12" t="s">
        <v>27</v>
      </c>
      <c r="P7" s="1508"/>
      <c r="Q7" s="1500"/>
      <c r="R7" s="470" t="s">
        <v>7</v>
      </c>
      <c r="S7" s="12" t="s">
        <v>27</v>
      </c>
      <c r="T7" s="1508"/>
      <c r="U7" s="1459"/>
      <c r="V7" s="1459"/>
      <c r="W7" s="1650"/>
      <c r="X7" s="85" t="s">
        <v>52</v>
      </c>
      <c r="Y7" s="83" t="s">
        <v>53</v>
      </c>
      <c r="Z7" s="84" t="s">
        <v>78</v>
      </c>
    </row>
    <row r="8" spans="1:30" ht="14.25" customHeight="1" x14ac:dyDescent="0.2">
      <c r="A8" s="1646" t="s">
        <v>30</v>
      </c>
      <c r="B8" s="1647"/>
      <c r="C8" s="1647"/>
      <c r="D8" s="1647"/>
      <c r="E8" s="1647"/>
      <c r="F8" s="1647"/>
      <c r="G8" s="1647"/>
      <c r="H8" s="1647"/>
      <c r="I8" s="1647"/>
      <c r="J8" s="1647"/>
      <c r="K8" s="1647"/>
      <c r="L8" s="1647"/>
      <c r="M8" s="1647"/>
      <c r="N8" s="1647"/>
      <c r="O8" s="1647"/>
      <c r="P8" s="1647"/>
      <c r="Q8" s="1647"/>
      <c r="R8" s="1647"/>
      <c r="S8" s="1647"/>
      <c r="T8" s="1647"/>
      <c r="U8" s="1647"/>
      <c r="V8" s="1647"/>
      <c r="W8" s="1647"/>
      <c r="X8" s="1647"/>
      <c r="Y8" s="1647"/>
      <c r="Z8" s="1648"/>
    </row>
    <row r="9" spans="1:30" ht="14.25" customHeight="1" thickBot="1" x14ac:dyDescent="0.25">
      <c r="A9" s="1627" t="s">
        <v>34</v>
      </c>
      <c r="B9" s="1628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8"/>
      <c r="R9" s="1628"/>
      <c r="S9" s="1628"/>
      <c r="T9" s="1628"/>
      <c r="U9" s="1628"/>
      <c r="V9" s="1628"/>
      <c r="W9" s="1628"/>
      <c r="X9" s="1628"/>
      <c r="Y9" s="1628"/>
      <c r="Z9" s="1629"/>
    </row>
    <row r="10" spans="1:30" ht="14.25" customHeight="1" thickBot="1" x14ac:dyDescent="0.25">
      <c r="A10" s="13" t="s">
        <v>9</v>
      </c>
      <c r="B10" s="1463" t="s">
        <v>128</v>
      </c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3"/>
      <c r="R10" s="1463"/>
      <c r="S10" s="1463"/>
      <c r="T10" s="1463"/>
      <c r="U10" s="1463"/>
      <c r="V10" s="1463"/>
      <c r="W10" s="1463"/>
      <c r="X10" s="1463"/>
      <c r="Y10" s="1463"/>
      <c r="Z10" s="1464"/>
    </row>
    <row r="11" spans="1:30" ht="14.25" customHeight="1" thickBot="1" x14ac:dyDescent="0.25">
      <c r="A11" s="13" t="s">
        <v>9</v>
      </c>
      <c r="B11" s="14" t="s">
        <v>9</v>
      </c>
      <c r="C11" s="1454" t="s">
        <v>40</v>
      </c>
      <c r="D11" s="1454"/>
      <c r="E11" s="1454"/>
      <c r="F11" s="1454"/>
      <c r="G11" s="1454"/>
      <c r="H11" s="1454"/>
      <c r="I11" s="1454"/>
      <c r="J11" s="1454"/>
      <c r="K11" s="1454"/>
      <c r="L11" s="1454"/>
      <c r="M11" s="1454"/>
      <c r="N11" s="1454"/>
      <c r="O11" s="1454"/>
      <c r="P11" s="1454"/>
      <c r="Q11" s="1454"/>
      <c r="R11" s="1454"/>
      <c r="S11" s="1454"/>
      <c r="T11" s="1454"/>
      <c r="U11" s="1454"/>
      <c r="V11" s="1454"/>
      <c r="W11" s="1454"/>
      <c r="X11" s="1455"/>
      <c r="Y11" s="1455"/>
      <c r="Z11" s="1456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177" t="s">
        <v>153</v>
      </c>
      <c r="E12" s="180"/>
      <c r="F12" s="464" t="s">
        <v>14</v>
      </c>
      <c r="G12" s="465" t="s">
        <v>35</v>
      </c>
      <c r="H12" s="113" t="s">
        <v>12</v>
      </c>
      <c r="I12" s="47"/>
      <c r="J12" s="608"/>
      <c r="K12" s="156"/>
      <c r="L12" s="163"/>
      <c r="M12" s="95"/>
      <c r="N12" s="156"/>
      <c r="O12" s="156"/>
      <c r="P12" s="96"/>
      <c r="Q12" s="380">
        <f>R12+T12</f>
        <v>454</v>
      </c>
      <c r="R12" s="381">
        <f>199+10+245</f>
        <v>454</v>
      </c>
      <c r="S12" s="381"/>
      <c r="T12" s="382"/>
      <c r="U12" s="62">
        <f>200+20+70+250</f>
        <v>540</v>
      </c>
      <c r="V12" s="57">
        <f>200+20+90+260+50</f>
        <v>620</v>
      </c>
      <c r="W12" s="213" t="s">
        <v>157</v>
      </c>
      <c r="X12" s="498">
        <f>4+38</f>
        <v>42</v>
      </c>
      <c r="Y12" s="499">
        <f>4+15+38+5</f>
        <v>62</v>
      </c>
      <c r="Z12" s="501">
        <f>4+17+40+5</f>
        <v>66</v>
      </c>
    </row>
    <row r="13" spans="1:30" ht="27" customHeight="1" x14ac:dyDescent="0.2">
      <c r="A13" s="25"/>
      <c r="B13" s="28"/>
      <c r="C13" s="19"/>
      <c r="D13" s="480" t="s">
        <v>158</v>
      </c>
      <c r="E13" s="181"/>
      <c r="F13" s="143"/>
      <c r="G13" s="354"/>
      <c r="H13" s="211"/>
      <c r="I13" s="157"/>
      <c r="J13" s="158"/>
      <c r="K13" s="35"/>
      <c r="L13" s="588"/>
      <c r="M13" s="531"/>
      <c r="N13" s="228"/>
      <c r="O13" s="228"/>
      <c r="P13" s="533"/>
      <c r="Q13" s="408"/>
      <c r="R13" s="379"/>
      <c r="S13" s="379"/>
      <c r="T13" s="409"/>
      <c r="U13" s="589"/>
      <c r="V13" s="590"/>
      <c r="W13" s="88" t="s">
        <v>45</v>
      </c>
      <c r="X13" s="251">
        <v>2</v>
      </c>
      <c r="Y13" s="140">
        <v>2</v>
      </c>
      <c r="Z13" s="252">
        <v>2</v>
      </c>
    </row>
    <row r="14" spans="1:30" ht="15" customHeight="1" x14ac:dyDescent="0.2">
      <c r="A14" s="25"/>
      <c r="B14" s="28"/>
      <c r="C14" s="19"/>
      <c r="D14" s="141" t="s">
        <v>154</v>
      </c>
      <c r="E14" s="181"/>
      <c r="F14" s="143"/>
      <c r="G14" s="354"/>
      <c r="H14" s="211"/>
      <c r="I14" s="157"/>
      <c r="J14" s="158"/>
      <c r="K14" s="158"/>
      <c r="L14" s="171"/>
      <c r="M14" s="531"/>
      <c r="N14" s="158"/>
      <c r="O14" s="158"/>
      <c r="P14" s="241"/>
      <c r="Q14" s="408"/>
      <c r="R14" s="379"/>
      <c r="S14" s="379"/>
      <c r="T14" s="409"/>
      <c r="U14" s="176"/>
      <c r="V14" s="170"/>
      <c r="W14" s="88"/>
      <c r="X14" s="251"/>
      <c r="Y14" s="140"/>
      <c r="Z14" s="252"/>
      <c r="AB14" s="123"/>
      <c r="AD14" s="123"/>
    </row>
    <row r="15" spans="1:30" ht="39" customHeight="1" x14ac:dyDescent="0.2">
      <c r="A15" s="25"/>
      <c r="B15" s="28"/>
      <c r="C15" s="19"/>
      <c r="D15" s="500" t="s">
        <v>155</v>
      </c>
      <c r="E15" s="609" t="s">
        <v>89</v>
      </c>
      <c r="F15" s="143"/>
      <c r="G15" s="354"/>
      <c r="H15" s="211"/>
      <c r="I15" s="228"/>
      <c r="J15" s="228"/>
      <c r="K15" s="228"/>
      <c r="L15" s="276"/>
      <c r="M15" s="531"/>
      <c r="N15" s="228"/>
      <c r="O15" s="228"/>
      <c r="P15" s="533"/>
      <c r="Q15" s="408"/>
      <c r="R15" s="379"/>
      <c r="S15" s="379"/>
      <c r="T15" s="409"/>
      <c r="U15" s="65"/>
      <c r="V15" s="169"/>
      <c r="W15" s="88"/>
      <c r="X15" s="336"/>
      <c r="Y15" s="278"/>
      <c r="Z15" s="279"/>
      <c r="AB15" s="123"/>
    </row>
    <row r="16" spans="1:30" ht="24.75" customHeight="1" x14ac:dyDescent="0.2">
      <c r="A16" s="25"/>
      <c r="B16" s="28"/>
      <c r="C16" s="19"/>
      <c r="D16" s="658" t="s">
        <v>177</v>
      </c>
      <c r="E16" s="609"/>
      <c r="F16" s="143"/>
      <c r="G16" s="354"/>
      <c r="H16" s="211"/>
      <c r="I16" s="536"/>
      <c r="J16" s="228"/>
      <c r="K16" s="228"/>
      <c r="L16" s="276"/>
      <c r="M16" s="531"/>
      <c r="N16" s="228"/>
      <c r="O16" s="228"/>
      <c r="P16" s="533"/>
      <c r="Q16" s="408"/>
      <c r="R16" s="379"/>
      <c r="S16" s="379"/>
      <c r="T16" s="409"/>
      <c r="U16" s="65"/>
      <c r="V16" s="169"/>
      <c r="W16" s="88"/>
      <c r="X16" s="336"/>
      <c r="Y16" s="624"/>
      <c r="Z16" s="625"/>
      <c r="AB16" s="123"/>
    </row>
    <row r="17" spans="1:32" ht="27" customHeight="1" x14ac:dyDescent="0.2">
      <c r="A17" s="25"/>
      <c r="B17" s="28"/>
      <c r="C17" s="19"/>
      <c r="D17" s="481" t="s">
        <v>156</v>
      </c>
      <c r="E17" s="181"/>
      <c r="F17" s="143"/>
      <c r="G17" s="354"/>
      <c r="H17" s="211"/>
      <c r="I17" s="353"/>
      <c r="J17" s="158"/>
      <c r="K17" s="158"/>
      <c r="L17" s="171"/>
      <c r="M17" s="610"/>
      <c r="N17" s="611"/>
      <c r="O17" s="158"/>
      <c r="P17" s="241"/>
      <c r="Q17" s="408"/>
      <c r="R17" s="379"/>
      <c r="S17" s="379"/>
      <c r="T17" s="409"/>
      <c r="U17" s="176"/>
      <c r="V17" s="170"/>
      <c r="W17" s="88"/>
      <c r="X17" s="251"/>
      <c r="Y17" s="140"/>
      <c r="Z17" s="252"/>
      <c r="AB17" s="123"/>
    </row>
    <row r="18" spans="1:32" ht="29.25" customHeight="1" x14ac:dyDescent="0.2">
      <c r="A18" s="25"/>
      <c r="B18" s="28"/>
      <c r="C18" s="19"/>
      <c r="D18" s="1450" t="s">
        <v>169</v>
      </c>
      <c r="E18" s="1452" t="s">
        <v>89</v>
      </c>
      <c r="F18" s="143"/>
      <c r="G18" s="354"/>
      <c r="H18" s="527"/>
      <c r="I18" s="374"/>
      <c r="J18" s="374"/>
      <c r="K18" s="374"/>
      <c r="L18" s="521"/>
      <c r="M18" s="372"/>
      <c r="N18" s="374"/>
      <c r="O18" s="374"/>
      <c r="P18" s="375"/>
      <c r="Q18" s="419"/>
      <c r="R18" s="420"/>
      <c r="S18" s="420"/>
      <c r="T18" s="418"/>
      <c r="U18" s="520"/>
      <c r="V18" s="129"/>
      <c r="W18" s="1536"/>
      <c r="X18" s="277"/>
      <c r="Y18" s="278"/>
      <c r="Z18" s="279"/>
      <c r="AB18" s="123"/>
    </row>
    <row r="19" spans="1:32" ht="13.5" customHeight="1" thickBot="1" x14ac:dyDescent="0.25">
      <c r="A19" s="25"/>
      <c r="B19" s="28"/>
      <c r="C19" s="19"/>
      <c r="D19" s="1451"/>
      <c r="E19" s="1453"/>
      <c r="F19" s="144"/>
      <c r="G19" s="355"/>
      <c r="H19" s="397" t="s">
        <v>16</v>
      </c>
      <c r="I19" s="388">
        <f t="shared" ref="I19:T19" si="0">SUM(I13:I17)</f>
        <v>0</v>
      </c>
      <c r="J19" s="388">
        <f t="shared" si="0"/>
        <v>0</v>
      </c>
      <c r="K19" s="388">
        <f t="shared" si="0"/>
        <v>0</v>
      </c>
      <c r="L19" s="389">
        <f t="shared" si="0"/>
        <v>0</v>
      </c>
      <c r="M19" s="471">
        <f>SUM(M13:M17)</f>
        <v>0</v>
      </c>
      <c r="N19" s="388">
        <f>SUM(N13:N17)</f>
        <v>0</v>
      </c>
      <c r="O19" s="388">
        <f t="shared" si="0"/>
        <v>0</v>
      </c>
      <c r="P19" s="398">
        <f t="shared" si="0"/>
        <v>0</v>
      </c>
      <c r="Q19" s="388">
        <f t="shared" ref="Q19:Q25" si="1">R19+T19</f>
        <v>454</v>
      </c>
      <c r="R19" s="388">
        <f>SUM(R12:R17)</f>
        <v>454</v>
      </c>
      <c r="S19" s="388">
        <f t="shared" si="0"/>
        <v>0</v>
      </c>
      <c r="T19" s="389">
        <f t="shared" si="0"/>
        <v>0</v>
      </c>
      <c r="U19" s="399">
        <f>SUM(U12:U17)</f>
        <v>540</v>
      </c>
      <c r="V19" s="389">
        <f>SUM(V12:V18)</f>
        <v>620</v>
      </c>
      <c r="W19" s="1645"/>
      <c r="X19" s="253"/>
      <c r="Y19" s="362"/>
      <c r="Z19" s="254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1465" t="s">
        <v>80</v>
      </c>
      <c r="E20" s="1515"/>
      <c r="F20" s="1517" t="s">
        <v>14</v>
      </c>
      <c r="G20" s="1519" t="s">
        <v>35</v>
      </c>
      <c r="H20" s="94" t="s">
        <v>12</v>
      </c>
      <c r="I20" s="155">
        <f>J20+L20</f>
        <v>180</v>
      </c>
      <c r="J20" s="156">
        <v>180</v>
      </c>
      <c r="K20" s="156"/>
      <c r="L20" s="163"/>
      <c r="M20" s="95">
        <f>N20+P20</f>
        <v>180</v>
      </c>
      <c r="N20" s="156">
        <v>180</v>
      </c>
      <c r="O20" s="156"/>
      <c r="P20" s="96"/>
      <c r="Q20" s="380">
        <f t="shared" si="1"/>
        <v>180</v>
      </c>
      <c r="R20" s="381">
        <v>180</v>
      </c>
      <c r="S20" s="381"/>
      <c r="T20" s="382"/>
      <c r="U20" s="62">
        <v>180</v>
      </c>
      <c r="V20" s="57">
        <v>200</v>
      </c>
      <c r="W20" s="213" t="s">
        <v>72</v>
      </c>
      <c r="X20" s="468">
        <v>1</v>
      </c>
      <c r="Y20" s="469">
        <v>1</v>
      </c>
      <c r="Z20" s="463">
        <v>1</v>
      </c>
    </row>
    <row r="21" spans="1:32" ht="14.25" customHeight="1" thickBot="1" x14ac:dyDescent="0.25">
      <c r="A21" s="25"/>
      <c r="B21" s="28"/>
      <c r="C21" s="19"/>
      <c r="D21" s="1466"/>
      <c r="E21" s="1516"/>
      <c r="F21" s="1518"/>
      <c r="G21" s="1520"/>
      <c r="H21" s="397" t="s">
        <v>16</v>
      </c>
      <c r="I21" s="388">
        <f>J21+L21</f>
        <v>180</v>
      </c>
      <c r="J21" s="472">
        <f>SUM(J20:J20)</f>
        <v>180</v>
      </c>
      <c r="K21" s="472"/>
      <c r="L21" s="410"/>
      <c r="M21" s="471">
        <f>N21+P21</f>
        <v>180</v>
      </c>
      <c r="N21" s="472">
        <f>SUM(N20:N20)</f>
        <v>180</v>
      </c>
      <c r="O21" s="472"/>
      <c r="P21" s="473"/>
      <c r="Q21" s="388">
        <f t="shared" si="1"/>
        <v>180</v>
      </c>
      <c r="R21" s="472">
        <f>SUM(R20:R20)</f>
        <v>180</v>
      </c>
      <c r="S21" s="472"/>
      <c r="T21" s="390"/>
      <c r="U21" s="399">
        <f>SUM(U20:U20)</f>
        <v>180</v>
      </c>
      <c r="V21" s="389">
        <f>SUM(V20:V20)</f>
        <v>200</v>
      </c>
      <c r="W21" s="363"/>
      <c r="X21" s="178"/>
      <c r="Y21" s="362"/>
      <c r="Z21" s="360"/>
      <c r="AB21" s="123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1465" t="s">
        <v>73</v>
      </c>
      <c r="E22" s="1515"/>
      <c r="F22" s="1517" t="s">
        <v>14</v>
      </c>
      <c r="G22" s="1519" t="s">
        <v>35</v>
      </c>
      <c r="H22" s="94" t="s">
        <v>12</v>
      </c>
      <c r="I22" s="155">
        <f>J22+L22</f>
        <v>31.2</v>
      </c>
      <c r="J22" s="156">
        <v>31.2</v>
      </c>
      <c r="K22" s="156"/>
      <c r="L22" s="163"/>
      <c r="M22" s="95">
        <f>N22+P22</f>
        <v>40.299999999999997</v>
      </c>
      <c r="N22" s="156">
        <v>40.299999999999997</v>
      </c>
      <c r="O22" s="156"/>
      <c r="P22" s="96"/>
      <c r="Q22" s="380">
        <f t="shared" si="1"/>
        <v>31.2</v>
      </c>
      <c r="R22" s="381">
        <v>31.2</v>
      </c>
      <c r="S22" s="381"/>
      <c r="T22" s="382"/>
      <c r="U22" s="255">
        <v>46.8</v>
      </c>
      <c r="V22" s="644">
        <v>62.4</v>
      </c>
      <c r="W22" s="1621" t="s">
        <v>46</v>
      </c>
      <c r="X22" s="1623">
        <v>4</v>
      </c>
      <c r="Y22" s="1625">
        <v>5</v>
      </c>
      <c r="Z22" s="1490">
        <v>6</v>
      </c>
    </row>
    <row r="23" spans="1:32" ht="14.25" customHeight="1" thickBot="1" x14ac:dyDescent="0.25">
      <c r="A23" s="645"/>
      <c r="B23" s="330"/>
      <c r="C23" s="331"/>
      <c r="D23" s="1466"/>
      <c r="E23" s="1516"/>
      <c r="F23" s="1518"/>
      <c r="G23" s="1520"/>
      <c r="H23" s="397" t="s">
        <v>16</v>
      </c>
      <c r="I23" s="388">
        <f>J23+L23</f>
        <v>31.2</v>
      </c>
      <c r="J23" s="615">
        <f>SUM(J22:J22)</f>
        <v>31.2</v>
      </c>
      <c r="K23" s="615"/>
      <c r="L23" s="390"/>
      <c r="M23" s="614">
        <f>N23+P23</f>
        <v>40.299999999999997</v>
      </c>
      <c r="N23" s="615">
        <f>SUM(N22:N22)</f>
        <v>40.299999999999997</v>
      </c>
      <c r="O23" s="615"/>
      <c r="P23" s="616"/>
      <c r="Q23" s="388">
        <f t="shared" si="1"/>
        <v>31.2</v>
      </c>
      <c r="R23" s="615">
        <f>SUM(R22:R22)</f>
        <v>31.2</v>
      </c>
      <c r="S23" s="615"/>
      <c r="T23" s="390"/>
      <c r="U23" s="399">
        <f>SUM(U22:U22)</f>
        <v>46.8</v>
      </c>
      <c r="V23" s="389">
        <f>SUM(V22:V22)</f>
        <v>62.4</v>
      </c>
      <c r="W23" s="1622"/>
      <c r="X23" s="1624"/>
      <c r="Y23" s="1626"/>
      <c r="Z23" s="1491"/>
      <c r="AF23" s="123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99" t="s">
        <v>127</v>
      </c>
      <c r="E24" s="320"/>
      <c r="F24" s="323" t="s">
        <v>14</v>
      </c>
      <c r="G24" s="361" t="s">
        <v>35</v>
      </c>
      <c r="H24" s="100" t="s">
        <v>12</v>
      </c>
      <c r="I24" s="328"/>
      <c r="J24" s="102"/>
      <c r="K24" s="102"/>
      <c r="L24" s="329"/>
      <c r="M24" s="101"/>
      <c r="N24" s="102"/>
      <c r="O24" s="102"/>
      <c r="P24" s="103"/>
      <c r="Q24" s="391">
        <f t="shared" si="1"/>
        <v>229.6</v>
      </c>
      <c r="R24" s="392">
        <f>66.1+163.5</f>
        <v>229.6</v>
      </c>
      <c r="S24" s="392"/>
      <c r="T24" s="393"/>
      <c r="U24" s="64">
        <f>80+450</f>
        <v>530</v>
      </c>
      <c r="V24" s="55">
        <f>90+450</f>
        <v>540</v>
      </c>
      <c r="W24" s="175"/>
      <c r="X24" s="78"/>
      <c r="Y24" s="80"/>
      <c r="Z24" s="77"/>
    </row>
    <row r="25" spans="1:32" ht="14.25" customHeight="1" x14ac:dyDescent="0.2">
      <c r="A25" s="38"/>
      <c r="B25" s="28"/>
      <c r="C25" s="19"/>
      <c r="D25" s="1548" t="s">
        <v>159</v>
      </c>
      <c r="E25" s="321"/>
      <c r="F25" s="324"/>
      <c r="G25" s="326"/>
      <c r="H25" s="344" t="s">
        <v>116</v>
      </c>
      <c r="I25" s="164">
        <f>J25+L25</f>
        <v>386</v>
      </c>
      <c r="J25" s="165">
        <v>386</v>
      </c>
      <c r="K25" s="224"/>
      <c r="L25" s="225"/>
      <c r="M25" s="212">
        <f>N25+P25</f>
        <v>459</v>
      </c>
      <c r="N25" s="226">
        <v>459</v>
      </c>
      <c r="O25" s="345"/>
      <c r="P25" s="346"/>
      <c r="Q25" s="385">
        <f t="shared" si="1"/>
        <v>459</v>
      </c>
      <c r="R25" s="386">
        <v>459</v>
      </c>
      <c r="S25" s="386"/>
      <c r="T25" s="387"/>
      <c r="U25" s="202">
        <v>459</v>
      </c>
      <c r="V25" s="201">
        <v>459</v>
      </c>
      <c r="W25" s="1488" t="s">
        <v>136</v>
      </c>
      <c r="X25" s="1475" t="s">
        <v>137</v>
      </c>
      <c r="Y25" s="1477" t="s">
        <v>138</v>
      </c>
      <c r="Z25" s="1479" t="s">
        <v>138</v>
      </c>
      <c r="AC25" s="123"/>
    </row>
    <row r="26" spans="1:32" ht="14.25" customHeight="1" x14ac:dyDescent="0.2">
      <c r="A26" s="38"/>
      <c r="B26" s="28"/>
      <c r="C26" s="19"/>
      <c r="D26" s="1549"/>
      <c r="E26" s="321"/>
      <c r="F26" s="324"/>
      <c r="G26" s="326"/>
      <c r="H26" s="635"/>
      <c r="I26" s="157"/>
      <c r="J26" s="158"/>
      <c r="K26" s="35"/>
      <c r="L26" s="588"/>
      <c r="M26" s="531"/>
      <c r="N26" s="228"/>
      <c r="O26" s="636"/>
      <c r="P26" s="637"/>
      <c r="Q26" s="408"/>
      <c r="R26" s="379"/>
      <c r="S26" s="379"/>
      <c r="T26" s="409"/>
      <c r="U26" s="589"/>
      <c r="V26" s="590"/>
      <c r="W26" s="1489"/>
      <c r="X26" s="1476"/>
      <c r="Y26" s="1478"/>
      <c r="Z26" s="1480"/>
    </row>
    <row r="27" spans="1:32" ht="27.75" customHeight="1" x14ac:dyDescent="0.2">
      <c r="A27" s="38"/>
      <c r="B27" s="476"/>
      <c r="C27" s="19"/>
      <c r="D27" s="223" t="s">
        <v>18</v>
      </c>
      <c r="E27" s="321"/>
      <c r="F27" s="371"/>
      <c r="G27" s="326"/>
      <c r="H27" s="110"/>
      <c r="I27" s="160"/>
      <c r="J27" s="161"/>
      <c r="K27" s="161"/>
      <c r="L27" s="56"/>
      <c r="M27" s="104"/>
      <c r="N27" s="161"/>
      <c r="O27" s="161"/>
      <c r="P27" s="105"/>
      <c r="Q27" s="639"/>
      <c r="R27" s="395"/>
      <c r="S27" s="395"/>
      <c r="T27" s="396"/>
      <c r="U27" s="65"/>
      <c r="V27" s="138"/>
      <c r="W27" s="640" t="s">
        <v>172</v>
      </c>
      <c r="X27" s="274">
        <v>1</v>
      </c>
      <c r="Y27" s="641" t="s">
        <v>35</v>
      </c>
      <c r="Z27" s="642" t="s">
        <v>35</v>
      </c>
      <c r="AD27" s="123"/>
    </row>
    <row r="28" spans="1:32" ht="15.75" customHeight="1" x14ac:dyDescent="0.2">
      <c r="A28" s="25"/>
      <c r="B28" s="28"/>
      <c r="C28" s="19"/>
      <c r="D28" s="1550" t="s">
        <v>126</v>
      </c>
      <c r="E28" s="1551"/>
      <c r="F28" s="1553"/>
      <c r="G28" s="1555"/>
      <c r="H28" s="211"/>
      <c r="I28" s="164"/>
      <c r="J28" s="165"/>
      <c r="K28" s="224"/>
      <c r="L28" s="225"/>
      <c r="M28" s="212"/>
      <c r="N28" s="226"/>
      <c r="O28" s="226"/>
      <c r="P28" s="227"/>
      <c r="Q28" s="408"/>
      <c r="R28" s="379"/>
      <c r="S28" s="379"/>
      <c r="T28" s="409"/>
      <c r="U28" s="589"/>
      <c r="V28" s="638"/>
      <c r="W28" s="1467" t="s">
        <v>130</v>
      </c>
      <c r="X28" s="1469">
        <v>1</v>
      </c>
      <c r="Y28" s="1471"/>
      <c r="Z28" s="1473"/>
    </row>
    <row r="29" spans="1:32" ht="13.5" customHeight="1" thickBot="1" x14ac:dyDescent="0.25">
      <c r="A29" s="39"/>
      <c r="B29" s="14"/>
      <c r="C29" s="36"/>
      <c r="D29" s="1451"/>
      <c r="E29" s="1552"/>
      <c r="F29" s="1554"/>
      <c r="G29" s="1556"/>
      <c r="H29" s="400" t="s">
        <v>16</v>
      </c>
      <c r="I29" s="388">
        <f t="shared" ref="I29:P29" si="2">SUM(I25:I28)</f>
        <v>386</v>
      </c>
      <c r="J29" s="388">
        <f t="shared" si="2"/>
        <v>386</v>
      </c>
      <c r="K29" s="388">
        <f t="shared" si="2"/>
        <v>0</v>
      </c>
      <c r="L29" s="389">
        <f t="shared" si="2"/>
        <v>0</v>
      </c>
      <c r="M29" s="491">
        <f t="shared" si="2"/>
        <v>459</v>
      </c>
      <c r="N29" s="388">
        <f t="shared" si="2"/>
        <v>459</v>
      </c>
      <c r="O29" s="388">
        <f t="shared" si="2"/>
        <v>0</v>
      </c>
      <c r="P29" s="398">
        <f t="shared" si="2"/>
        <v>0</v>
      </c>
      <c r="Q29" s="388">
        <f>SUM(Q24:Q28)</f>
        <v>688.6</v>
      </c>
      <c r="R29" s="388">
        <f>SUM(R24:R28)</f>
        <v>688.6</v>
      </c>
      <c r="S29" s="388">
        <f>SUM(S25:S28)</f>
        <v>0</v>
      </c>
      <c r="T29" s="389">
        <f>SUM(T25:T28)</f>
        <v>0</v>
      </c>
      <c r="U29" s="399">
        <f>SUM(U24:U28)</f>
        <v>989</v>
      </c>
      <c r="V29" s="388">
        <f>SUM(V24:V28)</f>
        <v>999</v>
      </c>
      <c r="W29" s="1481"/>
      <c r="X29" s="1482"/>
      <c r="Y29" s="1483"/>
      <c r="Z29" s="1484"/>
      <c r="AB29" s="123"/>
    </row>
    <row r="30" spans="1:32" ht="14.25" customHeight="1" thickBot="1" x14ac:dyDescent="0.25">
      <c r="A30" s="24" t="s">
        <v>9</v>
      </c>
      <c r="B30" s="34" t="s">
        <v>9</v>
      </c>
      <c r="C30" s="1527" t="s">
        <v>15</v>
      </c>
      <c r="D30" s="1528"/>
      <c r="E30" s="1528"/>
      <c r="F30" s="1528"/>
      <c r="G30" s="1529"/>
      <c r="H30" s="1530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1353.8000000000002</v>
      </c>
      <c r="R30" s="20">
        <f t="shared" si="3"/>
        <v>1353.8000000000002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1485"/>
      <c r="X30" s="1486"/>
      <c r="Y30" s="1486"/>
      <c r="Z30" s="1487"/>
    </row>
    <row r="31" spans="1:32" ht="15" customHeight="1" thickBot="1" x14ac:dyDescent="0.25">
      <c r="A31" s="21" t="s">
        <v>9</v>
      </c>
      <c r="B31" s="27" t="s">
        <v>10</v>
      </c>
      <c r="C31" s="1521" t="s">
        <v>96</v>
      </c>
      <c r="D31" s="1522"/>
      <c r="E31" s="1522"/>
      <c r="F31" s="1522"/>
      <c r="G31" s="1522"/>
      <c r="H31" s="1523"/>
      <c r="I31" s="1523"/>
      <c r="J31" s="1523"/>
      <c r="K31" s="1523"/>
      <c r="L31" s="1523"/>
      <c r="M31" s="1523"/>
      <c r="N31" s="1523"/>
      <c r="O31" s="1523"/>
      <c r="P31" s="1523"/>
      <c r="Q31" s="1523"/>
      <c r="R31" s="1523"/>
      <c r="S31" s="1523"/>
      <c r="T31" s="1523"/>
      <c r="U31" s="1523"/>
      <c r="V31" s="1523"/>
      <c r="W31" s="1523"/>
      <c r="X31" s="1523"/>
      <c r="Y31" s="1523"/>
      <c r="Z31" s="1524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525" t="s">
        <v>67</v>
      </c>
      <c r="E32" s="145"/>
      <c r="F32" s="365" t="s">
        <v>14</v>
      </c>
      <c r="G32" s="334">
        <v>2</v>
      </c>
      <c r="H32" s="214" t="s">
        <v>12</v>
      </c>
      <c r="I32" s="256"/>
      <c r="J32" s="256"/>
      <c r="K32" s="256"/>
      <c r="L32" s="256"/>
      <c r="M32" s="106"/>
      <c r="N32" s="102"/>
      <c r="O32" s="55"/>
      <c r="P32" s="103"/>
      <c r="Q32" s="401">
        <f>R32+T32</f>
        <v>7753.5</v>
      </c>
      <c r="R32" s="392">
        <f>977.8+2020.6+168.6+1997.4+832.1+76.1+1055.2+623.2</f>
        <v>7751</v>
      </c>
      <c r="S32" s="401">
        <f>611+1441+83.7+1276+419.7+11+721.3+305.4</f>
        <v>4869.0999999999995</v>
      </c>
      <c r="T32" s="393">
        <v>2.5</v>
      </c>
      <c r="U32" s="64">
        <f>1050+2169.4+159.9+2016.3+886.3+1342+595.3</f>
        <v>8219.2000000000007</v>
      </c>
      <c r="V32" s="55">
        <f>1000+2169.4+159.9+2016.3+1740.6+1343+660.1</f>
        <v>9089.3000000000011</v>
      </c>
      <c r="W32" s="631" t="s">
        <v>136</v>
      </c>
      <c r="X32" s="508">
        <f>5+28+16+357+25+16+11+172+30+10+57+8+90</f>
        <v>825</v>
      </c>
      <c r="Y32" s="505">
        <f>5+28+165+357+25+16+11+167+30+61+8+90</f>
        <v>963</v>
      </c>
      <c r="Z32" s="506">
        <f>6+29+170+357+25+16+11+168+30+65+8+90</f>
        <v>975</v>
      </c>
      <c r="AA32" s="139"/>
    </row>
    <row r="33" spans="1:31" ht="15.75" customHeight="1" x14ac:dyDescent="0.2">
      <c r="A33" s="632"/>
      <c r="B33" s="633"/>
      <c r="C33" s="19"/>
      <c r="D33" s="1526"/>
      <c r="E33" s="359"/>
      <c r="F33" s="333"/>
      <c r="G33" s="335"/>
      <c r="H33" s="503" t="s">
        <v>28</v>
      </c>
      <c r="I33" s="260"/>
      <c r="J33" s="261"/>
      <c r="K33" s="261"/>
      <c r="L33" s="262"/>
      <c r="M33" s="247"/>
      <c r="N33" s="165"/>
      <c r="O33" s="173"/>
      <c r="P33" s="218"/>
      <c r="Q33" s="402">
        <f>R33+T33</f>
        <v>1154.4000000000001</v>
      </c>
      <c r="R33" s="386">
        <f>353+603.5+30+20+111.9+20</f>
        <v>1138.4000000000001</v>
      </c>
      <c r="S33" s="402"/>
      <c r="T33" s="387">
        <f>4+5+7</f>
        <v>16</v>
      </c>
      <c r="U33" s="219">
        <f>353+607.5+30+13+119+20</f>
        <v>1142.5</v>
      </c>
      <c r="V33" s="173">
        <f>353+607.5+30+13+119+20</f>
        <v>1142.5</v>
      </c>
      <c r="W33" s="621" t="s">
        <v>49</v>
      </c>
      <c r="X33" s="509">
        <f>73.2+460+262+14+27</f>
        <v>836.2</v>
      </c>
      <c r="Y33" s="512">
        <f>73.2+460+262+14+27</f>
        <v>836.2</v>
      </c>
      <c r="Z33" s="510">
        <f>73.5+460+262+14+27</f>
        <v>836.5</v>
      </c>
      <c r="AA33" s="75"/>
    </row>
    <row r="34" spans="1:31" ht="26.25" customHeight="1" x14ac:dyDescent="0.2">
      <c r="A34" s="632"/>
      <c r="B34" s="633"/>
      <c r="C34" s="19"/>
      <c r="D34" s="617" t="s">
        <v>139</v>
      </c>
      <c r="E34" s="142"/>
      <c r="F34" s="333"/>
      <c r="G34" s="335"/>
      <c r="H34" s="108" t="s">
        <v>20</v>
      </c>
      <c r="I34" s="511">
        <v>171.7</v>
      </c>
      <c r="J34" s="511">
        <v>171.7</v>
      </c>
      <c r="K34" s="226"/>
      <c r="L34" s="275"/>
      <c r="M34" s="212">
        <f t="shared" ref="M34" si="4">N34+P34</f>
        <v>140</v>
      </c>
      <c r="N34" s="226">
        <v>140</v>
      </c>
      <c r="O34" s="226"/>
      <c r="P34" s="227"/>
      <c r="Q34" s="385">
        <f>R34+T34</f>
        <v>191</v>
      </c>
      <c r="R34" s="386">
        <f>140+51</f>
        <v>191</v>
      </c>
      <c r="S34" s="386"/>
      <c r="T34" s="387"/>
      <c r="U34" s="66">
        <f>140+26.6</f>
        <v>166.6</v>
      </c>
      <c r="V34" s="172">
        <f>140+51</f>
        <v>191</v>
      </c>
      <c r="W34" s="1467" t="s">
        <v>135</v>
      </c>
      <c r="X34" s="1469">
        <v>2</v>
      </c>
      <c r="Y34" s="1471"/>
      <c r="Z34" s="1473"/>
      <c r="AA34" s="139"/>
    </row>
    <row r="35" spans="1:31" ht="19.5" customHeight="1" x14ac:dyDescent="0.2">
      <c r="A35" s="38"/>
      <c r="B35" s="28"/>
      <c r="C35" s="19"/>
      <c r="D35" s="1557" t="s">
        <v>140</v>
      </c>
      <c r="E35" s="142"/>
      <c r="F35" s="333"/>
      <c r="G35" s="335"/>
      <c r="H35" s="210" t="s">
        <v>29</v>
      </c>
      <c r="I35" s="513"/>
      <c r="J35" s="514"/>
      <c r="K35" s="514"/>
      <c r="L35" s="515"/>
      <c r="M35" s="613"/>
      <c r="N35" s="516"/>
      <c r="O35" s="516"/>
      <c r="P35" s="517"/>
      <c r="Q35" s="383">
        <f>R35+T35</f>
        <v>456.7</v>
      </c>
      <c r="R35" s="378">
        <v>456.7</v>
      </c>
      <c r="S35" s="378"/>
      <c r="T35" s="384"/>
      <c r="U35" s="518"/>
      <c r="V35" s="643"/>
      <c r="W35" s="1468"/>
      <c r="X35" s="1470"/>
      <c r="Y35" s="1472"/>
      <c r="Z35" s="1474"/>
    </row>
    <row r="36" spans="1:31" ht="19.5" customHeight="1" x14ac:dyDescent="0.2">
      <c r="A36" s="38"/>
      <c r="B36" s="28"/>
      <c r="C36" s="19"/>
      <c r="D36" s="1557"/>
      <c r="E36" s="142"/>
      <c r="F36" s="333"/>
      <c r="G36" s="335"/>
      <c r="H36" s="211"/>
      <c r="I36" s="528"/>
      <c r="J36" s="529"/>
      <c r="K36" s="529"/>
      <c r="L36" s="530"/>
      <c r="M36" s="531"/>
      <c r="N36" s="267"/>
      <c r="O36" s="267"/>
      <c r="P36" s="268"/>
      <c r="Q36" s="408"/>
      <c r="R36" s="379"/>
      <c r="S36" s="379"/>
      <c r="T36" s="409"/>
      <c r="U36" s="269"/>
      <c r="V36" s="270"/>
      <c r="W36" s="1468"/>
      <c r="X36" s="1470"/>
      <c r="Y36" s="1472"/>
      <c r="Z36" s="1474"/>
    </row>
    <row r="37" spans="1:31" ht="27" customHeight="1" x14ac:dyDescent="0.2">
      <c r="A37" s="38"/>
      <c r="B37" s="28"/>
      <c r="C37" s="19"/>
      <c r="D37" s="619" t="s">
        <v>141</v>
      </c>
      <c r="E37" s="142"/>
      <c r="F37" s="333"/>
      <c r="G37" s="335"/>
      <c r="H37" s="211"/>
      <c r="I37" s="529"/>
      <c r="J37" s="529"/>
      <c r="K37" s="529"/>
      <c r="L37" s="532"/>
      <c r="M37" s="531"/>
      <c r="N37" s="267"/>
      <c r="O37" s="267"/>
      <c r="P37" s="268"/>
      <c r="Q37" s="408"/>
      <c r="R37" s="379"/>
      <c r="S37" s="379"/>
      <c r="T37" s="409"/>
      <c r="U37" s="269"/>
      <c r="V37" s="270"/>
      <c r="W37" s="622"/>
      <c r="X37" s="623"/>
      <c r="Y37" s="624"/>
      <c r="Z37" s="282"/>
    </row>
    <row r="38" spans="1:31" ht="26.25" customHeight="1" x14ac:dyDescent="0.2">
      <c r="A38" s="632"/>
      <c r="B38" s="633"/>
      <c r="C38" s="40"/>
      <c r="D38" s="617" t="s">
        <v>142</v>
      </c>
      <c r="E38" s="142"/>
      <c r="F38" s="333"/>
      <c r="G38" s="335"/>
      <c r="H38" s="98"/>
      <c r="I38" s="534"/>
      <c r="J38" s="534"/>
      <c r="K38" s="534"/>
      <c r="L38" s="535"/>
      <c r="M38" s="531"/>
      <c r="N38" s="228"/>
      <c r="O38" s="228"/>
      <c r="P38" s="533"/>
      <c r="Q38" s="408"/>
      <c r="R38" s="379"/>
      <c r="S38" s="379"/>
      <c r="T38" s="409"/>
      <c r="U38" s="65"/>
      <c r="V38" s="169"/>
      <c r="W38" s="622"/>
      <c r="X38" s="623"/>
      <c r="Y38" s="624"/>
      <c r="Z38" s="625"/>
    </row>
    <row r="39" spans="1:31" ht="27.75" customHeight="1" x14ac:dyDescent="0.2">
      <c r="A39" s="25"/>
      <c r="B39" s="28"/>
      <c r="C39" s="19"/>
      <c r="D39" s="617" t="s">
        <v>160</v>
      </c>
      <c r="E39" s="142"/>
      <c r="F39" s="333"/>
      <c r="G39" s="335"/>
      <c r="H39" s="98"/>
      <c r="I39" s="536">
        <f>J39+L39</f>
        <v>6.5</v>
      </c>
      <c r="J39" s="228">
        <v>6.5</v>
      </c>
      <c r="K39" s="228"/>
      <c r="L39" s="276"/>
      <c r="M39" s="531"/>
      <c r="N39" s="228"/>
      <c r="O39" s="228"/>
      <c r="P39" s="533"/>
      <c r="Q39" s="408"/>
      <c r="R39" s="379"/>
      <c r="S39" s="379"/>
      <c r="T39" s="409"/>
      <c r="U39" s="65"/>
      <c r="V39" s="169"/>
      <c r="W39" s="622"/>
      <c r="X39" s="623"/>
      <c r="Y39" s="624"/>
      <c r="Z39" s="625"/>
    </row>
    <row r="40" spans="1:31" ht="26.25" customHeight="1" x14ac:dyDescent="0.2">
      <c r="A40" s="25"/>
      <c r="B40" s="28"/>
      <c r="C40" s="19"/>
      <c r="D40" s="1557" t="s">
        <v>178</v>
      </c>
      <c r="E40" s="142"/>
      <c r="F40" s="333"/>
      <c r="G40" s="335"/>
      <c r="H40" s="98"/>
      <c r="I40" s="536"/>
      <c r="J40" s="228"/>
      <c r="K40" s="228"/>
      <c r="L40" s="276"/>
      <c r="M40" s="531">
        <f t="shared" ref="M40" si="5">N40+P40</f>
        <v>76.099999999999994</v>
      </c>
      <c r="N40" s="228">
        <v>76.099999999999994</v>
      </c>
      <c r="O40" s="228">
        <v>11</v>
      </c>
      <c r="P40" s="533"/>
      <c r="Q40" s="537"/>
      <c r="R40" s="379"/>
      <c r="S40" s="379"/>
      <c r="T40" s="409"/>
      <c r="U40" s="65"/>
      <c r="V40" s="169"/>
      <c r="W40" s="622"/>
      <c r="X40" s="623"/>
      <c r="Y40" s="624"/>
      <c r="Z40" s="221"/>
      <c r="AB40" s="123"/>
      <c r="AD40" s="123"/>
    </row>
    <row r="41" spans="1:31" ht="26.25" customHeight="1" x14ac:dyDescent="0.2">
      <c r="A41" s="25"/>
      <c r="B41" s="28"/>
      <c r="C41" s="19"/>
      <c r="D41" s="1557"/>
      <c r="E41" s="142"/>
      <c r="F41" s="333"/>
      <c r="G41" s="335"/>
      <c r="H41" s="98"/>
      <c r="I41" s="534"/>
      <c r="J41" s="534"/>
      <c r="K41" s="228"/>
      <c r="L41" s="276"/>
      <c r="M41" s="531"/>
      <c r="N41" s="228"/>
      <c r="O41" s="228"/>
      <c r="P41" s="533"/>
      <c r="Q41" s="408"/>
      <c r="R41" s="379"/>
      <c r="S41" s="379"/>
      <c r="T41" s="409"/>
      <c r="U41" s="65"/>
      <c r="V41" s="169"/>
      <c r="W41" s="622"/>
      <c r="X41" s="623"/>
      <c r="Y41" s="624"/>
      <c r="Z41" s="625"/>
    </row>
    <row r="42" spans="1:31" ht="14.25" customHeight="1" thickBot="1" x14ac:dyDescent="0.25">
      <c r="A42" s="645"/>
      <c r="B42" s="330"/>
      <c r="C42" s="331"/>
      <c r="D42" s="1466"/>
      <c r="E42" s="634"/>
      <c r="F42" s="646"/>
      <c r="G42" s="647"/>
      <c r="H42" s="612"/>
      <c r="I42" s="648"/>
      <c r="J42" s="649"/>
      <c r="K42" s="343"/>
      <c r="L42" s="650"/>
      <c r="M42" s="342"/>
      <c r="N42" s="651"/>
      <c r="O42" s="651"/>
      <c r="P42" s="652"/>
      <c r="Q42" s="653"/>
      <c r="R42" s="654"/>
      <c r="S42" s="654"/>
      <c r="T42" s="655"/>
      <c r="U42" s="656"/>
      <c r="V42" s="657"/>
      <c r="W42" s="626"/>
      <c r="X42" s="627"/>
      <c r="Y42" s="628"/>
      <c r="Z42" s="629"/>
    </row>
    <row r="43" spans="1:31" ht="29.25" customHeight="1" x14ac:dyDescent="0.2">
      <c r="A43" s="38"/>
      <c r="B43" s="28"/>
      <c r="C43" s="19"/>
      <c r="D43" s="141" t="s">
        <v>143</v>
      </c>
      <c r="E43" s="1657" t="s">
        <v>179</v>
      </c>
      <c r="F43" s="333"/>
      <c r="G43" s="335"/>
      <c r="H43" s="98"/>
      <c r="I43" s="534"/>
      <c r="J43" s="534"/>
      <c r="K43" s="534"/>
      <c r="L43" s="535"/>
      <c r="M43" s="531"/>
      <c r="N43" s="228"/>
      <c r="O43" s="228"/>
      <c r="P43" s="533"/>
      <c r="Q43" s="408"/>
      <c r="R43" s="379"/>
      <c r="S43" s="379"/>
      <c r="T43" s="409"/>
      <c r="U43" s="65"/>
      <c r="V43" s="169"/>
      <c r="W43" s="622"/>
      <c r="X43" s="277"/>
      <c r="Y43" s="278"/>
      <c r="Z43" s="282"/>
    </row>
    <row r="44" spans="1:31" ht="16.5" customHeight="1" x14ac:dyDescent="0.2">
      <c r="A44" s="38"/>
      <c r="B44" s="28"/>
      <c r="C44" s="19"/>
      <c r="D44" s="1670" t="s">
        <v>144</v>
      </c>
      <c r="E44" s="1657"/>
      <c r="F44" s="1663"/>
      <c r="G44" s="1664"/>
      <c r="H44" s="125"/>
      <c r="I44" s="522"/>
      <c r="J44" s="519"/>
      <c r="K44" s="519"/>
      <c r="L44" s="523"/>
      <c r="M44" s="372"/>
      <c r="N44" s="374"/>
      <c r="O44" s="374"/>
      <c r="P44" s="375"/>
      <c r="Q44" s="419"/>
      <c r="R44" s="420"/>
      <c r="S44" s="420"/>
      <c r="T44" s="418"/>
      <c r="U44" s="520"/>
      <c r="V44" s="129"/>
      <c r="W44" s="538"/>
      <c r="X44" s="524"/>
      <c r="Y44" s="525"/>
      <c r="Z44" s="526"/>
    </row>
    <row r="45" spans="1:31" ht="13.5" customHeight="1" thickBot="1" x14ac:dyDescent="0.25">
      <c r="A45" s="24"/>
      <c r="B45" s="14"/>
      <c r="C45" s="504"/>
      <c r="D45" s="1671"/>
      <c r="E45" s="1658"/>
      <c r="F45" s="1518"/>
      <c r="G45" s="1665"/>
      <c r="H45" s="400" t="s">
        <v>16</v>
      </c>
      <c r="I45" s="460">
        <f>SUM(I34:I44)</f>
        <v>178.2</v>
      </c>
      <c r="J45" s="492">
        <f>SUM(J34:J44)</f>
        <v>178.2</v>
      </c>
      <c r="K45" s="389">
        <f>SUM(K34:K44)</f>
        <v>0</v>
      </c>
      <c r="L45" s="493">
        <f>SUM(L34:L44)</f>
        <v>0</v>
      </c>
      <c r="M45" s="491">
        <f>N45+P45</f>
        <v>216.1</v>
      </c>
      <c r="N45" s="389">
        <f>SUM(N34:N44)</f>
        <v>216.1</v>
      </c>
      <c r="O45" s="492">
        <f>SUM(O34:O44)</f>
        <v>11</v>
      </c>
      <c r="P45" s="398">
        <f>SUM(P34:P44)</f>
        <v>0</v>
      </c>
      <c r="Q45" s="491">
        <f>R45+T45</f>
        <v>9555.6</v>
      </c>
      <c r="R45" s="389">
        <f>SUM(R32:R44)</f>
        <v>9537.1</v>
      </c>
      <c r="S45" s="492">
        <f>SUM(S32:S44)</f>
        <v>4869.0999999999995</v>
      </c>
      <c r="T45" s="398">
        <f>SUM(T32:T44)</f>
        <v>18.5</v>
      </c>
      <c r="U45" s="399">
        <f>SUM(U32:U44)</f>
        <v>9528.3000000000011</v>
      </c>
      <c r="V45" s="389">
        <f>SUM(V32:V44)</f>
        <v>10422.800000000001</v>
      </c>
      <c r="W45" s="630"/>
      <c r="X45" s="591"/>
      <c r="Y45" s="592"/>
      <c r="Z45" s="593"/>
    </row>
    <row r="46" spans="1:31" ht="26.25" customHeight="1" x14ac:dyDescent="0.2">
      <c r="A46" s="494" t="s">
        <v>9</v>
      </c>
      <c r="B46" s="495" t="s">
        <v>10</v>
      </c>
      <c r="C46" s="19" t="s">
        <v>10</v>
      </c>
      <c r="D46" s="337" t="s">
        <v>68</v>
      </c>
      <c r="E46" s="477"/>
      <c r="F46" s="474"/>
      <c r="G46" s="466"/>
      <c r="H46" s="98"/>
      <c r="I46" s="157"/>
      <c r="J46" s="158"/>
      <c r="K46" s="158"/>
      <c r="L46" s="171"/>
      <c r="M46" s="339"/>
      <c r="N46" s="158"/>
      <c r="O46" s="158"/>
      <c r="P46" s="241"/>
      <c r="Q46" s="408"/>
      <c r="R46" s="379"/>
      <c r="S46" s="379"/>
      <c r="T46" s="409"/>
      <c r="U46" s="176"/>
      <c r="V46" s="60"/>
      <c r="W46" s="52"/>
      <c r="X46" s="73"/>
      <c r="Y46" s="82"/>
      <c r="Z46" s="81"/>
    </row>
    <row r="47" spans="1:31" ht="116.25" customHeight="1" x14ac:dyDescent="0.2">
      <c r="A47" s="475"/>
      <c r="B47" s="476"/>
      <c r="C47" s="19"/>
      <c r="D47" s="337" t="s">
        <v>170</v>
      </c>
      <c r="E47" s="547" t="s">
        <v>113</v>
      </c>
      <c r="F47" s="620" t="s">
        <v>14</v>
      </c>
      <c r="G47" s="618" t="s">
        <v>35</v>
      </c>
      <c r="H47" s="98" t="s">
        <v>12</v>
      </c>
      <c r="I47" s="170"/>
      <c r="J47" s="158"/>
      <c r="K47" s="170"/>
      <c r="L47" s="171"/>
      <c r="M47" s="146">
        <f>N47+P47</f>
        <v>45</v>
      </c>
      <c r="N47" s="158">
        <v>45</v>
      </c>
      <c r="O47" s="170"/>
      <c r="P47" s="241"/>
      <c r="Q47" s="416">
        <f>R47+T47</f>
        <v>40</v>
      </c>
      <c r="R47" s="379">
        <v>40</v>
      </c>
      <c r="S47" s="416"/>
      <c r="T47" s="409"/>
      <c r="U47" s="176">
        <v>150</v>
      </c>
      <c r="V47" s="60"/>
      <c r="W47" s="52" t="s">
        <v>131</v>
      </c>
      <c r="X47" s="147">
        <v>2</v>
      </c>
      <c r="Y47" s="82"/>
      <c r="Z47" s="81"/>
      <c r="AE47" s="123"/>
    </row>
    <row r="48" spans="1:31" ht="18" customHeight="1" x14ac:dyDescent="0.2">
      <c r="A48" s="475"/>
      <c r="B48" s="476"/>
      <c r="C48" s="19"/>
      <c r="D48" s="1450" t="s">
        <v>162</v>
      </c>
      <c r="E48" s="1531" t="s">
        <v>124</v>
      </c>
      <c r="F48" s="1558"/>
      <c r="G48" s="1559"/>
      <c r="H48" s="98"/>
      <c r="I48" s="157"/>
      <c r="J48" s="158"/>
      <c r="K48" s="158"/>
      <c r="L48" s="171"/>
      <c r="M48" s="339"/>
      <c r="N48" s="158"/>
      <c r="O48" s="158"/>
      <c r="P48" s="241"/>
      <c r="Q48" s="408"/>
      <c r="R48" s="379"/>
      <c r="S48" s="379"/>
      <c r="T48" s="409"/>
      <c r="U48" s="176"/>
      <c r="V48" s="60"/>
      <c r="W48" s="1536" t="s">
        <v>125</v>
      </c>
      <c r="X48" s="540"/>
      <c r="Y48" s="82">
        <v>100</v>
      </c>
      <c r="Z48" s="81"/>
    </row>
    <row r="49" spans="1:31" ht="18" customHeight="1" x14ac:dyDescent="0.2">
      <c r="A49" s="475"/>
      <c r="B49" s="476"/>
      <c r="C49" s="19"/>
      <c r="D49" s="1450"/>
      <c r="E49" s="1531"/>
      <c r="F49" s="1558"/>
      <c r="G49" s="1559"/>
      <c r="H49" s="98"/>
      <c r="I49" s="157"/>
      <c r="J49" s="158"/>
      <c r="K49" s="158"/>
      <c r="L49" s="171"/>
      <c r="M49" s="339"/>
      <c r="N49" s="158"/>
      <c r="O49" s="158"/>
      <c r="P49" s="241"/>
      <c r="Q49" s="408"/>
      <c r="R49" s="379"/>
      <c r="S49" s="379"/>
      <c r="T49" s="409"/>
      <c r="U49" s="176"/>
      <c r="V49" s="60"/>
      <c r="W49" s="1536"/>
      <c r="X49" s="539"/>
      <c r="Y49" s="82"/>
      <c r="Z49" s="81"/>
    </row>
    <row r="50" spans="1:31" ht="18" customHeight="1" x14ac:dyDescent="0.2">
      <c r="A50" s="29"/>
      <c r="B50" s="32"/>
      <c r="C50" s="44"/>
      <c r="D50" s="1450"/>
      <c r="E50" s="1531"/>
      <c r="F50" s="1558"/>
      <c r="G50" s="1559"/>
      <c r="H50" s="110"/>
      <c r="I50" s="166"/>
      <c r="J50" s="167"/>
      <c r="K50" s="167"/>
      <c r="L50" s="168"/>
      <c r="M50" s="118"/>
      <c r="N50" s="167"/>
      <c r="O50" s="167"/>
      <c r="P50" s="119"/>
      <c r="Q50" s="419"/>
      <c r="R50" s="420"/>
      <c r="S50" s="420"/>
      <c r="T50" s="418"/>
      <c r="U50" s="176"/>
      <c r="V50" s="60"/>
      <c r="W50" s="1536"/>
      <c r="X50" s="540"/>
      <c r="Y50" s="82"/>
      <c r="Z50" s="81"/>
    </row>
    <row r="51" spans="1:31" ht="13.5" customHeight="1" thickBot="1" x14ac:dyDescent="0.25">
      <c r="A51" s="29"/>
      <c r="B51" s="32"/>
      <c r="C51" s="44"/>
      <c r="D51" s="1450"/>
      <c r="E51" s="1532"/>
      <c r="F51" s="1558"/>
      <c r="G51" s="1559"/>
      <c r="H51" s="400" t="s">
        <v>16</v>
      </c>
      <c r="I51" s="389">
        <f>J51+L51</f>
        <v>0</v>
      </c>
      <c r="J51" s="492"/>
      <c r="K51" s="389"/>
      <c r="L51" s="390">
        <f>SUM(L48:L50)</f>
        <v>0</v>
      </c>
      <c r="M51" s="460"/>
      <c r="N51" s="492"/>
      <c r="O51" s="389"/>
      <c r="P51" s="493"/>
      <c r="Q51" s="389">
        <f>R51+T51</f>
        <v>40</v>
      </c>
      <c r="R51" s="492">
        <f>SUM(R47:R50)</f>
        <v>40</v>
      </c>
      <c r="S51" s="389"/>
      <c r="T51" s="390"/>
      <c r="U51" s="399">
        <f>SUM(U47:U50)</f>
        <v>150</v>
      </c>
      <c r="V51" s="398"/>
      <c r="W51" s="1537"/>
      <c r="X51" s="541"/>
      <c r="Y51" s="542"/>
      <c r="Z51" s="543"/>
      <c r="AB51" s="123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546" t="s">
        <v>56</v>
      </c>
      <c r="E52" s="1542"/>
      <c r="F52" s="1544" t="s">
        <v>14</v>
      </c>
      <c r="G52" s="1546">
        <v>6</v>
      </c>
      <c r="H52" s="113" t="s">
        <v>12</v>
      </c>
      <c r="I52" s="57"/>
      <c r="J52" s="156"/>
      <c r="K52" s="57"/>
      <c r="L52" s="163"/>
      <c r="M52" s="549"/>
      <c r="N52" s="47"/>
      <c r="O52" s="156"/>
      <c r="P52" s="61"/>
      <c r="Q52" s="429">
        <f>R52+T52</f>
        <v>68.900000000000006</v>
      </c>
      <c r="R52" s="381">
        <f>10+58.9</f>
        <v>68.900000000000006</v>
      </c>
      <c r="S52" s="429"/>
      <c r="T52" s="382"/>
      <c r="U52" s="62">
        <v>110.3</v>
      </c>
      <c r="V52" s="57"/>
      <c r="W52" s="548" t="s">
        <v>146</v>
      </c>
      <c r="X52" s="115">
        <v>2</v>
      </c>
      <c r="Y52" s="116">
        <v>1</v>
      </c>
      <c r="Z52" s="117"/>
      <c r="AC52" s="123"/>
      <c r="AD52" s="123"/>
    </row>
    <row r="53" spans="1:31" ht="27.75" customHeight="1" x14ac:dyDescent="0.2">
      <c r="A53" s="475"/>
      <c r="B53" s="476"/>
      <c r="C53" s="19"/>
      <c r="D53" s="481" t="s">
        <v>163</v>
      </c>
      <c r="E53" s="1543"/>
      <c r="F53" s="1545"/>
      <c r="G53" s="1547"/>
      <c r="H53" s="98"/>
      <c r="I53" s="170"/>
      <c r="J53" s="158"/>
      <c r="K53" s="170"/>
      <c r="L53" s="171"/>
      <c r="M53" s="339"/>
      <c r="N53" s="170"/>
      <c r="O53" s="158"/>
      <c r="P53" s="60"/>
      <c r="Q53" s="416"/>
      <c r="R53" s="379"/>
      <c r="S53" s="416"/>
      <c r="T53" s="409"/>
      <c r="U53" s="176"/>
      <c r="V53" s="170"/>
      <c r="W53" s="482"/>
      <c r="X53" s="73"/>
      <c r="Y53" s="82"/>
      <c r="Z53" s="81"/>
    </row>
    <row r="54" spans="1:31" ht="27.75" customHeight="1" x14ac:dyDescent="0.2">
      <c r="A54" s="475"/>
      <c r="B54" s="476"/>
      <c r="C54" s="19"/>
      <c r="D54" s="481" t="s">
        <v>145</v>
      </c>
      <c r="E54" s="1543"/>
      <c r="F54" s="1545"/>
      <c r="G54" s="1547"/>
      <c r="H54" s="98"/>
      <c r="I54" s="170"/>
      <c r="J54" s="158"/>
      <c r="K54" s="170"/>
      <c r="L54" s="171"/>
      <c r="M54" s="339"/>
      <c r="N54" s="170"/>
      <c r="O54" s="158"/>
      <c r="P54" s="60"/>
      <c r="Q54" s="416"/>
      <c r="R54" s="379"/>
      <c r="S54" s="416"/>
      <c r="T54" s="409"/>
      <c r="U54" s="176"/>
      <c r="V54" s="170"/>
      <c r="W54" s="482"/>
      <c r="X54" s="73"/>
      <c r="Y54" s="82"/>
      <c r="Z54" s="81"/>
    </row>
    <row r="55" spans="1:31" ht="16.5" customHeight="1" x14ac:dyDescent="0.2">
      <c r="A55" s="475"/>
      <c r="B55" s="476"/>
      <c r="C55" s="19"/>
      <c r="D55" s="1538" t="s">
        <v>164</v>
      </c>
      <c r="E55" s="1543"/>
      <c r="F55" s="1545"/>
      <c r="G55" s="1547"/>
      <c r="H55" s="98"/>
      <c r="I55" s="170"/>
      <c r="J55" s="158"/>
      <c r="K55" s="170"/>
      <c r="L55" s="171"/>
      <c r="M55" s="339"/>
      <c r="N55" s="170"/>
      <c r="O55" s="158"/>
      <c r="P55" s="60"/>
      <c r="Q55" s="550"/>
      <c r="R55" s="379"/>
      <c r="S55" s="416"/>
      <c r="T55" s="409"/>
      <c r="U55" s="176"/>
      <c r="V55" s="170"/>
      <c r="W55" s="482"/>
      <c r="X55" s="73"/>
      <c r="Y55" s="82"/>
      <c r="Z55" s="81"/>
    </row>
    <row r="56" spans="1:31" ht="14.25" customHeight="1" thickBot="1" x14ac:dyDescent="0.25">
      <c r="A56" s="475"/>
      <c r="B56" s="476"/>
      <c r="C56" s="44"/>
      <c r="D56" s="1538"/>
      <c r="E56" s="1543"/>
      <c r="F56" s="1545"/>
      <c r="G56" s="1547"/>
      <c r="H56" s="412" t="s">
        <v>16</v>
      </c>
      <c r="I56" s="424" t="e">
        <f>J56+L56</f>
        <v>#REF!</v>
      </c>
      <c r="J56" s="430" t="e">
        <f>SUM(#REF!)</f>
        <v>#REF!</v>
      </c>
      <c r="K56" s="424"/>
      <c r="L56" s="425"/>
      <c r="M56" s="431"/>
      <c r="N56" s="424"/>
      <c r="O56" s="430"/>
      <c r="P56" s="432"/>
      <c r="Q56" s="427">
        <f>R56+T56</f>
        <v>68.900000000000006</v>
      </c>
      <c r="R56" s="430">
        <f>SUM(R52:R55)</f>
        <v>68.900000000000006</v>
      </c>
      <c r="S56" s="424"/>
      <c r="T56" s="425"/>
      <c r="U56" s="428">
        <f>SUM(U52:U55)</f>
        <v>110.3</v>
      </c>
      <c r="V56" s="424"/>
      <c r="W56" s="89"/>
      <c r="X56" s="217"/>
      <c r="Y56" s="90"/>
      <c r="Z56" s="91"/>
    </row>
    <row r="57" spans="1:31" ht="14.25" customHeight="1" thickBot="1" x14ac:dyDescent="0.25">
      <c r="A57" s="551" t="s">
        <v>9</v>
      </c>
      <c r="B57" s="552" t="s">
        <v>10</v>
      </c>
      <c r="C57" s="1533" t="s">
        <v>15</v>
      </c>
      <c r="D57" s="1534"/>
      <c r="E57" s="1534"/>
      <c r="F57" s="1534"/>
      <c r="G57" s="1534"/>
      <c r="H57" s="1535"/>
      <c r="I57" s="20" t="e">
        <f>#REF!+#REF!+I45</f>
        <v>#REF!</v>
      </c>
      <c r="J57" s="15" t="e">
        <f>#REF!+#REF!+J45</f>
        <v>#REF!</v>
      </c>
      <c r="K57" s="17" t="e">
        <f>#REF!+#REF!+K45</f>
        <v>#REF!</v>
      </c>
      <c r="L57" s="369" t="e">
        <f>#REF!+#REF!+L45</f>
        <v>#REF!</v>
      </c>
      <c r="M57" s="197" t="e">
        <f>#REF!+#REF!+M45</f>
        <v>#REF!</v>
      </c>
      <c r="N57" s="17" t="e">
        <f>#REF!+#REF!+N45</f>
        <v>#REF!</v>
      </c>
      <c r="O57" s="15" t="e">
        <f>#REF!+#REF!+O45</f>
        <v>#REF!</v>
      </c>
      <c r="P57" s="370" t="e">
        <f>#REF!+#REF!+P45</f>
        <v>#REF!</v>
      </c>
      <c r="Q57" s="203">
        <f>R57+T57</f>
        <v>9664.5</v>
      </c>
      <c r="R57" s="208">
        <f>R56+R51+R45</f>
        <v>9646</v>
      </c>
      <c r="S57" s="203">
        <f>S56+S51+S45</f>
        <v>4869.0999999999995</v>
      </c>
      <c r="T57" s="207">
        <f>T56+T51+T45</f>
        <v>18.5</v>
      </c>
      <c r="U57" s="545">
        <f>U56+U51+U45</f>
        <v>9788.6</v>
      </c>
      <c r="V57" s="203">
        <f>V56+V51+V45</f>
        <v>10422.800000000001</v>
      </c>
      <c r="W57" s="1539"/>
      <c r="X57" s="1540"/>
      <c r="Y57" s="1540"/>
      <c r="Z57" s="1541"/>
    </row>
    <row r="58" spans="1:31" ht="14.25" customHeight="1" thickBot="1" x14ac:dyDescent="0.25">
      <c r="A58" s="18" t="s">
        <v>9</v>
      </c>
      <c r="B58" s="179" t="s">
        <v>11</v>
      </c>
      <c r="C58" s="1608" t="s">
        <v>161</v>
      </c>
      <c r="D58" s="1523"/>
      <c r="E58" s="1523"/>
      <c r="F58" s="1523"/>
      <c r="G58" s="1523"/>
      <c r="H58" s="1523"/>
      <c r="I58" s="1523"/>
      <c r="J58" s="1523"/>
      <c r="K58" s="1523"/>
      <c r="L58" s="1523"/>
      <c r="M58" s="1523"/>
      <c r="N58" s="1523"/>
      <c r="O58" s="1523"/>
      <c r="P58" s="1523"/>
      <c r="Q58" s="1523"/>
      <c r="R58" s="1523"/>
      <c r="S58" s="1523"/>
      <c r="T58" s="1523"/>
      <c r="U58" s="1523"/>
      <c r="V58" s="1523"/>
      <c r="W58" s="1523"/>
      <c r="X58" s="1523"/>
      <c r="Y58" s="1523"/>
      <c r="Z58" s="1524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553" t="s">
        <v>150</v>
      </c>
      <c r="E59" s="485"/>
      <c r="F59" s="486" t="s">
        <v>14</v>
      </c>
      <c r="G59" s="488">
        <v>2</v>
      </c>
      <c r="H59" s="113" t="s">
        <v>12</v>
      </c>
      <c r="I59" s="155"/>
      <c r="J59" s="156"/>
      <c r="K59" s="156"/>
      <c r="L59" s="163"/>
      <c r="M59" s="559"/>
      <c r="N59" s="186"/>
      <c r="O59" s="57"/>
      <c r="P59" s="96"/>
      <c r="Q59" s="380">
        <f>R59+T59</f>
        <v>10</v>
      </c>
      <c r="R59" s="429">
        <v>10</v>
      </c>
      <c r="S59" s="381"/>
      <c r="T59" s="429"/>
      <c r="U59" s="62">
        <v>23</v>
      </c>
      <c r="V59" s="62">
        <v>23</v>
      </c>
      <c r="W59" s="284"/>
      <c r="X59" s="115"/>
      <c r="Y59" s="116"/>
      <c r="Z59" s="117"/>
    </row>
    <row r="60" spans="1:31" ht="39.75" customHeight="1" thickBot="1" x14ac:dyDescent="0.25">
      <c r="A60" s="24"/>
      <c r="B60" s="14"/>
      <c r="C60" s="331"/>
      <c r="D60" s="596" t="s">
        <v>148</v>
      </c>
      <c r="E60" s="478" t="s">
        <v>87</v>
      </c>
      <c r="F60" s="490"/>
      <c r="G60" s="595"/>
      <c r="H60" s="597"/>
      <c r="I60" s="340"/>
      <c r="J60" s="341"/>
      <c r="K60" s="341"/>
      <c r="L60" s="598"/>
      <c r="M60" s="599"/>
      <c r="N60" s="600"/>
      <c r="O60" s="601"/>
      <c r="P60" s="602"/>
      <c r="Q60" s="603"/>
      <c r="R60" s="604"/>
      <c r="S60" s="605"/>
      <c r="T60" s="604"/>
      <c r="U60" s="606"/>
      <c r="V60" s="606"/>
      <c r="W60" s="607" t="s">
        <v>165</v>
      </c>
      <c r="X60" s="293">
        <v>1</v>
      </c>
      <c r="Y60" s="280">
        <v>1</v>
      </c>
      <c r="Z60" s="281">
        <v>1</v>
      </c>
    </row>
    <row r="61" spans="1:31" ht="39.75" customHeight="1" x14ac:dyDescent="0.2">
      <c r="A61" s="475"/>
      <c r="B61" s="476"/>
      <c r="C61" s="19"/>
      <c r="D61" s="484" t="s">
        <v>149</v>
      </c>
      <c r="E61" s="479" t="s">
        <v>91</v>
      </c>
      <c r="F61" s="487"/>
      <c r="G61" s="594"/>
      <c r="H61" s="544"/>
      <c r="I61" s="157"/>
      <c r="J61" s="158"/>
      <c r="K61" s="158"/>
      <c r="L61" s="171"/>
      <c r="M61" s="560"/>
      <c r="N61" s="561"/>
      <c r="O61" s="562"/>
      <c r="P61" s="563"/>
      <c r="Q61" s="564"/>
      <c r="R61" s="565"/>
      <c r="S61" s="566"/>
      <c r="T61" s="565"/>
      <c r="U61" s="567"/>
      <c r="V61" s="567"/>
      <c r="W61" s="483" t="s">
        <v>83</v>
      </c>
      <c r="X61" s="336"/>
      <c r="Y61" s="278">
        <v>1</v>
      </c>
      <c r="Z61" s="279">
        <v>1</v>
      </c>
      <c r="AA61" s="123"/>
    </row>
    <row r="62" spans="1:31" ht="24.75" customHeight="1" x14ac:dyDescent="0.2">
      <c r="A62" s="475"/>
      <c r="B62" s="476"/>
      <c r="C62" s="19"/>
      <c r="D62" s="1609" t="s">
        <v>86</v>
      </c>
      <c r="E62" s="1531" t="s">
        <v>88</v>
      </c>
      <c r="F62" s="487"/>
      <c r="G62" s="489"/>
      <c r="H62" s="125"/>
      <c r="I62" s="222"/>
      <c r="J62" s="167"/>
      <c r="K62" s="222"/>
      <c r="L62" s="168"/>
      <c r="M62" s="560"/>
      <c r="N62" s="561"/>
      <c r="O62" s="562"/>
      <c r="P62" s="563"/>
      <c r="Q62" s="564"/>
      <c r="R62" s="565"/>
      <c r="S62" s="566"/>
      <c r="T62" s="565"/>
      <c r="U62" s="567"/>
      <c r="V62" s="567"/>
      <c r="W62" s="496" t="s">
        <v>147</v>
      </c>
      <c r="X62" s="288"/>
      <c r="Y62" s="289">
        <v>1</v>
      </c>
      <c r="Z62" s="290">
        <v>1</v>
      </c>
    </row>
    <row r="63" spans="1:31" ht="18" customHeight="1" thickBot="1" x14ac:dyDescent="0.25">
      <c r="A63" s="24"/>
      <c r="B63" s="14"/>
      <c r="C63" s="45"/>
      <c r="D63" s="1666"/>
      <c r="E63" s="1516"/>
      <c r="F63" s="490"/>
      <c r="G63" s="502"/>
      <c r="H63" s="400" t="s">
        <v>16</v>
      </c>
      <c r="I63" s="389"/>
      <c r="J63" s="472"/>
      <c r="K63" s="389"/>
      <c r="L63" s="390"/>
      <c r="M63" s="452">
        <f>SUM(M60:M62)</f>
        <v>0</v>
      </c>
      <c r="N63" s="439">
        <f t="shared" ref="N63" si="6">SUM(N60:N62)</f>
        <v>0</v>
      </c>
      <c r="O63" s="438"/>
      <c r="P63" s="453"/>
      <c r="Q63" s="437">
        <f>R63+T63</f>
        <v>10</v>
      </c>
      <c r="R63" s="438">
        <f>SUM(R59:R62)</f>
        <v>10</v>
      </c>
      <c r="S63" s="439">
        <f t="shared" ref="S63:T63" si="7">SUM(S60:S62)</f>
        <v>0</v>
      </c>
      <c r="T63" s="438">
        <f t="shared" si="7"/>
        <v>0</v>
      </c>
      <c r="U63" s="452">
        <f>SUM(U59:U62)</f>
        <v>23</v>
      </c>
      <c r="V63" s="454">
        <f>SUM(V59:V62)</f>
        <v>23</v>
      </c>
      <c r="W63" s="568" t="s">
        <v>171</v>
      </c>
      <c r="X63" s="293">
        <v>2</v>
      </c>
      <c r="Y63" s="280">
        <v>4</v>
      </c>
      <c r="Z63" s="281">
        <v>6</v>
      </c>
    </row>
    <row r="64" spans="1:31" ht="39.75" customHeight="1" x14ac:dyDescent="0.2">
      <c r="A64" s="475" t="s">
        <v>9</v>
      </c>
      <c r="B64" s="476" t="s">
        <v>11</v>
      </c>
      <c r="C64" s="19" t="s">
        <v>10</v>
      </c>
      <c r="D64" s="553" t="s">
        <v>151</v>
      </c>
      <c r="E64" s="186"/>
      <c r="F64" s="1616" t="s">
        <v>14</v>
      </c>
      <c r="G64" s="1613">
        <v>2</v>
      </c>
      <c r="H64" s="113" t="s">
        <v>12</v>
      </c>
      <c r="I64" s="155"/>
      <c r="J64" s="156"/>
      <c r="K64" s="156"/>
      <c r="L64" s="163"/>
      <c r="M64" s="569"/>
      <c r="N64" s="243"/>
      <c r="O64" s="244"/>
      <c r="P64" s="245"/>
      <c r="Q64" s="440"/>
      <c r="R64" s="441"/>
      <c r="S64" s="442"/>
      <c r="T64" s="441"/>
      <c r="U64" s="246">
        <v>90</v>
      </c>
      <c r="V64" s="246">
        <v>100</v>
      </c>
      <c r="W64" s="114"/>
      <c r="X64" s="115"/>
      <c r="Y64" s="116"/>
      <c r="Z64" s="117"/>
      <c r="AC64" s="123"/>
      <c r="AD64" s="123"/>
      <c r="AE64" s="123"/>
    </row>
    <row r="65" spans="1:31" ht="54.75" customHeight="1" x14ac:dyDescent="0.2">
      <c r="A65" s="25"/>
      <c r="B65" s="28"/>
      <c r="C65" s="19"/>
      <c r="D65" s="484" t="s">
        <v>152</v>
      </c>
      <c r="E65" s="554" t="s">
        <v>114</v>
      </c>
      <c r="F65" s="1617"/>
      <c r="G65" s="1614"/>
      <c r="H65" s="574"/>
      <c r="I65" s="561"/>
      <c r="J65" s="561"/>
      <c r="K65" s="561"/>
      <c r="L65" s="575"/>
      <c r="M65" s="576"/>
      <c r="N65" s="561"/>
      <c r="O65" s="561"/>
      <c r="P65" s="563"/>
      <c r="Q65" s="564"/>
      <c r="R65" s="566"/>
      <c r="S65" s="566"/>
      <c r="T65" s="577"/>
      <c r="U65" s="567"/>
      <c r="V65" s="578"/>
      <c r="W65" s="88" t="s">
        <v>157</v>
      </c>
      <c r="X65" s="288"/>
      <c r="Y65" s="289">
        <v>2</v>
      </c>
      <c r="Z65" s="290">
        <v>4</v>
      </c>
      <c r="AA65" s="235"/>
      <c r="AB65" s="123"/>
    </row>
    <row r="66" spans="1:31" ht="16.5" customHeight="1" x14ac:dyDescent="0.2">
      <c r="A66" s="475"/>
      <c r="B66" s="476"/>
      <c r="C66" s="19"/>
      <c r="D66" s="1609" t="s">
        <v>94</v>
      </c>
      <c r="E66" s="1660" t="s">
        <v>95</v>
      </c>
      <c r="F66" s="1617"/>
      <c r="G66" s="1614"/>
      <c r="H66" s="570"/>
      <c r="I66" s="571"/>
      <c r="J66" s="572"/>
      <c r="K66" s="572"/>
      <c r="L66" s="573"/>
      <c r="M66" s="347"/>
      <c r="N66" s="348"/>
      <c r="O66" s="349"/>
      <c r="P66" s="350"/>
      <c r="Q66" s="555"/>
      <c r="R66" s="556"/>
      <c r="S66" s="557"/>
      <c r="T66" s="556"/>
      <c r="U66" s="558"/>
      <c r="V66" s="558"/>
      <c r="W66" s="1659" t="s">
        <v>97</v>
      </c>
      <c r="X66" s="579">
        <v>0</v>
      </c>
      <c r="Y66" s="289">
        <v>1</v>
      </c>
      <c r="Z66" s="290">
        <v>0</v>
      </c>
      <c r="AA66" s="235"/>
      <c r="AD66" s="123"/>
    </row>
    <row r="67" spans="1:31" ht="15" customHeight="1" thickBot="1" x14ac:dyDescent="0.25">
      <c r="A67" s="475"/>
      <c r="B67" s="476"/>
      <c r="C67" s="44"/>
      <c r="D67" s="1609"/>
      <c r="E67" s="1660"/>
      <c r="F67" s="1618"/>
      <c r="G67" s="1615"/>
      <c r="H67" s="455" t="s">
        <v>16</v>
      </c>
      <c r="I67" s="444"/>
      <c r="J67" s="445"/>
      <c r="K67" s="444"/>
      <c r="L67" s="456"/>
      <c r="M67" s="457"/>
      <c r="N67" s="445"/>
      <c r="O67" s="444"/>
      <c r="P67" s="458"/>
      <c r="Q67" s="443"/>
      <c r="R67" s="444"/>
      <c r="S67" s="445"/>
      <c r="T67" s="444"/>
      <c r="U67" s="459">
        <f>SUM(U64:U66)</f>
        <v>90</v>
      </c>
      <c r="V67" s="459">
        <f>SUM(V64:V66)</f>
        <v>100</v>
      </c>
      <c r="W67" s="1659"/>
      <c r="X67" s="288"/>
      <c r="Y67" s="289"/>
      <c r="Z67" s="290"/>
      <c r="AA67" s="235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553" t="s">
        <v>100</v>
      </c>
      <c r="E68" s="1515" t="s">
        <v>104</v>
      </c>
      <c r="F68" s="1544" t="s">
        <v>14</v>
      </c>
      <c r="G68" s="1519" t="s">
        <v>35</v>
      </c>
      <c r="H68" s="113" t="s">
        <v>12</v>
      </c>
      <c r="I68" s="57"/>
      <c r="J68" s="156"/>
      <c r="K68" s="57"/>
      <c r="L68" s="163"/>
      <c r="M68" s="580">
        <f>N68+P68</f>
        <v>5</v>
      </c>
      <c r="N68" s="376">
        <v>5</v>
      </c>
      <c r="O68" s="186"/>
      <c r="P68" s="581"/>
      <c r="Q68" s="380">
        <f>R68+T68</f>
        <v>5</v>
      </c>
      <c r="R68" s="429">
        <v>5</v>
      </c>
      <c r="S68" s="381"/>
      <c r="T68" s="429"/>
      <c r="U68" s="63">
        <v>5</v>
      </c>
      <c r="V68" s="63">
        <v>15</v>
      </c>
      <c r="W68" s="507"/>
      <c r="X68" s="291"/>
      <c r="Y68" s="266"/>
      <c r="Z68" s="292"/>
      <c r="AE68" s="123"/>
    </row>
    <row r="69" spans="1:31" ht="16.5" customHeight="1" x14ac:dyDescent="0.2">
      <c r="A69" s="475"/>
      <c r="B69" s="476"/>
      <c r="C69" s="19"/>
      <c r="D69" s="480" t="s">
        <v>102</v>
      </c>
      <c r="E69" s="1531"/>
      <c r="F69" s="1545"/>
      <c r="G69" s="1559"/>
      <c r="H69" s="98"/>
      <c r="I69" s="170"/>
      <c r="J69" s="158"/>
      <c r="K69" s="170"/>
      <c r="L69" s="171"/>
      <c r="M69" s="531"/>
      <c r="N69" s="228"/>
      <c r="O69" s="185"/>
      <c r="P69" s="582"/>
      <c r="Q69" s="408"/>
      <c r="R69" s="416"/>
      <c r="S69" s="379"/>
      <c r="T69" s="416"/>
      <c r="U69" s="65"/>
      <c r="V69" s="65"/>
      <c r="W69" s="587" t="s">
        <v>112</v>
      </c>
      <c r="X69" s="583">
        <v>1</v>
      </c>
      <c r="Y69" s="584">
        <v>1</v>
      </c>
      <c r="Z69" s="585">
        <v>1</v>
      </c>
    </row>
    <row r="70" spans="1:31" ht="15.75" customHeight="1" x14ac:dyDescent="0.2">
      <c r="A70" s="475"/>
      <c r="B70" s="476"/>
      <c r="C70" s="19"/>
      <c r="D70" s="1557" t="s">
        <v>101</v>
      </c>
      <c r="E70" s="1531"/>
      <c r="F70" s="1545"/>
      <c r="G70" s="1559"/>
      <c r="H70" s="125"/>
      <c r="I70" s="222"/>
      <c r="J70" s="167"/>
      <c r="K70" s="222"/>
      <c r="L70" s="168"/>
      <c r="M70" s="372"/>
      <c r="N70" s="374"/>
      <c r="O70" s="374"/>
      <c r="P70" s="375"/>
      <c r="Q70" s="419"/>
      <c r="R70" s="417"/>
      <c r="S70" s="420"/>
      <c r="T70" s="417"/>
      <c r="U70" s="520"/>
      <c r="V70" s="520"/>
      <c r="W70" s="1651" t="s">
        <v>103</v>
      </c>
      <c r="X70" s="586"/>
      <c r="Y70" s="584"/>
      <c r="Z70" s="585">
        <v>1</v>
      </c>
    </row>
    <row r="71" spans="1:31" ht="16.5" customHeight="1" thickBot="1" x14ac:dyDescent="0.25">
      <c r="A71" s="24"/>
      <c r="B71" s="14"/>
      <c r="C71" s="45"/>
      <c r="D71" s="1466"/>
      <c r="E71" s="1516"/>
      <c r="F71" s="1654"/>
      <c r="G71" s="1520"/>
      <c r="H71" s="400" t="s">
        <v>16</v>
      </c>
      <c r="I71" s="389"/>
      <c r="J71" s="492"/>
      <c r="K71" s="389"/>
      <c r="L71" s="390"/>
      <c r="M71" s="491">
        <f>SUM(M69:M70)</f>
        <v>0</v>
      </c>
      <c r="N71" s="492">
        <f t="shared" ref="N71" si="8">SUM(N69:N70)</f>
        <v>0</v>
      </c>
      <c r="O71" s="492"/>
      <c r="P71" s="493"/>
      <c r="Q71" s="389">
        <f>R71+T71</f>
        <v>5</v>
      </c>
      <c r="R71" s="492">
        <f>SUM(R68:R70)</f>
        <v>5</v>
      </c>
      <c r="S71" s="492"/>
      <c r="T71" s="389"/>
      <c r="U71" s="460">
        <f>SUM(U68:U70)</f>
        <v>5</v>
      </c>
      <c r="V71" s="399">
        <f>SUM(V68:V70)</f>
        <v>15</v>
      </c>
      <c r="W71" s="1652"/>
      <c r="X71" s="293"/>
      <c r="Y71" s="280"/>
      <c r="Z71" s="281"/>
      <c r="AB71" s="123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1465" t="s">
        <v>121</v>
      </c>
      <c r="E72" s="1560" t="s">
        <v>98</v>
      </c>
      <c r="F72" s="1655" t="s">
        <v>14</v>
      </c>
      <c r="G72" s="1661" t="s">
        <v>35</v>
      </c>
      <c r="H72" s="236" t="s">
        <v>12</v>
      </c>
      <c r="I72" s="237"/>
      <c r="J72" s="238"/>
      <c r="K72" s="238"/>
      <c r="L72" s="239"/>
      <c r="M72" s="347">
        <f>N72+P72</f>
        <v>50</v>
      </c>
      <c r="N72" s="348">
        <v>50</v>
      </c>
      <c r="O72" s="349"/>
      <c r="P72" s="350"/>
      <c r="Q72" s="449">
        <f>R72+T72</f>
        <v>20.100000000000001</v>
      </c>
      <c r="R72" s="450">
        <v>20.100000000000001</v>
      </c>
      <c r="S72" s="451"/>
      <c r="T72" s="450"/>
      <c r="U72" s="294">
        <v>50</v>
      </c>
      <c r="V72" s="294">
        <v>50</v>
      </c>
      <c r="W72" s="295" t="s">
        <v>108</v>
      </c>
      <c r="X72" s="296">
        <v>4</v>
      </c>
      <c r="Y72" s="297">
        <v>10</v>
      </c>
      <c r="Z72" s="298">
        <v>10</v>
      </c>
      <c r="AA72" s="235"/>
    </row>
    <row r="73" spans="1:31" ht="17.25" customHeight="1" thickBot="1" x14ac:dyDescent="0.25">
      <c r="A73" s="24"/>
      <c r="B73" s="14"/>
      <c r="C73" s="45"/>
      <c r="D73" s="1466"/>
      <c r="E73" s="1561"/>
      <c r="F73" s="1656"/>
      <c r="G73" s="1662"/>
      <c r="H73" s="461" t="s">
        <v>16</v>
      </c>
      <c r="I73" s="438"/>
      <c r="J73" s="439"/>
      <c r="K73" s="438"/>
      <c r="L73" s="453"/>
      <c r="M73" s="452">
        <f>M72</f>
        <v>50</v>
      </c>
      <c r="N73" s="439">
        <f t="shared" ref="N73" si="9">N72</f>
        <v>50</v>
      </c>
      <c r="O73" s="438"/>
      <c r="P73" s="453"/>
      <c r="Q73" s="437">
        <f>R73+T73</f>
        <v>20.100000000000001</v>
      </c>
      <c r="R73" s="438">
        <f>SUM(R72)</f>
        <v>20.100000000000001</v>
      </c>
      <c r="S73" s="439"/>
      <c r="T73" s="438"/>
      <c r="U73" s="452">
        <f t="shared" ref="U73:V73" si="10">U72</f>
        <v>50</v>
      </c>
      <c r="V73" s="454">
        <f t="shared" si="10"/>
        <v>50</v>
      </c>
      <c r="W73" s="299"/>
      <c r="X73" s="300"/>
      <c r="Y73" s="301"/>
      <c r="Z73" s="302"/>
      <c r="AA73" s="235"/>
    </row>
    <row r="74" spans="1:31" ht="14.25" customHeight="1" thickBot="1" x14ac:dyDescent="0.25">
      <c r="A74" s="30" t="s">
        <v>9</v>
      </c>
      <c r="B74" s="33" t="s">
        <v>11</v>
      </c>
      <c r="C74" s="1527" t="s">
        <v>15</v>
      </c>
      <c r="D74" s="1528"/>
      <c r="E74" s="1528"/>
      <c r="F74" s="1528"/>
      <c r="G74" s="1528"/>
      <c r="H74" s="1653"/>
      <c r="I74" s="197">
        <f>I73+I67+I63</f>
        <v>0</v>
      </c>
      <c r="J74" s="203">
        <f>J73+J67+J63</f>
        <v>0</v>
      </c>
      <c r="K74" s="15">
        <f>K73+K67+K63</f>
        <v>0</v>
      </c>
      <c r="L74" s="203">
        <f>L73+L67+L63</f>
        <v>0</v>
      </c>
      <c r="M74" s="198">
        <f t="shared" ref="M74:O74" si="11">M73+M67+M63+M71</f>
        <v>50</v>
      </c>
      <c r="N74" s="208">
        <f>N73+N67+N63+N71</f>
        <v>50</v>
      </c>
      <c r="O74" s="203">
        <f t="shared" si="11"/>
        <v>0</v>
      </c>
      <c r="P74" s="207">
        <f>P73+P67+P63+P71</f>
        <v>0</v>
      </c>
      <c r="Q74" s="209">
        <f t="shared" ref="Q74" si="12">Q73+Q67+Q63+Q71</f>
        <v>35.1</v>
      </c>
      <c r="R74" s="203">
        <f>R73+R67+R63+R71</f>
        <v>35.1</v>
      </c>
      <c r="S74" s="208"/>
      <c r="T74" s="203"/>
      <c r="U74" s="198">
        <f>U73+U67+U63+U71</f>
        <v>168</v>
      </c>
      <c r="V74" s="198">
        <f>V73+V67+V63+V71</f>
        <v>188</v>
      </c>
      <c r="W74" s="1485"/>
      <c r="X74" s="1486"/>
      <c r="Y74" s="1486"/>
      <c r="Z74" s="1487"/>
    </row>
    <row r="75" spans="1:31" ht="14.25" customHeight="1" thickBot="1" x14ac:dyDescent="0.25">
      <c r="A75" s="13" t="s">
        <v>9</v>
      </c>
      <c r="B75" s="1562" t="s">
        <v>17</v>
      </c>
      <c r="C75" s="1562"/>
      <c r="D75" s="1562"/>
      <c r="E75" s="1562"/>
      <c r="F75" s="1562"/>
      <c r="G75" s="1562"/>
      <c r="H75" s="1563"/>
      <c r="I75" s="205" t="e">
        <f>I57+I30+I74</f>
        <v>#REF!</v>
      </c>
      <c r="J75" s="204" t="e">
        <f>J57+J30+J74</f>
        <v>#REF!</v>
      </c>
      <c r="K75" s="206" t="e">
        <f>K57+K30+K74</f>
        <v>#REF!</v>
      </c>
      <c r="L75" s="204" t="e">
        <f>L57+L30+L74</f>
        <v>#REF!</v>
      </c>
      <c r="M75" s="153" t="e">
        <f>M74+M57+M30</f>
        <v>#REF!</v>
      </c>
      <c r="N75" s="153" t="e">
        <f>N74+N57+N30</f>
        <v>#REF!</v>
      </c>
      <c r="O75" s="153" t="e">
        <f>O74+O57+O30</f>
        <v>#REF!</v>
      </c>
      <c r="P75" s="153" t="e">
        <f>P74+P57+P30</f>
        <v>#REF!</v>
      </c>
      <c r="Q75" s="205">
        <f t="shared" ref="Q75:V75" si="13">Q57+Q30+Q74</f>
        <v>11053.4</v>
      </c>
      <c r="R75" s="204">
        <f t="shared" si="13"/>
        <v>11034.9</v>
      </c>
      <c r="S75" s="206">
        <f t="shared" si="13"/>
        <v>4869.0999999999995</v>
      </c>
      <c r="T75" s="204">
        <f t="shared" si="13"/>
        <v>18.5</v>
      </c>
      <c r="U75" s="153">
        <f t="shared" si="13"/>
        <v>11712.4</v>
      </c>
      <c r="V75" s="153">
        <f t="shared" si="13"/>
        <v>12492.2</v>
      </c>
      <c r="W75" s="1610"/>
      <c r="X75" s="1611"/>
      <c r="Y75" s="1611"/>
      <c r="Z75" s="1612"/>
    </row>
    <row r="76" spans="1:31" ht="14.25" customHeight="1" thickBot="1" x14ac:dyDescent="0.25">
      <c r="A76" s="31" t="s">
        <v>14</v>
      </c>
      <c r="B76" s="1579" t="s">
        <v>99</v>
      </c>
      <c r="C76" s="1579"/>
      <c r="D76" s="1579"/>
      <c r="E76" s="1579"/>
      <c r="F76" s="1579"/>
      <c r="G76" s="1579"/>
      <c r="H76" s="1580"/>
      <c r="I76" s="303" t="e">
        <f>I75</f>
        <v>#REF!</v>
      </c>
      <c r="J76" s="304" t="e">
        <f>J75</f>
        <v>#REF!</v>
      </c>
      <c r="K76" s="305" t="e">
        <f>K75</f>
        <v>#REF!</v>
      </c>
      <c r="L76" s="306" t="e">
        <f>L75</f>
        <v>#REF!</v>
      </c>
      <c r="M76" s="304" t="e">
        <f t="shared" ref="M76:P76" si="14">M75</f>
        <v>#REF!</v>
      </c>
      <c r="N76" s="305" t="e">
        <f t="shared" si="14"/>
        <v>#REF!</v>
      </c>
      <c r="O76" s="307" t="e">
        <f t="shared" si="14"/>
        <v>#REF!</v>
      </c>
      <c r="P76" s="304" t="e">
        <f t="shared" si="14"/>
        <v>#REF!</v>
      </c>
      <c r="Q76" s="308">
        <f t="shared" ref="Q76:U76" si="15">Q75</f>
        <v>11053.4</v>
      </c>
      <c r="R76" s="309">
        <f t="shared" si="15"/>
        <v>11034.9</v>
      </c>
      <c r="S76" s="305">
        <f t="shared" si="15"/>
        <v>4869.0999999999995</v>
      </c>
      <c r="T76" s="306">
        <f t="shared" si="15"/>
        <v>18.5</v>
      </c>
      <c r="U76" s="310">
        <f t="shared" si="15"/>
        <v>11712.4</v>
      </c>
      <c r="V76" s="307">
        <f>V75</f>
        <v>12492.2</v>
      </c>
      <c r="W76" s="1667"/>
      <c r="X76" s="1668"/>
      <c r="Y76" s="1668"/>
      <c r="Z76" s="1669"/>
    </row>
    <row r="77" spans="1:31" ht="22.5" customHeight="1" x14ac:dyDescent="0.2">
      <c r="A77" s="1619" t="s">
        <v>21</v>
      </c>
      <c r="B77" s="1619"/>
      <c r="C77" s="1619"/>
      <c r="D77" s="1619"/>
      <c r="E77" s="1619"/>
      <c r="F77" s="1619"/>
      <c r="G77" s="1619"/>
      <c r="H77" s="1619"/>
      <c r="I77" s="1619"/>
      <c r="J77" s="1619"/>
      <c r="K77" s="1619"/>
      <c r="L77" s="1619"/>
      <c r="M77" s="1619"/>
      <c r="N77" s="1619"/>
      <c r="O77" s="1619"/>
      <c r="P77" s="1619"/>
      <c r="Q77" s="1619"/>
      <c r="R77" s="1619"/>
      <c r="S77" s="1619"/>
      <c r="T77" s="1619"/>
      <c r="U77" s="1619"/>
      <c r="V77" s="1619"/>
      <c r="W77" s="311"/>
      <c r="X77" s="311"/>
      <c r="Y77" s="311"/>
      <c r="Z77" s="311"/>
    </row>
    <row r="78" spans="1:31" ht="13.5" customHeight="1" thickBot="1" x14ac:dyDescent="0.25">
      <c r="A78" s="2"/>
      <c r="B78" s="3"/>
      <c r="C78" s="3"/>
      <c r="D78" s="3"/>
      <c r="E78" s="46"/>
      <c r="F78" s="46"/>
      <c r="G78" s="43"/>
      <c r="H78" s="10"/>
      <c r="I78" s="1590"/>
      <c r="J78" s="1590"/>
      <c r="K78" s="1590"/>
      <c r="L78" s="1590"/>
      <c r="M78" s="1590"/>
      <c r="N78" s="1590"/>
      <c r="O78" s="1590"/>
      <c r="P78" s="1590"/>
      <c r="Q78" s="1590"/>
      <c r="R78" s="1590"/>
      <c r="S78" s="1590"/>
      <c r="T78" s="1590"/>
      <c r="U78" s="358"/>
      <c r="V78" s="358"/>
      <c r="W78" s="1598"/>
      <c r="X78" s="1598"/>
      <c r="Y78" s="1598"/>
      <c r="Z78" s="1598"/>
    </row>
    <row r="79" spans="1:31" ht="30.75" customHeight="1" x14ac:dyDescent="0.2">
      <c r="A79" s="1587" t="s">
        <v>19</v>
      </c>
      <c r="B79" s="1588"/>
      <c r="C79" s="1588"/>
      <c r="D79" s="1588"/>
      <c r="E79" s="1588"/>
      <c r="F79" s="1588"/>
      <c r="G79" s="1588"/>
      <c r="H79" s="1589"/>
      <c r="I79" s="1591" t="s">
        <v>105</v>
      </c>
      <c r="J79" s="1592"/>
      <c r="K79" s="1592"/>
      <c r="L79" s="1593"/>
      <c r="M79" s="1591" t="s">
        <v>75</v>
      </c>
      <c r="N79" s="1592"/>
      <c r="O79" s="1592"/>
      <c r="P79" s="1593"/>
      <c r="Q79" s="1591" t="s">
        <v>106</v>
      </c>
      <c r="R79" s="1592"/>
      <c r="S79" s="1592"/>
      <c r="T79" s="1593"/>
      <c r="U79" s="659" t="s">
        <v>180</v>
      </c>
      <c r="V79" s="660" t="s">
        <v>181</v>
      </c>
      <c r="W79" s="70"/>
      <c r="X79" s="1601"/>
      <c r="Y79" s="1601"/>
      <c r="Z79" s="1601"/>
    </row>
    <row r="80" spans="1:31" x14ac:dyDescent="0.2">
      <c r="A80" s="1576" t="s">
        <v>32</v>
      </c>
      <c r="B80" s="1577"/>
      <c r="C80" s="1577"/>
      <c r="D80" s="1577"/>
      <c r="E80" s="1577"/>
      <c r="F80" s="1577"/>
      <c r="G80" s="1577"/>
      <c r="H80" s="1578"/>
      <c r="I80" s="1594">
        <f>SUM(I81:L83)</f>
        <v>386</v>
      </c>
      <c r="J80" s="1595"/>
      <c r="K80" s="1595"/>
      <c r="L80" s="1596"/>
      <c r="M80" s="1594">
        <f>SUM(M81:P83)</f>
        <v>459</v>
      </c>
      <c r="N80" s="1595"/>
      <c r="O80" s="1595"/>
      <c r="P80" s="1596"/>
      <c r="Q80" s="1594">
        <f>SUM(Q81:T83)</f>
        <v>10405.699999999999</v>
      </c>
      <c r="R80" s="1595"/>
      <c r="S80" s="1595"/>
      <c r="T80" s="1596"/>
      <c r="U80" s="53">
        <f>SUM(U81:U83)</f>
        <v>11545.8</v>
      </c>
      <c r="V80" s="54">
        <f ca="1">SUM(V81:V83)</f>
        <v>12301.2</v>
      </c>
      <c r="W80" s="71"/>
      <c r="X80" s="1599"/>
      <c r="Y80" s="1599"/>
      <c r="Z80" s="1599"/>
    </row>
    <row r="81" spans="1:26" x14ac:dyDescent="0.2">
      <c r="A81" s="1570" t="s">
        <v>22</v>
      </c>
      <c r="B81" s="1571"/>
      <c r="C81" s="1571"/>
      <c r="D81" s="1571"/>
      <c r="E81" s="1571"/>
      <c r="F81" s="1571"/>
      <c r="G81" s="1571"/>
      <c r="H81" s="1572"/>
      <c r="I81" s="1512">
        <f>SUMIF(H13:H72,H13,I13:I72)</f>
        <v>0</v>
      </c>
      <c r="J81" s="1513"/>
      <c r="K81" s="1513"/>
      <c r="L81" s="1514"/>
      <c r="M81" s="1512">
        <f>SUMIF(H13:H72,H13,M13:M72)</f>
        <v>0</v>
      </c>
      <c r="N81" s="1513"/>
      <c r="O81" s="1513"/>
      <c r="P81" s="1514"/>
      <c r="Q81" s="1512">
        <f>SUMIF(H12:H72,"sb",Q12:Q72)</f>
        <v>8792.2999999999993</v>
      </c>
      <c r="R81" s="1513"/>
      <c r="S81" s="1513"/>
      <c r="T81" s="1514"/>
      <c r="U81" s="364">
        <f>SUMIF(H12:H72,"sb",U12:U72)</f>
        <v>9944.2999999999993</v>
      </c>
      <c r="V81" s="67">
        <f ca="1">SUMIF(H12:P72,"SB",V12:V72)</f>
        <v>10699.7</v>
      </c>
      <c r="W81" s="169"/>
      <c r="X81" s="1600"/>
      <c r="Y81" s="1600"/>
      <c r="Z81" s="1600"/>
    </row>
    <row r="82" spans="1:26" x14ac:dyDescent="0.2">
      <c r="A82" s="1581" t="s">
        <v>117</v>
      </c>
      <c r="B82" s="1582"/>
      <c r="C82" s="1582"/>
      <c r="D82" s="1582"/>
      <c r="E82" s="1582"/>
      <c r="F82" s="1582"/>
      <c r="G82" s="1582"/>
      <c r="H82" s="1583"/>
      <c r="I82" s="1573">
        <f>SUMIF(H13:H72,"sb(vr)",I13:I72)</f>
        <v>386</v>
      </c>
      <c r="J82" s="1574"/>
      <c r="K82" s="1574"/>
      <c r="L82" s="1575"/>
      <c r="M82" s="1573">
        <f>SUMIF(H13:H72,"sb(vr)",M13:M72)</f>
        <v>459</v>
      </c>
      <c r="N82" s="1574"/>
      <c r="O82" s="1574"/>
      <c r="P82" s="1575"/>
      <c r="Q82" s="1573">
        <f>SUMIF(H13:H72,"sb(vr)",Q13:Q72)</f>
        <v>459</v>
      </c>
      <c r="R82" s="1574"/>
      <c r="S82" s="1574"/>
      <c r="T82" s="1575"/>
      <c r="U82" s="364">
        <f>SUMIF(H12:H72,"sb(vr)",U12:U72)</f>
        <v>459</v>
      </c>
      <c r="V82" s="67">
        <f>SUMIF(H13:H72,"sb(vr)",V13:V72)</f>
        <v>459</v>
      </c>
      <c r="W82" s="169"/>
      <c r="X82" s="356"/>
      <c r="Y82" s="356"/>
      <c r="Z82" s="356"/>
    </row>
    <row r="83" spans="1:26" ht="17.25" customHeight="1" x14ac:dyDescent="0.2">
      <c r="A83" s="1584" t="s">
        <v>31</v>
      </c>
      <c r="B83" s="1585"/>
      <c r="C83" s="1585"/>
      <c r="D83" s="1585"/>
      <c r="E83" s="1585"/>
      <c r="F83" s="1585"/>
      <c r="G83" s="1585"/>
      <c r="H83" s="1586"/>
      <c r="I83" s="1567">
        <f>SUMIF(H13:H72,#REF!,I13:I72)</f>
        <v>0</v>
      </c>
      <c r="J83" s="1568"/>
      <c r="K83" s="1568"/>
      <c r="L83" s="1569"/>
      <c r="M83" s="1567">
        <f>SUMIF(H13:H72,#REF!,M13:M72)</f>
        <v>0</v>
      </c>
      <c r="N83" s="1568"/>
      <c r="O83" s="1568"/>
      <c r="P83" s="1569"/>
      <c r="Q83" s="1567">
        <f>SUMIF(H13:H72,"sb(sp)",Q13:Q72)</f>
        <v>1154.4000000000001</v>
      </c>
      <c r="R83" s="1568"/>
      <c r="S83" s="1568"/>
      <c r="T83" s="1569"/>
      <c r="U83" s="357">
        <f>SUMIF(H13:H72,"sb(sp)",U13:U72)</f>
        <v>1142.5</v>
      </c>
      <c r="V83" s="68">
        <f>SUMIF(H13:H72,"sb(sp)",V13:V72)</f>
        <v>1142.5</v>
      </c>
      <c r="W83" s="169"/>
      <c r="X83" s="1600"/>
      <c r="Y83" s="1600"/>
      <c r="Z83" s="1600"/>
    </row>
    <row r="84" spans="1:26" ht="13.5" customHeight="1" x14ac:dyDescent="0.2">
      <c r="A84" s="1576" t="s">
        <v>33</v>
      </c>
      <c r="B84" s="1577"/>
      <c r="C84" s="1577"/>
      <c r="D84" s="1577"/>
      <c r="E84" s="1577"/>
      <c r="F84" s="1577"/>
      <c r="G84" s="1577"/>
      <c r="H84" s="1578"/>
      <c r="I84" s="1564">
        <f>SUM(I85:L86)</f>
        <v>0</v>
      </c>
      <c r="J84" s="1565"/>
      <c r="K84" s="1565"/>
      <c r="L84" s="1566"/>
      <c r="M84" s="1564">
        <f>SUM(M85:P86)</f>
        <v>0</v>
      </c>
      <c r="N84" s="1565"/>
      <c r="O84" s="1565"/>
      <c r="P84" s="1566"/>
      <c r="Q84" s="1564">
        <f>SUM(Q85:T86)</f>
        <v>647.70000000000005</v>
      </c>
      <c r="R84" s="1565"/>
      <c r="S84" s="1565"/>
      <c r="T84" s="1566"/>
      <c r="U84" s="58">
        <f>SUM(U85:U86)</f>
        <v>166.6</v>
      </c>
      <c r="V84" s="69">
        <f>SUM(V85:V86)</f>
        <v>191</v>
      </c>
      <c r="W84" s="71"/>
      <c r="X84" s="1599"/>
      <c r="Y84" s="1599"/>
      <c r="Z84" s="1599"/>
    </row>
    <row r="85" spans="1:26" ht="13.5" customHeight="1" x14ac:dyDescent="0.2">
      <c r="A85" s="1570" t="s">
        <v>23</v>
      </c>
      <c r="B85" s="1571"/>
      <c r="C85" s="1571"/>
      <c r="D85" s="1571"/>
      <c r="E85" s="1571"/>
      <c r="F85" s="1571"/>
      <c r="G85" s="1571"/>
      <c r="H85" s="1572"/>
      <c r="I85" s="1512">
        <f>SUMIF(H13:H72,"es",I13:I72)</f>
        <v>0</v>
      </c>
      <c r="J85" s="1513"/>
      <c r="K85" s="1513"/>
      <c r="L85" s="1514"/>
      <c r="M85" s="1512">
        <f>SUMIF(H13:H72,#REF!,M13:M72)</f>
        <v>0</v>
      </c>
      <c r="N85" s="1513"/>
      <c r="O85" s="1513"/>
      <c r="P85" s="1514"/>
      <c r="Q85" s="1512">
        <f>SUMIF(H13:H72,"es",Q13:Q72)</f>
        <v>456.7</v>
      </c>
      <c r="R85" s="1513"/>
      <c r="S85" s="1513"/>
      <c r="T85" s="1514"/>
      <c r="U85" s="364">
        <f>SUMIF(H13:H72,H41,U13:U72)</f>
        <v>0</v>
      </c>
      <c r="V85" s="67">
        <f>SUMIF(H13:H72,"es",V13:V72)</f>
        <v>0</v>
      </c>
      <c r="W85" s="169"/>
      <c r="X85" s="1600"/>
      <c r="Y85" s="1600"/>
      <c r="Z85" s="1600"/>
    </row>
    <row r="86" spans="1:26" ht="13.5" customHeight="1" x14ac:dyDescent="0.2">
      <c r="A86" s="1570" t="s">
        <v>24</v>
      </c>
      <c r="B86" s="1571"/>
      <c r="C86" s="1571"/>
      <c r="D86" s="1571"/>
      <c r="E86" s="1571"/>
      <c r="F86" s="1571"/>
      <c r="G86" s="1571"/>
      <c r="H86" s="1572"/>
      <c r="I86" s="1512">
        <f>SUMIF(H13:H72,#REF!,I13:I72)</f>
        <v>0</v>
      </c>
      <c r="J86" s="1513"/>
      <c r="K86" s="1513"/>
      <c r="L86" s="1514"/>
      <c r="M86" s="1512">
        <f>SUMIF(H13:H72,#REF!,M13:M72)</f>
        <v>0</v>
      </c>
      <c r="N86" s="1513"/>
      <c r="O86" s="1513"/>
      <c r="P86" s="1514"/>
      <c r="Q86" s="1512">
        <f>SUMIF(H13:H72,"lrvb",Q13:Q72)</f>
        <v>191</v>
      </c>
      <c r="R86" s="1513"/>
      <c r="S86" s="1513"/>
      <c r="T86" s="1514"/>
      <c r="U86" s="364">
        <f>SUMIF(H13:H72,"lrvb",U13:U72)</f>
        <v>166.6</v>
      </c>
      <c r="V86" s="67">
        <f>SUMIF(H13:H72,"lrvb",V13:V72)</f>
        <v>191</v>
      </c>
      <c r="W86" s="169"/>
      <c r="X86" s="1600"/>
      <c r="Y86" s="1600"/>
      <c r="Z86" s="1600"/>
    </row>
    <row r="87" spans="1:26" ht="13.5" customHeight="1" thickBot="1" x14ac:dyDescent="0.25">
      <c r="A87" s="1605" t="s">
        <v>16</v>
      </c>
      <c r="B87" s="1606"/>
      <c r="C87" s="1606"/>
      <c r="D87" s="1606"/>
      <c r="E87" s="1606"/>
      <c r="F87" s="1606"/>
      <c r="G87" s="1606"/>
      <c r="H87" s="1607"/>
      <c r="I87" s="1602">
        <f>I84+I80</f>
        <v>386</v>
      </c>
      <c r="J87" s="1603"/>
      <c r="K87" s="1603"/>
      <c r="L87" s="1604"/>
      <c r="M87" s="1602">
        <f>M84+M80</f>
        <v>459</v>
      </c>
      <c r="N87" s="1603"/>
      <c r="O87" s="1603"/>
      <c r="P87" s="1604"/>
      <c r="Q87" s="1602">
        <f>Q84+Q80</f>
        <v>11053.4</v>
      </c>
      <c r="R87" s="1603"/>
      <c r="S87" s="1603"/>
      <c r="T87" s="1604"/>
      <c r="U87" s="398">
        <f>U84+U80</f>
        <v>11712.4</v>
      </c>
      <c r="V87" s="399">
        <f ca="1">V84+V80</f>
        <v>12492.2</v>
      </c>
      <c r="W87" s="71"/>
      <c r="X87" s="1599"/>
      <c r="Y87" s="1599"/>
      <c r="Z87" s="1599"/>
    </row>
    <row r="88" spans="1:26" x14ac:dyDescent="0.2">
      <c r="A88" s="47"/>
      <c r="B88" s="47"/>
      <c r="C88" s="47"/>
      <c r="D88" s="47"/>
      <c r="J88" s="154"/>
      <c r="N88" s="154"/>
      <c r="R88" s="154"/>
      <c r="U88" s="154"/>
      <c r="V88" s="154"/>
      <c r="W88" s="72"/>
      <c r="X88" s="1600"/>
      <c r="Y88" s="1600"/>
      <c r="Z88" s="1600"/>
    </row>
    <row r="89" spans="1:26" x14ac:dyDescent="0.2">
      <c r="I89" s="7"/>
      <c r="J89" s="154"/>
      <c r="M89" s="7"/>
      <c r="N89" s="154"/>
      <c r="Q89" s="154"/>
      <c r="R89" s="154"/>
      <c r="X89" s="1597"/>
      <c r="Y89" s="1597"/>
      <c r="Z89" s="1597"/>
    </row>
    <row r="90" spans="1:26" x14ac:dyDescent="0.2">
      <c r="R90" s="154"/>
      <c r="W90" s="10"/>
      <c r="X90" s="74"/>
      <c r="Y90" s="74"/>
      <c r="Z90" s="74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5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9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9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</sheetData>
  <mergeCells count="160">
    <mergeCell ref="W70:W71"/>
    <mergeCell ref="C74:H74"/>
    <mergeCell ref="F68:F71"/>
    <mergeCell ref="G68:G71"/>
    <mergeCell ref="F72:F73"/>
    <mergeCell ref="A80:H80"/>
    <mergeCell ref="D72:D73"/>
    <mergeCell ref="E43:E45"/>
    <mergeCell ref="W74:Z74"/>
    <mergeCell ref="W66:W67"/>
    <mergeCell ref="E66:E67"/>
    <mergeCell ref="E68:E71"/>
    <mergeCell ref="G72:G73"/>
    <mergeCell ref="Q78:T78"/>
    <mergeCell ref="F44:F45"/>
    <mergeCell ref="G44:G45"/>
    <mergeCell ref="D62:D63"/>
    <mergeCell ref="W76:Z76"/>
    <mergeCell ref="D44:D45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Y4:Z4"/>
    <mergeCell ref="M6:M7"/>
    <mergeCell ref="N6:O6"/>
    <mergeCell ref="W18:W19"/>
    <mergeCell ref="A8:Z8"/>
    <mergeCell ref="V5:V7"/>
    <mergeCell ref="C5:C7"/>
    <mergeCell ref="W6:W7"/>
    <mergeCell ref="Q87:T87"/>
    <mergeCell ref="A87:H87"/>
    <mergeCell ref="I86:L86"/>
    <mergeCell ref="I87:L87"/>
    <mergeCell ref="A86:H86"/>
    <mergeCell ref="D40:D42"/>
    <mergeCell ref="M86:P86"/>
    <mergeCell ref="I85:L85"/>
    <mergeCell ref="E62:E63"/>
    <mergeCell ref="I82:L82"/>
    <mergeCell ref="M87:P87"/>
    <mergeCell ref="M82:P82"/>
    <mergeCell ref="M81:P81"/>
    <mergeCell ref="C58:Z58"/>
    <mergeCell ref="D66:D67"/>
    <mergeCell ref="W75:Z75"/>
    <mergeCell ref="Q83:T83"/>
    <mergeCell ref="G64:G67"/>
    <mergeCell ref="F64:F67"/>
    <mergeCell ref="M78:P78"/>
    <mergeCell ref="M79:P79"/>
    <mergeCell ref="A77:V77"/>
    <mergeCell ref="I79:L79"/>
    <mergeCell ref="I80:L80"/>
    <mergeCell ref="X89:Z89"/>
    <mergeCell ref="W78:Z78"/>
    <mergeCell ref="X84:Z84"/>
    <mergeCell ref="X86:Z86"/>
    <mergeCell ref="X79:Z79"/>
    <mergeCell ref="X80:Z80"/>
    <mergeCell ref="X87:Z87"/>
    <mergeCell ref="X88:Z88"/>
    <mergeCell ref="X85:Z85"/>
    <mergeCell ref="X81:Z81"/>
    <mergeCell ref="X83:Z83"/>
    <mergeCell ref="M85:P85"/>
    <mergeCell ref="E72:E73"/>
    <mergeCell ref="B75:H75"/>
    <mergeCell ref="D70:D71"/>
    <mergeCell ref="M84:P84"/>
    <mergeCell ref="I84:L84"/>
    <mergeCell ref="M83:P83"/>
    <mergeCell ref="A85:H85"/>
    <mergeCell ref="Q86:T86"/>
    <mergeCell ref="Q82:T82"/>
    <mergeCell ref="Q84:T84"/>
    <mergeCell ref="Q85:T85"/>
    <mergeCell ref="A84:H84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Q81:T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G28:G29"/>
    <mergeCell ref="D35:D36"/>
    <mergeCell ref="F48:F51"/>
    <mergeCell ref="G48:G51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Q6:Q7"/>
    <mergeCell ref="D18:D19"/>
    <mergeCell ref="E18:E19"/>
    <mergeCell ref="C11:Z11"/>
    <mergeCell ref="U5:U7"/>
    <mergeCell ref="X6:Z6"/>
    <mergeCell ref="B10:Z10"/>
    <mergeCell ref="D22:D23"/>
    <mergeCell ref="W34:W36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Z22:Z23"/>
    <mergeCell ref="H5:H7"/>
    <mergeCell ref="J6:K6"/>
    <mergeCell ref="Q5:T5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4" manualBreakCount="4">
    <brk id="23" max="25" man="1"/>
    <brk id="42" max="25" man="1"/>
    <brk id="57" max="25" man="1"/>
    <brk id="7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zoomScaleNormal="100" zoomScaleSheetLayoutView="80" workbookViewId="0">
      <selection activeCell="Y12" sqref="Y12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6" customWidth="1"/>
    <col min="6" max="6" width="2.7109375" style="41" customWidth="1"/>
    <col min="7" max="7" width="8.5703125" style="6" customWidth="1"/>
    <col min="8" max="8" width="10.140625" style="1333" customWidth="1"/>
    <col min="9" max="9" width="9.5703125" style="1425" customWidth="1"/>
    <col min="10" max="10" width="9.140625" style="1425" customWidth="1"/>
    <col min="11" max="11" width="24.7109375" style="50" customWidth="1"/>
    <col min="12" max="14" width="4.5703125" style="41" customWidth="1"/>
    <col min="15" max="16384" width="9.140625" style="1"/>
  </cols>
  <sheetData>
    <row r="1" spans="1:18" s="11" customFormat="1" x14ac:dyDescent="0.2">
      <c r="A1" s="1620" t="s">
        <v>295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</row>
    <row r="2" spans="1:18" s="11" customFormat="1" x14ac:dyDescent="0.2">
      <c r="A2" s="1630" t="s">
        <v>69</v>
      </c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</row>
    <row r="3" spans="1:18" s="11" customFormat="1" x14ac:dyDescent="0.2">
      <c r="A3" s="1620" t="s">
        <v>175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</row>
    <row r="4" spans="1:18" s="11" customFormat="1" ht="13.5" thickBot="1" x14ac:dyDescent="0.25">
      <c r="A4" s="8"/>
      <c r="B4" s="8"/>
      <c r="C4" s="8"/>
      <c r="D4" s="8"/>
      <c r="E4" s="1055"/>
      <c r="F4" s="42"/>
      <c r="G4" s="6"/>
      <c r="H4" s="1333"/>
      <c r="I4" s="1334"/>
      <c r="J4" s="1334"/>
      <c r="K4" s="48"/>
      <c r="L4" s="42"/>
      <c r="M4" s="1672" t="s">
        <v>242</v>
      </c>
      <c r="N4" s="1672"/>
    </row>
    <row r="5" spans="1:18" s="11" customFormat="1" ht="13.5" customHeight="1" thickBot="1" x14ac:dyDescent="0.25">
      <c r="A5" s="1632" t="s">
        <v>1</v>
      </c>
      <c r="B5" s="1635" t="s">
        <v>2</v>
      </c>
      <c r="C5" s="1635" t="s">
        <v>3</v>
      </c>
      <c r="D5" s="1501" t="s">
        <v>25</v>
      </c>
      <c r="E5" s="1639" t="s">
        <v>4</v>
      </c>
      <c r="F5" s="1642" t="s">
        <v>5</v>
      </c>
      <c r="G5" s="1457" t="s">
        <v>6</v>
      </c>
      <c r="H5" s="1673" t="s">
        <v>185</v>
      </c>
      <c r="I5" s="1673" t="s">
        <v>77</v>
      </c>
      <c r="J5" s="1673" t="s">
        <v>186</v>
      </c>
      <c r="K5" s="1509" t="s">
        <v>176</v>
      </c>
      <c r="L5" s="1510"/>
      <c r="M5" s="1510"/>
      <c r="N5" s="1511"/>
    </row>
    <row r="6" spans="1:18" s="11" customFormat="1" ht="12.75" customHeight="1" x14ac:dyDescent="0.2">
      <c r="A6" s="1633"/>
      <c r="B6" s="1636"/>
      <c r="C6" s="1636"/>
      <c r="D6" s="1502"/>
      <c r="E6" s="1640"/>
      <c r="F6" s="1643"/>
      <c r="G6" s="1458"/>
      <c r="H6" s="1674"/>
      <c r="I6" s="1674"/>
      <c r="J6" s="1674"/>
      <c r="K6" s="1649" t="s">
        <v>25</v>
      </c>
      <c r="L6" s="1460" t="s">
        <v>243</v>
      </c>
      <c r="M6" s="1461"/>
      <c r="N6" s="1462"/>
    </row>
    <row r="7" spans="1:18" s="11" customFormat="1" ht="101.25" customHeight="1" thickBot="1" x14ac:dyDescent="0.25">
      <c r="A7" s="1634"/>
      <c r="B7" s="1637"/>
      <c r="C7" s="1637"/>
      <c r="D7" s="1503"/>
      <c r="E7" s="1641"/>
      <c r="F7" s="1644"/>
      <c r="G7" s="1459"/>
      <c r="H7" s="1675"/>
      <c r="I7" s="1675"/>
      <c r="J7" s="1675"/>
      <c r="K7" s="1650"/>
      <c r="L7" s="85" t="s">
        <v>53</v>
      </c>
      <c r="M7" s="83" t="s">
        <v>78</v>
      </c>
      <c r="N7" s="84" t="s">
        <v>187</v>
      </c>
    </row>
    <row r="8" spans="1:18" ht="13.5" customHeight="1" x14ac:dyDescent="0.2">
      <c r="A8" s="1646" t="s">
        <v>30</v>
      </c>
      <c r="B8" s="1647"/>
      <c r="C8" s="1647"/>
      <c r="D8" s="1647"/>
      <c r="E8" s="1647"/>
      <c r="F8" s="1647"/>
      <c r="G8" s="1647"/>
      <c r="H8" s="1647"/>
      <c r="I8" s="1647"/>
      <c r="J8" s="1647"/>
      <c r="K8" s="1647"/>
      <c r="L8" s="1647"/>
      <c r="M8" s="1647"/>
      <c r="N8" s="1648"/>
    </row>
    <row r="9" spans="1:18" ht="13.5" thickBot="1" x14ac:dyDescent="0.25">
      <c r="A9" s="1627" t="s">
        <v>34</v>
      </c>
      <c r="B9" s="1628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9"/>
    </row>
    <row r="10" spans="1:18" ht="13.5" thickBot="1" x14ac:dyDescent="0.25">
      <c r="A10" s="13" t="s">
        <v>9</v>
      </c>
      <c r="B10" s="1463" t="s">
        <v>128</v>
      </c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4"/>
    </row>
    <row r="11" spans="1:18" ht="13.5" thickBot="1" x14ac:dyDescent="0.25">
      <c r="A11" s="13" t="s">
        <v>9</v>
      </c>
      <c r="B11" s="14" t="s">
        <v>9</v>
      </c>
      <c r="C11" s="1454" t="s">
        <v>40</v>
      </c>
      <c r="D11" s="1454"/>
      <c r="E11" s="1454"/>
      <c r="F11" s="1454"/>
      <c r="G11" s="1454"/>
      <c r="H11" s="1454"/>
      <c r="I11" s="1454"/>
      <c r="J11" s="1454"/>
      <c r="K11" s="1454"/>
      <c r="L11" s="1455"/>
      <c r="M11" s="1455"/>
      <c r="N11" s="1456"/>
    </row>
    <row r="12" spans="1:18" ht="25.5" customHeight="1" x14ac:dyDescent="0.2">
      <c r="A12" s="23" t="s">
        <v>9</v>
      </c>
      <c r="B12" s="26" t="s">
        <v>9</v>
      </c>
      <c r="C12" s="22" t="s">
        <v>9</v>
      </c>
      <c r="D12" s="177" t="s">
        <v>44</v>
      </c>
      <c r="E12" s="1676" t="s">
        <v>234</v>
      </c>
      <c r="F12" s="1111" t="s">
        <v>35</v>
      </c>
      <c r="G12" s="113" t="s">
        <v>12</v>
      </c>
      <c r="H12" s="1335">
        <f>770/3.4528*1000</f>
        <v>223007.41427247453</v>
      </c>
      <c r="I12" s="1336">
        <f>840/3.4528*1000</f>
        <v>243280.81556997221</v>
      </c>
      <c r="J12" s="1337">
        <f>1030/3.4528*1000</f>
        <v>298308.61909175164</v>
      </c>
      <c r="K12" s="175" t="s">
        <v>244</v>
      </c>
      <c r="L12" s="78">
        <v>58</v>
      </c>
      <c r="M12" s="80">
        <v>58</v>
      </c>
      <c r="N12" s="77">
        <v>58</v>
      </c>
      <c r="R12" s="123"/>
    </row>
    <row r="13" spans="1:18" ht="27.75" customHeight="1" x14ac:dyDescent="0.2">
      <c r="A13" s="25"/>
      <c r="B13" s="28"/>
      <c r="C13" s="19"/>
      <c r="D13" s="1115" t="s">
        <v>166</v>
      </c>
      <c r="E13" s="1677"/>
      <c r="F13" s="354"/>
      <c r="G13" s="211"/>
      <c r="H13" s="1338"/>
      <c r="I13" s="1339"/>
      <c r="J13" s="1340"/>
      <c r="K13" s="675" t="s">
        <v>245</v>
      </c>
      <c r="L13" s="1047">
        <v>2</v>
      </c>
      <c r="M13" s="677">
        <v>3</v>
      </c>
      <c r="N13" s="678">
        <v>3</v>
      </c>
    </row>
    <row r="14" spans="1:18" ht="28.5" customHeight="1" x14ac:dyDescent="0.2">
      <c r="A14" s="25"/>
      <c r="B14" s="28"/>
      <c r="C14" s="19"/>
      <c r="D14" s="141" t="s">
        <v>79</v>
      </c>
      <c r="E14" s="181"/>
      <c r="F14" s="354"/>
      <c r="G14" s="211"/>
      <c r="H14" s="1338"/>
      <c r="I14" s="1341"/>
      <c r="J14" s="1342"/>
      <c r="K14" s="876"/>
      <c r="L14" s="1130"/>
      <c r="M14" s="1132"/>
      <c r="N14" s="1090"/>
      <c r="P14" s="123"/>
    </row>
    <row r="15" spans="1:18" ht="57" customHeight="1" x14ac:dyDescent="0.2">
      <c r="A15" s="25"/>
      <c r="B15" s="28"/>
      <c r="C15" s="19"/>
      <c r="D15" s="1040" t="s">
        <v>260</v>
      </c>
      <c r="E15" s="181"/>
      <c r="F15" s="354"/>
      <c r="G15" s="211"/>
      <c r="H15" s="1338"/>
      <c r="I15" s="1341"/>
      <c r="J15" s="1342"/>
      <c r="K15" s="88"/>
      <c r="L15" s="1129"/>
      <c r="M15" s="140"/>
      <c r="N15" s="252"/>
      <c r="P15" s="123"/>
    </row>
    <row r="16" spans="1:18" ht="40.5" customHeight="1" x14ac:dyDescent="0.2">
      <c r="A16" s="25"/>
      <c r="B16" s="28"/>
      <c r="C16" s="19"/>
      <c r="D16" s="1101" t="s">
        <v>227</v>
      </c>
      <c r="E16" s="181"/>
      <c r="F16" s="354"/>
      <c r="G16" s="211"/>
      <c r="H16" s="1338"/>
      <c r="I16" s="1341"/>
      <c r="J16" s="1342"/>
      <c r="K16" s="88"/>
      <c r="L16" s="1129"/>
      <c r="M16" s="140"/>
      <c r="N16" s="252"/>
      <c r="P16" s="123"/>
    </row>
    <row r="17" spans="1:21" ht="14.25" customHeight="1" x14ac:dyDescent="0.2">
      <c r="A17" s="25"/>
      <c r="B17" s="28"/>
      <c r="C17" s="19"/>
      <c r="D17" s="1450" t="s">
        <v>189</v>
      </c>
      <c r="E17" s="181"/>
      <c r="F17" s="354"/>
      <c r="G17" s="527"/>
      <c r="H17" s="1343"/>
      <c r="I17" s="1344"/>
      <c r="J17" s="1345"/>
      <c r="K17" s="1536"/>
      <c r="L17" s="1129"/>
      <c r="M17" s="140"/>
      <c r="N17" s="252"/>
      <c r="P17" s="123"/>
    </row>
    <row r="18" spans="1:21" ht="13.5" thickBot="1" x14ac:dyDescent="0.25">
      <c r="A18" s="25"/>
      <c r="B18" s="28"/>
      <c r="C18" s="19"/>
      <c r="D18" s="1451"/>
      <c r="E18" s="1061"/>
      <c r="F18" s="355"/>
      <c r="G18" s="397" t="s">
        <v>16</v>
      </c>
      <c r="H18" s="1346">
        <f>SUM(H12:H17)</f>
        <v>223007.41427247453</v>
      </c>
      <c r="I18" s="1347">
        <f t="shared" ref="I18:J18" si="0">SUM(I12:I17)</f>
        <v>243280.81556997221</v>
      </c>
      <c r="J18" s="1347">
        <f t="shared" si="0"/>
        <v>298308.61909175164</v>
      </c>
      <c r="K18" s="1645"/>
      <c r="L18" s="1131"/>
      <c r="M18" s="362"/>
      <c r="N18" s="1007"/>
      <c r="P18" s="123"/>
    </row>
    <row r="19" spans="1:21" ht="12.75" customHeight="1" x14ac:dyDescent="0.2">
      <c r="A19" s="23" t="s">
        <v>9</v>
      </c>
      <c r="B19" s="26" t="s">
        <v>9</v>
      </c>
      <c r="C19" s="22" t="s">
        <v>10</v>
      </c>
      <c r="D19" s="1678" t="s">
        <v>80</v>
      </c>
      <c r="E19" s="1515"/>
      <c r="F19" s="1519" t="s">
        <v>35</v>
      </c>
      <c r="G19" s="94" t="s">
        <v>12</v>
      </c>
      <c r="H19" s="1335">
        <f>500/3.4528*1000</f>
        <v>144810.00926784059</v>
      </c>
      <c r="I19" s="1336">
        <f>600/3.4528*1000</f>
        <v>173772.01112140872</v>
      </c>
      <c r="J19" s="1337">
        <f>600/3.4528*1000</f>
        <v>173772.01112140872</v>
      </c>
      <c r="K19" s="213" t="s">
        <v>246</v>
      </c>
      <c r="L19" s="1056">
        <v>4</v>
      </c>
      <c r="M19" s="1057">
        <v>5</v>
      </c>
      <c r="N19" s="1070">
        <v>5</v>
      </c>
    </row>
    <row r="20" spans="1:21" ht="13.5" thickBot="1" x14ac:dyDescent="0.25">
      <c r="A20" s="25"/>
      <c r="B20" s="28"/>
      <c r="C20" s="19"/>
      <c r="D20" s="1451"/>
      <c r="E20" s="1516"/>
      <c r="F20" s="1520"/>
      <c r="G20" s="397" t="s">
        <v>16</v>
      </c>
      <c r="H20" s="1346">
        <f>H19</f>
        <v>144810.00926784059</v>
      </c>
      <c r="I20" s="1348">
        <f>SUM(I19:I19)</f>
        <v>173772.01112140872</v>
      </c>
      <c r="J20" s="1349">
        <f>SUM(J19:J19)</f>
        <v>173772.01112140872</v>
      </c>
      <c r="K20" s="363"/>
      <c r="L20" s="178"/>
      <c r="M20" s="362"/>
      <c r="N20" s="360"/>
      <c r="P20" s="123"/>
    </row>
    <row r="21" spans="1:21" ht="12.75" customHeight="1" x14ac:dyDescent="0.2">
      <c r="A21" s="23" t="s">
        <v>9</v>
      </c>
      <c r="B21" s="26" t="s">
        <v>9</v>
      </c>
      <c r="C21" s="22" t="s">
        <v>11</v>
      </c>
      <c r="D21" s="1465" t="s">
        <v>73</v>
      </c>
      <c r="E21" s="1515"/>
      <c r="F21" s="1519" t="s">
        <v>35</v>
      </c>
      <c r="G21" s="94" t="s">
        <v>12</v>
      </c>
      <c r="H21" s="1335">
        <f>31.2/3.4528*1000</f>
        <v>9036.1445783132531</v>
      </c>
      <c r="I21" s="1350">
        <f>31.2/3.4528*1000</f>
        <v>9036.1445783132531</v>
      </c>
      <c r="J21" s="1351">
        <f>31.2/3.4528*1000</f>
        <v>9036.1445783132531</v>
      </c>
      <c r="K21" s="1621" t="s">
        <v>247</v>
      </c>
      <c r="L21" s="1623">
        <v>6</v>
      </c>
      <c r="M21" s="1625">
        <v>6</v>
      </c>
      <c r="N21" s="1490">
        <v>6</v>
      </c>
    </row>
    <row r="22" spans="1:21" ht="13.5" thickBot="1" x14ac:dyDescent="0.25">
      <c r="A22" s="25"/>
      <c r="B22" s="28"/>
      <c r="C22" s="19"/>
      <c r="D22" s="1466"/>
      <c r="E22" s="1516"/>
      <c r="F22" s="1520"/>
      <c r="G22" s="397" t="s">
        <v>16</v>
      </c>
      <c r="H22" s="1346">
        <f>H21</f>
        <v>9036.1445783132531</v>
      </c>
      <c r="I22" s="1348">
        <f>SUM(I21:I21)</f>
        <v>9036.1445783132531</v>
      </c>
      <c r="J22" s="1349">
        <f>SUM(J21:J21)</f>
        <v>9036.1445783132531</v>
      </c>
      <c r="K22" s="1622"/>
      <c r="L22" s="1624"/>
      <c r="M22" s="1626"/>
      <c r="N22" s="1491"/>
    </row>
    <row r="23" spans="1:21" ht="25.5" customHeight="1" x14ac:dyDescent="0.2">
      <c r="A23" s="37" t="s">
        <v>9</v>
      </c>
      <c r="B23" s="26" t="s">
        <v>9</v>
      </c>
      <c r="C23" s="22" t="s">
        <v>13</v>
      </c>
      <c r="D23" s="99" t="s">
        <v>127</v>
      </c>
      <c r="E23" s="320"/>
      <c r="F23" s="361" t="s">
        <v>35</v>
      </c>
      <c r="G23" s="344" t="s">
        <v>116</v>
      </c>
      <c r="H23" s="1352">
        <f>464.1/3.4528*1000</f>
        <v>134412.65060240965</v>
      </c>
      <c r="I23" s="1353">
        <f>528/3.4528*1000</f>
        <v>152919.36978683967</v>
      </c>
      <c r="J23" s="1350">
        <f>528/3.4528*1000</f>
        <v>152919.36978683967</v>
      </c>
      <c r="K23" s="1120" t="s">
        <v>248</v>
      </c>
      <c r="L23" s="778">
        <v>16</v>
      </c>
      <c r="M23" s="1105">
        <v>16</v>
      </c>
      <c r="N23" s="1107">
        <v>16</v>
      </c>
      <c r="S23" s="123"/>
    </row>
    <row r="24" spans="1:21" ht="30.75" customHeight="1" x14ac:dyDescent="0.2">
      <c r="A24" s="38"/>
      <c r="B24" s="28"/>
      <c r="C24" s="19"/>
      <c r="D24" s="1050" t="s">
        <v>261</v>
      </c>
      <c r="E24" s="321"/>
      <c r="F24" s="1060"/>
      <c r="G24" s="866" t="s">
        <v>12</v>
      </c>
      <c r="H24" s="1352">
        <f>418/3.4528*1000</f>
        <v>121061.16774791473</v>
      </c>
      <c r="I24" s="1354">
        <f>531/3.4528*1000</f>
        <v>153788.22984244672</v>
      </c>
      <c r="J24" s="1355">
        <f>531/3.4528*1000</f>
        <v>153788.22984244672</v>
      </c>
      <c r="K24" s="1071" t="s">
        <v>249</v>
      </c>
      <c r="L24" s="778">
        <v>16</v>
      </c>
      <c r="M24" s="1064">
        <v>16</v>
      </c>
      <c r="N24" s="1066">
        <v>16</v>
      </c>
      <c r="P24" s="139"/>
      <c r="U24" s="123"/>
    </row>
    <row r="25" spans="1:21" ht="25.5" customHeight="1" x14ac:dyDescent="0.2">
      <c r="A25" s="38"/>
      <c r="B25" s="662"/>
      <c r="C25" s="19"/>
      <c r="D25" s="1557" t="s">
        <v>190</v>
      </c>
      <c r="E25" s="321"/>
      <c r="F25" s="326"/>
      <c r="G25" s="110"/>
      <c r="H25" s="1356"/>
      <c r="I25" s="1357"/>
      <c r="J25" s="1358"/>
      <c r="K25" s="1488" t="s">
        <v>250</v>
      </c>
      <c r="L25" s="1133" t="s">
        <v>50</v>
      </c>
      <c r="M25" s="1109" t="s">
        <v>50</v>
      </c>
      <c r="N25" s="264" t="s">
        <v>50</v>
      </c>
      <c r="P25" s="783"/>
      <c r="Q25" s="783"/>
      <c r="R25" s="783"/>
      <c r="S25" s="783"/>
    </row>
    <row r="26" spans="1:21" ht="15" customHeight="1" x14ac:dyDescent="0.2">
      <c r="A26" s="38"/>
      <c r="B26" s="662"/>
      <c r="C26" s="19"/>
      <c r="D26" s="1557"/>
      <c r="E26" s="321"/>
      <c r="F26" s="326"/>
      <c r="G26" s="110"/>
      <c r="H26" s="1356"/>
      <c r="I26" s="1357"/>
      <c r="J26" s="1358"/>
      <c r="K26" s="1489"/>
      <c r="L26" s="1134"/>
      <c r="M26" s="1110"/>
      <c r="N26" s="1124"/>
    </row>
    <row r="27" spans="1:21" ht="17.25" customHeight="1" x14ac:dyDescent="0.2">
      <c r="A27" s="25"/>
      <c r="B27" s="28"/>
      <c r="C27" s="19"/>
      <c r="D27" s="1450" t="s">
        <v>126</v>
      </c>
      <c r="E27" s="1035"/>
      <c r="F27" s="1037"/>
      <c r="G27" s="1039"/>
      <c r="H27" s="1359"/>
      <c r="I27" s="1360"/>
      <c r="J27" s="1339"/>
      <c r="K27" s="1102"/>
      <c r="L27" s="336"/>
      <c r="M27" s="1106"/>
      <c r="N27" s="1108"/>
    </row>
    <row r="28" spans="1:21" ht="13.5" thickBot="1" x14ac:dyDescent="0.25">
      <c r="A28" s="39"/>
      <c r="B28" s="14"/>
      <c r="C28" s="36"/>
      <c r="D28" s="1451"/>
      <c r="E28" s="322"/>
      <c r="F28" s="327"/>
      <c r="G28" s="400" t="s">
        <v>16</v>
      </c>
      <c r="H28" s="1361">
        <f>SUM(H23:H27)</f>
        <v>255473.81835032438</v>
      </c>
      <c r="I28" s="1349">
        <f>SUM(I23:I27)</f>
        <v>306707.59962928639</v>
      </c>
      <c r="J28" s="1348">
        <f>SUM(J23:J27)</f>
        <v>306707.59962928639</v>
      </c>
      <c r="K28" s="885"/>
      <c r="L28" s="591"/>
      <c r="M28" s="886"/>
      <c r="N28" s="1135"/>
      <c r="P28" s="123"/>
    </row>
    <row r="29" spans="1:21" ht="13.5" thickBot="1" x14ac:dyDescent="0.25">
      <c r="A29" s="24" t="s">
        <v>9</v>
      </c>
      <c r="B29" s="34" t="s">
        <v>9</v>
      </c>
      <c r="C29" s="1527" t="s">
        <v>15</v>
      </c>
      <c r="D29" s="1528"/>
      <c r="E29" s="1528"/>
      <c r="F29" s="1529"/>
      <c r="G29" s="1530"/>
      <c r="H29" s="1362">
        <f>H28+H22+H20+H18</f>
        <v>632327.38646895275</v>
      </c>
      <c r="I29" s="1363">
        <f>I28+I22+I20+I18</f>
        <v>732796.5708989806</v>
      </c>
      <c r="J29" s="1362">
        <f>J28+J22+J20+J18</f>
        <v>787824.37442075997</v>
      </c>
      <c r="K29" s="1485"/>
      <c r="L29" s="1486"/>
      <c r="M29" s="1486"/>
      <c r="N29" s="1487"/>
    </row>
    <row r="30" spans="1:21" ht="13.5" thickBot="1" x14ac:dyDescent="0.25">
      <c r="A30" s="21" t="s">
        <v>9</v>
      </c>
      <c r="B30" s="27" t="s">
        <v>10</v>
      </c>
      <c r="C30" s="1521" t="s">
        <v>96</v>
      </c>
      <c r="D30" s="1522"/>
      <c r="E30" s="1522"/>
      <c r="F30" s="1522"/>
      <c r="G30" s="1523"/>
      <c r="H30" s="1523"/>
      <c r="I30" s="1523"/>
      <c r="J30" s="1523"/>
      <c r="K30" s="1523"/>
      <c r="L30" s="1523"/>
      <c r="M30" s="1523"/>
      <c r="N30" s="1524"/>
    </row>
    <row r="31" spans="1:21" ht="12.75" customHeight="1" x14ac:dyDescent="0.2">
      <c r="A31" s="21" t="s">
        <v>9</v>
      </c>
      <c r="B31" s="27" t="s">
        <v>10</v>
      </c>
      <c r="C31" s="22" t="s">
        <v>9</v>
      </c>
      <c r="D31" s="1679" t="s">
        <v>67</v>
      </c>
      <c r="E31" s="1680"/>
      <c r="F31" s="334">
        <v>2</v>
      </c>
      <c r="G31" s="214" t="s">
        <v>12</v>
      </c>
      <c r="H31" s="1364">
        <f>9075.9/3.4528*1000</f>
        <v>2628562.3262279886</v>
      </c>
      <c r="I31" s="1427">
        <f>8646.2/3.4528*1000</f>
        <v>2504112.6042632069</v>
      </c>
      <c r="J31" s="1365">
        <f>7792.3/3.4528*1000</f>
        <v>2256806.0704355882</v>
      </c>
      <c r="K31" s="631" t="s">
        <v>248</v>
      </c>
      <c r="L31" s="257">
        <v>1214</v>
      </c>
      <c r="M31" s="258" t="s">
        <v>235</v>
      </c>
      <c r="N31" s="259" t="s">
        <v>235</v>
      </c>
      <c r="O31" s="783"/>
      <c r="P31" s="783"/>
      <c r="Q31" s="783"/>
      <c r="R31" s="783"/>
      <c r="S31" s="1137"/>
      <c r="T31" s="783"/>
    </row>
    <row r="32" spans="1:21" ht="12.75" customHeight="1" x14ac:dyDescent="0.2">
      <c r="A32" s="661"/>
      <c r="B32" s="662"/>
      <c r="C32" s="19"/>
      <c r="D32" s="1526"/>
      <c r="E32" s="1681"/>
      <c r="F32" s="335"/>
      <c r="G32" s="111" t="s">
        <v>28</v>
      </c>
      <c r="H32" s="1366">
        <f>1182/3.4528*1000</f>
        <v>342330.86190917518</v>
      </c>
      <c r="I32" s="1353">
        <f>1298.5/3.4528*1000</f>
        <v>376071.59406858205</v>
      </c>
      <c r="J32" s="1367">
        <f>1298.5/3.4528*1000</f>
        <v>376071.59406858205</v>
      </c>
      <c r="K32" s="1141" t="s">
        <v>49</v>
      </c>
      <c r="L32" s="1142">
        <v>822.5</v>
      </c>
      <c r="M32" s="641" t="s">
        <v>236</v>
      </c>
      <c r="N32" s="642" t="s">
        <v>237</v>
      </c>
      <c r="O32" s="1138"/>
      <c r="P32" s="1137"/>
      <c r="Q32" s="1137"/>
      <c r="R32" s="783"/>
      <c r="S32" s="783"/>
      <c r="T32" s="783"/>
    </row>
    <row r="33" spans="1:22" ht="12.75" customHeight="1" x14ac:dyDescent="0.2">
      <c r="A33" s="661"/>
      <c r="B33" s="662"/>
      <c r="C33" s="19"/>
      <c r="D33" s="1557" t="s">
        <v>36</v>
      </c>
      <c r="E33" s="1681"/>
      <c r="F33" s="335"/>
      <c r="G33" s="111" t="s">
        <v>20</v>
      </c>
      <c r="H33" s="1366">
        <f>33.2/3.4528*1000</f>
        <v>9615.3846153846171</v>
      </c>
      <c r="I33" s="1353">
        <f>220/3.4528*1000</f>
        <v>63716.404077849867</v>
      </c>
      <c r="J33" s="1367">
        <f>168/3.4528*1000</f>
        <v>48656.163113994437</v>
      </c>
      <c r="K33" s="1467" t="s">
        <v>251</v>
      </c>
      <c r="L33" s="1469">
        <v>2</v>
      </c>
      <c r="M33" s="1471">
        <v>1</v>
      </c>
      <c r="N33" s="1473"/>
      <c r="O33" s="783"/>
      <c r="P33" s="783"/>
      <c r="Q33" s="783"/>
      <c r="R33" s="783"/>
      <c r="S33" s="783"/>
      <c r="T33" s="783"/>
    </row>
    <row r="34" spans="1:22" ht="12.75" customHeight="1" x14ac:dyDescent="0.2">
      <c r="A34" s="661"/>
      <c r="B34" s="662"/>
      <c r="C34" s="19"/>
      <c r="D34" s="1557"/>
      <c r="E34" s="1681"/>
      <c r="F34" s="335"/>
      <c r="G34" s="215" t="s">
        <v>29</v>
      </c>
      <c r="H34" s="1368">
        <f>651.8/3.4528*1000</f>
        <v>188774.328081557</v>
      </c>
      <c r="I34" s="1428">
        <f>160/3.4528*1000</f>
        <v>46339.202965708995</v>
      </c>
      <c r="J34" s="1355"/>
      <c r="K34" s="1468"/>
      <c r="L34" s="1470"/>
      <c r="M34" s="1472"/>
      <c r="N34" s="1474"/>
      <c r="O34" s="1138"/>
      <c r="P34" s="1137"/>
      <c r="Q34" s="1137"/>
      <c r="R34" s="1137"/>
      <c r="S34" s="783"/>
      <c r="T34" s="783"/>
    </row>
    <row r="35" spans="1:22" ht="12.75" customHeight="1" x14ac:dyDescent="0.2">
      <c r="A35" s="661"/>
      <c r="B35" s="662"/>
      <c r="C35" s="35"/>
      <c r="D35" s="1557"/>
      <c r="E35" s="1681"/>
      <c r="F35" s="335"/>
      <c r="G35" s="215"/>
      <c r="H35" s="1368"/>
      <c r="I35" s="1428"/>
      <c r="J35" s="1369"/>
      <c r="K35" s="1468"/>
      <c r="L35" s="1470"/>
      <c r="M35" s="1472"/>
      <c r="N35" s="1474"/>
      <c r="O35" s="783"/>
      <c r="P35" s="783"/>
      <c r="Q35" s="783"/>
      <c r="R35" s="783"/>
      <c r="S35" s="783"/>
      <c r="T35" s="783"/>
    </row>
    <row r="36" spans="1:22" ht="27.75" customHeight="1" x14ac:dyDescent="0.2">
      <c r="A36" s="38"/>
      <c r="B36" s="28"/>
      <c r="C36" s="19"/>
      <c r="D36" s="1557" t="s">
        <v>195</v>
      </c>
      <c r="E36" s="1681"/>
      <c r="F36" s="335"/>
      <c r="G36" s="211"/>
      <c r="H36" s="1338"/>
      <c r="I36" s="1429"/>
      <c r="J36" s="1370"/>
      <c r="K36" s="1468"/>
      <c r="L36" s="1470"/>
      <c r="M36" s="1472"/>
      <c r="N36" s="1474"/>
      <c r="O36" s="783"/>
      <c r="P36" s="783"/>
      <c r="Q36" s="783"/>
      <c r="R36" s="783"/>
      <c r="S36" s="783"/>
      <c r="T36" s="783"/>
    </row>
    <row r="37" spans="1:22" ht="27.75" customHeight="1" x14ac:dyDescent="0.2">
      <c r="A37" s="38"/>
      <c r="B37" s="28"/>
      <c r="C37" s="19"/>
      <c r="D37" s="1557"/>
      <c r="E37" s="142"/>
      <c r="F37" s="335"/>
      <c r="G37" s="211"/>
      <c r="H37" s="1338"/>
      <c r="I37" s="1429"/>
      <c r="J37" s="1370"/>
      <c r="K37" s="1102"/>
      <c r="L37" s="1104"/>
      <c r="M37" s="1106"/>
      <c r="N37" s="282"/>
      <c r="O37" s="783"/>
      <c r="P37" s="783"/>
      <c r="Q37" s="783"/>
      <c r="R37" s="783"/>
      <c r="S37" s="783"/>
      <c r="T37" s="783"/>
    </row>
    <row r="38" spans="1:22" ht="28.5" customHeight="1" x14ac:dyDescent="0.2">
      <c r="A38" s="38"/>
      <c r="B38" s="28"/>
      <c r="C38" s="19"/>
      <c r="D38" s="1557" t="s">
        <v>294</v>
      </c>
      <c r="E38" s="142"/>
      <c r="F38" s="335"/>
      <c r="G38" s="1143"/>
      <c r="H38" s="1338"/>
      <c r="I38" s="1429"/>
      <c r="J38" s="1370"/>
      <c r="K38" s="1144"/>
      <c r="L38" s="1104"/>
      <c r="M38" s="1106"/>
      <c r="N38" s="282"/>
    </row>
    <row r="39" spans="1:22" ht="36.75" customHeight="1" x14ac:dyDescent="0.2">
      <c r="A39" s="38"/>
      <c r="B39" s="28"/>
      <c r="C39" s="19"/>
      <c r="D39" s="1557"/>
      <c r="E39" s="142"/>
      <c r="F39" s="335"/>
      <c r="G39" s="1039"/>
      <c r="H39" s="1338"/>
      <c r="I39" s="1429"/>
      <c r="J39" s="1370"/>
      <c r="K39" s="1144"/>
      <c r="L39" s="1104"/>
      <c r="M39" s="1106"/>
      <c r="N39" s="282"/>
    </row>
    <row r="40" spans="1:22" ht="12.75" customHeight="1" x14ac:dyDescent="0.2">
      <c r="A40" s="38"/>
      <c r="B40" s="28"/>
      <c r="C40" s="19"/>
      <c r="D40" s="1538" t="s">
        <v>37</v>
      </c>
      <c r="E40" s="142"/>
      <c r="F40" s="335"/>
      <c r="G40" s="211"/>
      <c r="H40" s="1338"/>
      <c r="I40" s="1429"/>
      <c r="J40" s="1370"/>
      <c r="K40" s="1102"/>
      <c r="L40" s="1104"/>
      <c r="M40" s="1106"/>
      <c r="N40" s="282"/>
    </row>
    <row r="41" spans="1:22" ht="12.75" customHeight="1" x14ac:dyDescent="0.2">
      <c r="A41" s="38"/>
      <c r="B41" s="28"/>
      <c r="C41" s="19"/>
      <c r="D41" s="1538"/>
      <c r="E41" s="142"/>
      <c r="F41" s="335"/>
      <c r="G41" s="215"/>
      <c r="H41" s="1368"/>
      <c r="I41" s="1429"/>
      <c r="J41" s="1370"/>
      <c r="K41" s="1102"/>
      <c r="L41" s="1104"/>
      <c r="M41" s="1106"/>
      <c r="N41" s="282"/>
    </row>
    <row r="42" spans="1:22" ht="12.75" customHeight="1" x14ac:dyDescent="0.2">
      <c r="A42" s="38"/>
      <c r="B42" s="28"/>
      <c r="C42" s="19"/>
      <c r="D42" s="1538"/>
      <c r="E42" s="142"/>
      <c r="F42" s="335"/>
      <c r="G42" s="215"/>
      <c r="H42" s="1368"/>
      <c r="I42" s="1430"/>
      <c r="J42" s="1371"/>
      <c r="K42" s="1102"/>
      <c r="L42" s="1104"/>
      <c r="M42" s="1106"/>
      <c r="N42" s="282"/>
    </row>
    <row r="43" spans="1:22" ht="12.75" customHeight="1" x14ac:dyDescent="0.2">
      <c r="A43" s="661"/>
      <c r="B43" s="662"/>
      <c r="C43" s="40"/>
      <c r="D43" s="1557" t="s">
        <v>262</v>
      </c>
      <c r="E43" s="142"/>
      <c r="F43" s="335"/>
      <c r="G43" s="98"/>
      <c r="H43" s="1338"/>
      <c r="I43" s="1357"/>
      <c r="J43" s="1358"/>
      <c r="K43" s="1102"/>
      <c r="L43" s="1104"/>
      <c r="M43" s="1106"/>
      <c r="N43" s="1108"/>
    </row>
    <row r="44" spans="1:22" ht="12.75" customHeight="1" x14ac:dyDescent="0.2">
      <c r="A44" s="661"/>
      <c r="B44" s="662"/>
      <c r="C44" s="40"/>
      <c r="D44" s="1557"/>
      <c r="E44" s="142"/>
      <c r="F44" s="335"/>
      <c r="G44" s="98"/>
      <c r="H44" s="1338"/>
      <c r="I44" s="1357"/>
      <c r="J44" s="1358"/>
      <c r="K44" s="1102"/>
      <c r="L44" s="1104"/>
      <c r="M44" s="1106"/>
      <c r="N44" s="1108"/>
      <c r="T44" s="123"/>
      <c r="V44" s="123"/>
    </row>
    <row r="45" spans="1:22" ht="12.75" customHeight="1" x14ac:dyDescent="0.2">
      <c r="A45" s="661"/>
      <c r="B45" s="662"/>
      <c r="C45" s="19"/>
      <c r="D45" s="1557"/>
      <c r="E45" s="142"/>
      <c r="F45" s="335"/>
      <c r="G45" s="98"/>
      <c r="H45" s="1338"/>
      <c r="I45" s="1357"/>
      <c r="J45" s="1358"/>
      <c r="K45" s="1102"/>
      <c r="L45" s="1104"/>
      <c r="M45" s="1106"/>
      <c r="N45" s="1108"/>
      <c r="P45" s="783"/>
      <c r="Q45" s="783"/>
    </row>
    <row r="46" spans="1:22" ht="12.75" customHeight="1" x14ac:dyDescent="0.2">
      <c r="A46" s="25"/>
      <c r="B46" s="28"/>
      <c r="C46" s="19"/>
      <c r="D46" s="1557" t="s">
        <v>167</v>
      </c>
      <c r="E46" s="142"/>
      <c r="F46" s="335"/>
      <c r="G46" s="98"/>
      <c r="H46" s="1338"/>
      <c r="I46" s="1357"/>
      <c r="J46" s="1358"/>
      <c r="K46" s="1121"/>
      <c r="L46" s="1104"/>
      <c r="M46" s="1106"/>
      <c r="N46" s="1108"/>
    </row>
    <row r="47" spans="1:22" ht="12.75" customHeight="1" x14ac:dyDescent="0.2">
      <c r="A47" s="25"/>
      <c r="B47" s="28"/>
      <c r="C47" s="19"/>
      <c r="D47" s="1557"/>
      <c r="E47" s="142"/>
      <c r="F47" s="335"/>
      <c r="G47" s="98"/>
      <c r="H47" s="1338"/>
      <c r="I47" s="1357"/>
      <c r="J47" s="1358"/>
      <c r="K47" s="1121"/>
      <c r="L47" s="1104"/>
      <c r="M47" s="1106"/>
      <c r="N47" s="1108"/>
      <c r="R47" s="123"/>
    </row>
    <row r="48" spans="1:22" ht="40.5" customHeight="1" x14ac:dyDescent="0.2">
      <c r="A48" s="25"/>
      <c r="B48" s="28"/>
      <c r="C48" s="19"/>
      <c r="D48" s="1557" t="s">
        <v>263</v>
      </c>
      <c r="E48" s="142"/>
      <c r="F48" s="335"/>
      <c r="G48" s="98"/>
      <c r="H48" s="1338"/>
      <c r="I48" s="1357"/>
      <c r="J48" s="1358"/>
      <c r="K48" s="1444"/>
      <c r="L48" s="1448"/>
      <c r="M48" s="1445"/>
      <c r="N48" s="1090"/>
      <c r="P48" s="123"/>
      <c r="R48" s="123"/>
    </row>
    <row r="49" spans="1:20" ht="40.5" customHeight="1" x14ac:dyDescent="0.2">
      <c r="A49" s="1233"/>
      <c r="B49" s="1234"/>
      <c r="C49" s="887"/>
      <c r="D49" s="1683"/>
      <c r="E49" s="878"/>
      <c r="F49" s="891"/>
      <c r="G49" s="125"/>
      <c r="H49" s="1343"/>
      <c r="I49" s="1403"/>
      <c r="J49" s="1372"/>
      <c r="K49" s="760"/>
      <c r="L49" s="729"/>
      <c r="M49" s="730"/>
      <c r="N49" s="761"/>
      <c r="O49" s="783"/>
      <c r="P49" s="783"/>
      <c r="R49" s="123"/>
    </row>
    <row r="50" spans="1:20" ht="18" customHeight="1" x14ac:dyDescent="0.2">
      <c r="A50" s="25"/>
      <c r="B50" s="28"/>
      <c r="C50" s="19"/>
      <c r="D50" s="1557" t="s">
        <v>290</v>
      </c>
      <c r="E50" s="142"/>
      <c r="F50" s="335"/>
      <c r="G50" s="1039"/>
      <c r="H50" s="1338"/>
      <c r="I50" s="1357"/>
      <c r="J50" s="1358"/>
      <c r="K50" s="1682"/>
      <c r="L50" s="1104"/>
      <c r="M50" s="1106"/>
      <c r="N50" s="282"/>
      <c r="R50" s="123"/>
    </row>
    <row r="51" spans="1:20" ht="18" customHeight="1" x14ac:dyDescent="0.2">
      <c r="A51" s="25"/>
      <c r="B51" s="28"/>
      <c r="C51" s="19"/>
      <c r="D51" s="1557"/>
      <c r="E51" s="142"/>
      <c r="F51" s="335"/>
      <c r="G51" s="1039"/>
      <c r="H51" s="1338"/>
      <c r="I51" s="1357"/>
      <c r="J51" s="1358"/>
      <c r="K51" s="1682"/>
      <c r="L51" s="1063"/>
      <c r="M51" s="1065"/>
      <c r="N51" s="282"/>
      <c r="R51" s="123"/>
    </row>
    <row r="52" spans="1:20" ht="18" customHeight="1" x14ac:dyDescent="0.2">
      <c r="A52" s="25"/>
      <c r="B52" s="28"/>
      <c r="C52" s="19"/>
      <c r="D52" s="1557"/>
      <c r="E52" s="1684" t="s">
        <v>238</v>
      </c>
      <c r="F52" s="335"/>
      <c r="G52" s="1039"/>
      <c r="H52" s="1338"/>
      <c r="I52" s="1357"/>
      <c r="J52" s="1358"/>
      <c r="K52" s="1682"/>
      <c r="L52" s="1104"/>
      <c r="M52" s="1106"/>
      <c r="N52" s="282"/>
    </row>
    <row r="53" spans="1:20" ht="12.75" customHeight="1" x14ac:dyDescent="0.2">
      <c r="A53" s="38"/>
      <c r="B53" s="28"/>
      <c r="C53" s="19"/>
      <c r="D53" s="1557" t="s">
        <v>115</v>
      </c>
      <c r="E53" s="1684"/>
      <c r="F53" s="335"/>
      <c r="G53" s="98"/>
      <c r="H53" s="1338"/>
      <c r="I53" s="1357"/>
      <c r="J53" s="1358"/>
      <c r="K53" s="1102"/>
      <c r="L53" s="1104"/>
      <c r="M53" s="1106"/>
      <c r="N53" s="282"/>
      <c r="T53" s="123"/>
    </row>
    <row r="54" spans="1:20" ht="12.75" customHeight="1" x14ac:dyDescent="0.2">
      <c r="A54" s="38"/>
      <c r="B54" s="28"/>
      <c r="C54" s="19"/>
      <c r="D54" s="1557"/>
      <c r="E54" s="1684"/>
      <c r="F54" s="335"/>
      <c r="G54" s="98"/>
      <c r="H54" s="1338"/>
      <c r="I54" s="1357"/>
      <c r="J54" s="1358"/>
      <c r="K54" s="1102"/>
      <c r="L54" s="1104"/>
      <c r="M54" s="1106"/>
      <c r="N54" s="282"/>
      <c r="P54" s="123"/>
      <c r="T54" s="123"/>
    </row>
    <row r="55" spans="1:20" ht="18.75" customHeight="1" x14ac:dyDescent="0.2">
      <c r="A55" s="38"/>
      <c r="B55" s="28"/>
      <c r="C55" s="19"/>
      <c r="D55" s="1557"/>
      <c r="E55" s="1684"/>
      <c r="F55" s="335"/>
      <c r="G55" s="215"/>
      <c r="H55" s="1368"/>
      <c r="I55" s="1357"/>
      <c r="J55" s="1358"/>
      <c r="K55" s="1116"/>
      <c r="L55" s="1104"/>
      <c r="M55" s="1106"/>
      <c r="N55" s="282"/>
      <c r="P55" s="123"/>
    </row>
    <row r="56" spans="1:20" ht="12.75" customHeight="1" x14ac:dyDescent="0.2">
      <c r="A56" s="38"/>
      <c r="B56" s="28"/>
      <c r="C56" s="19"/>
      <c r="D56" s="1557" t="s">
        <v>39</v>
      </c>
      <c r="E56" s="1684"/>
      <c r="F56" s="335"/>
      <c r="G56" s="98"/>
      <c r="H56" s="1338"/>
      <c r="I56" s="1357"/>
      <c r="J56" s="1358"/>
      <c r="K56" s="1682"/>
      <c r="L56" s="1689"/>
      <c r="M56" s="1685"/>
      <c r="N56" s="1687"/>
    </row>
    <row r="57" spans="1:20" ht="15" customHeight="1" x14ac:dyDescent="0.2">
      <c r="A57" s="38"/>
      <c r="B57" s="28"/>
      <c r="C57" s="19"/>
      <c r="D57" s="1557"/>
      <c r="E57" s="142"/>
      <c r="F57" s="335"/>
      <c r="G57" s="98"/>
      <c r="H57" s="1338"/>
      <c r="I57" s="1357"/>
      <c r="J57" s="1358"/>
      <c r="K57" s="1682"/>
      <c r="L57" s="1689"/>
      <c r="M57" s="1685"/>
      <c r="N57" s="1687"/>
    </row>
    <row r="58" spans="1:20" ht="15" customHeight="1" x14ac:dyDescent="0.2">
      <c r="A58" s="38"/>
      <c r="B58" s="28"/>
      <c r="C58" s="19"/>
      <c r="D58" s="1557"/>
      <c r="E58" s="142"/>
      <c r="F58" s="335"/>
      <c r="G58" s="98"/>
      <c r="H58" s="1338"/>
      <c r="I58" s="1357"/>
      <c r="J58" s="1358"/>
      <c r="K58" s="1320"/>
      <c r="L58" s="1322"/>
      <c r="M58" s="1323"/>
      <c r="N58" s="1321"/>
    </row>
    <row r="59" spans="1:20" ht="15" customHeight="1" x14ac:dyDescent="0.2">
      <c r="A59" s="38"/>
      <c r="B59" s="28"/>
      <c r="C59" s="19"/>
      <c r="D59" s="1557" t="s">
        <v>223</v>
      </c>
      <c r="E59" s="142"/>
      <c r="F59" s="335"/>
      <c r="G59" s="98"/>
      <c r="H59" s="1338"/>
      <c r="I59" s="1357"/>
      <c r="J59" s="1358"/>
      <c r="K59" s="1320" t="s">
        <v>224</v>
      </c>
      <c r="L59" s="1322">
        <v>7</v>
      </c>
      <c r="M59" s="1323">
        <v>7</v>
      </c>
      <c r="N59" s="1321">
        <v>7</v>
      </c>
    </row>
    <row r="60" spans="1:20" ht="13.5" customHeight="1" thickBot="1" x14ac:dyDescent="0.25">
      <c r="A60" s="38"/>
      <c r="B60" s="28"/>
      <c r="C60" s="19"/>
      <c r="D60" s="1466"/>
      <c r="E60" s="142"/>
      <c r="F60" s="335"/>
      <c r="G60" s="1151" t="s">
        <v>16</v>
      </c>
      <c r="H60" s="1373">
        <f>SUM(H31:H57)</f>
        <v>3169282.9008341054</v>
      </c>
      <c r="I60" s="1373">
        <f>SUM(I31:I57)</f>
        <v>2990239.8053753478</v>
      </c>
      <c r="J60" s="1348">
        <f t="shared" ref="J60" si="1">SUM(J31:J57)</f>
        <v>2681533.8276181649</v>
      </c>
      <c r="K60" s="989"/>
      <c r="L60" s="1011"/>
      <c r="M60" s="1012"/>
      <c r="N60" s="1013"/>
    </row>
    <row r="61" spans="1:20" ht="28.5" customHeight="1" x14ac:dyDescent="0.2">
      <c r="A61" s="21" t="s">
        <v>9</v>
      </c>
      <c r="B61" s="27" t="s">
        <v>10</v>
      </c>
      <c r="C61" s="22" t="s">
        <v>10</v>
      </c>
      <c r="D61" s="665" t="s">
        <v>68</v>
      </c>
      <c r="E61" s="666"/>
      <c r="F61" s="1053"/>
      <c r="G61" s="113"/>
      <c r="H61" s="1335"/>
      <c r="I61" s="1336"/>
      <c r="J61" s="1337"/>
      <c r="K61" s="920"/>
      <c r="L61" s="921"/>
      <c r="M61" s="116"/>
      <c r="N61" s="117"/>
    </row>
    <row r="62" spans="1:20" ht="42" customHeight="1" x14ac:dyDescent="0.2">
      <c r="A62" s="661"/>
      <c r="B62" s="662"/>
      <c r="C62" s="19"/>
      <c r="D62" s="337" t="s">
        <v>123</v>
      </c>
      <c r="E62" s="1150"/>
      <c r="F62" s="1054"/>
      <c r="G62" s="98"/>
      <c r="H62" s="1338"/>
      <c r="I62" s="1341"/>
      <c r="J62" s="1342"/>
      <c r="K62" s="922"/>
      <c r="L62" s="539"/>
      <c r="M62" s="82"/>
      <c r="N62" s="81"/>
      <c r="P62" s="123"/>
    </row>
    <row r="63" spans="1:20" ht="30" customHeight="1" x14ac:dyDescent="0.2">
      <c r="A63" s="661"/>
      <c r="B63" s="662"/>
      <c r="C63" s="19"/>
      <c r="D63" s="1550" t="s">
        <v>229</v>
      </c>
      <c r="E63" s="1684" t="s">
        <v>113</v>
      </c>
      <c r="F63" s="908" t="s">
        <v>35</v>
      </c>
      <c r="G63" s="111" t="s">
        <v>12</v>
      </c>
      <c r="H63" s="1366">
        <f>20/3.4528*1000</f>
        <v>5792.4003707136244</v>
      </c>
      <c r="I63" s="1377"/>
      <c r="J63" s="1378"/>
      <c r="K63" s="1152" t="s">
        <v>252</v>
      </c>
      <c r="L63" s="1103">
        <v>1</v>
      </c>
      <c r="M63" s="1117"/>
      <c r="N63" s="934"/>
    </row>
    <row r="64" spans="1:20" x14ac:dyDescent="0.2">
      <c r="A64" s="897"/>
      <c r="B64" s="662"/>
      <c r="C64" s="44"/>
      <c r="D64" s="1688"/>
      <c r="E64" s="1690"/>
      <c r="F64" s="966"/>
      <c r="G64" s="426" t="s">
        <v>16</v>
      </c>
      <c r="H64" s="1379">
        <f>H63</f>
        <v>5792.4003707136244</v>
      </c>
      <c r="I64" s="1381"/>
      <c r="J64" s="1380"/>
      <c r="K64" s="1161"/>
      <c r="L64" s="1162"/>
      <c r="M64" s="1118"/>
      <c r="N64" s="1163"/>
      <c r="P64" s="123"/>
      <c r="S64" s="123"/>
    </row>
    <row r="65" spans="1:20" ht="17.25" customHeight="1" x14ac:dyDescent="0.2">
      <c r="A65" s="897"/>
      <c r="B65" s="662"/>
      <c r="C65" s="44"/>
      <c r="D65" s="1550" t="s">
        <v>222</v>
      </c>
      <c r="E65" s="1033"/>
      <c r="F65" s="908" t="s">
        <v>210</v>
      </c>
      <c r="G65" s="901" t="s">
        <v>12</v>
      </c>
      <c r="H65" s="1382">
        <f>36.3/3.4528*1000</f>
        <v>10513.206672845226</v>
      </c>
      <c r="I65" s="1385"/>
      <c r="J65" s="1386"/>
      <c r="K65" s="1691" t="s">
        <v>214</v>
      </c>
      <c r="L65" s="927"/>
      <c r="M65" s="928">
        <v>1</v>
      </c>
      <c r="N65" s="929" t="s">
        <v>215</v>
      </c>
      <c r="P65" s="123"/>
    </row>
    <row r="66" spans="1:20" x14ac:dyDescent="0.2">
      <c r="A66" s="897"/>
      <c r="B66" s="662"/>
      <c r="C66" s="44"/>
      <c r="D66" s="1450"/>
      <c r="E66" s="1"/>
      <c r="F66" s="1054"/>
      <c r="G66" s="901" t="s">
        <v>29</v>
      </c>
      <c r="H66" s="1382"/>
      <c r="I66" s="1387">
        <f>148.7/3.4528*1000</f>
        <v>43066.496756255787</v>
      </c>
      <c r="J66" s="1384">
        <f>634.9/3.4528*1000</f>
        <v>183879.74976830397</v>
      </c>
      <c r="K66" s="1692"/>
      <c r="L66" s="1017"/>
      <c r="M66" s="1018"/>
      <c r="N66" s="930"/>
      <c r="P66" s="123"/>
    </row>
    <row r="67" spans="1:20" x14ac:dyDescent="0.2">
      <c r="A67" s="897"/>
      <c r="B67" s="662"/>
      <c r="C67" s="44"/>
      <c r="D67" s="1450"/>
      <c r="E67" s="1"/>
      <c r="F67" s="1054"/>
      <c r="G67" s="901" t="s">
        <v>213</v>
      </c>
      <c r="H67" s="1382"/>
      <c r="I67" s="1387"/>
      <c r="J67" s="1384">
        <f>120.2/3.4528*1000</f>
        <v>34812.32622798888</v>
      </c>
      <c r="K67" s="1692"/>
      <c r="L67" s="1017"/>
      <c r="M67" s="1018"/>
      <c r="N67" s="930">
        <v>30</v>
      </c>
      <c r="P67" s="123"/>
    </row>
    <row r="68" spans="1:20" x14ac:dyDescent="0.2">
      <c r="A68" s="897"/>
      <c r="B68" s="662"/>
      <c r="C68" s="44"/>
      <c r="D68" s="1688"/>
      <c r="E68" s="903"/>
      <c r="F68" s="1054"/>
      <c r="G68" s="412" t="s">
        <v>16</v>
      </c>
      <c r="H68" s="1374">
        <f>SUM(H65:H67)</f>
        <v>10513.206672845226</v>
      </c>
      <c r="I68" s="1375">
        <f>SUM(I66:I67)</f>
        <v>43066.496756255787</v>
      </c>
      <c r="J68" s="1388">
        <f>SUM(J66:J67)</f>
        <v>218692.07599629284</v>
      </c>
      <c r="K68" s="1693"/>
      <c r="L68" s="1017"/>
      <c r="M68" s="1019"/>
      <c r="N68" s="930"/>
      <c r="P68" s="123"/>
    </row>
    <row r="69" spans="1:20" ht="21.75" customHeight="1" x14ac:dyDescent="0.2">
      <c r="A69" s="661"/>
      <c r="B69" s="662"/>
      <c r="C69" s="19"/>
      <c r="D69" s="1550" t="s">
        <v>264</v>
      </c>
      <c r="E69" s="1531"/>
      <c r="F69" s="1686"/>
      <c r="G69" s="108" t="s">
        <v>12</v>
      </c>
      <c r="H69" s="1383">
        <f>15/3.4528*1000</f>
        <v>4344.3002780352172</v>
      </c>
      <c r="I69" s="1389">
        <f>50/3.4528*1000</f>
        <v>14481.00092678406</v>
      </c>
      <c r="J69" s="1390">
        <f>50/3.4528*1000</f>
        <v>14481.00092678406</v>
      </c>
      <c r="K69" s="1691" t="s">
        <v>216</v>
      </c>
      <c r="L69" s="975"/>
      <c r="M69" s="976"/>
      <c r="N69" s="977">
        <v>1</v>
      </c>
      <c r="P69" s="123"/>
    </row>
    <row r="70" spans="1:20" ht="21.75" customHeight="1" x14ac:dyDescent="0.2">
      <c r="A70" s="661"/>
      <c r="B70" s="662"/>
      <c r="C70" s="19"/>
      <c r="D70" s="1450"/>
      <c r="E70" s="1531"/>
      <c r="F70" s="1686"/>
      <c r="G70" s="98"/>
      <c r="H70" s="1338"/>
      <c r="I70" s="1341"/>
      <c r="J70" s="1391"/>
      <c r="K70" s="1692"/>
      <c r="L70" s="1063"/>
      <c r="M70" s="1065"/>
      <c r="N70" s="931"/>
      <c r="P70" s="123"/>
    </row>
    <row r="71" spans="1:20" x14ac:dyDescent="0.2">
      <c r="A71" s="29"/>
      <c r="B71" s="32"/>
      <c r="C71" s="44"/>
      <c r="D71" s="1450"/>
      <c r="E71" s="1531"/>
      <c r="F71" s="1686"/>
      <c r="G71" s="412" t="s">
        <v>16</v>
      </c>
      <c r="H71" s="1374">
        <f>H69</f>
        <v>4344.3002780352172</v>
      </c>
      <c r="I71" s="1375">
        <f>SUM(I69:I70)</f>
        <v>14481.00092678406</v>
      </c>
      <c r="J71" s="1388">
        <f>SUM(J69:J70)</f>
        <v>14481.00092678406</v>
      </c>
      <c r="K71" s="1693"/>
      <c r="L71" s="1020"/>
      <c r="M71" s="730"/>
      <c r="N71" s="1072"/>
      <c r="P71" s="123"/>
    </row>
    <row r="72" spans="1:20" ht="12.75" customHeight="1" x14ac:dyDescent="0.2">
      <c r="A72" s="661"/>
      <c r="B72" s="662"/>
      <c r="C72" s="19"/>
      <c r="D72" s="1698" t="s">
        <v>217</v>
      </c>
      <c r="E72" s="1531"/>
      <c r="F72" s="1686"/>
      <c r="G72" s="108" t="s">
        <v>12</v>
      </c>
      <c r="H72" s="1383">
        <f>31/3.4528*1000</f>
        <v>8978.2205746061172</v>
      </c>
      <c r="I72" s="1389"/>
      <c r="J72" s="1390"/>
      <c r="K72" s="1488" t="s">
        <v>220</v>
      </c>
      <c r="L72" s="927"/>
      <c r="M72" s="928">
        <v>1</v>
      </c>
      <c r="N72" s="932"/>
      <c r="P72" s="123"/>
    </row>
    <row r="73" spans="1:20" x14ac:dyDescent="0.2">
      <c r="A73" s="661"/>
      <c r="B73" s="662"/>
      <c r="C73" s="19"/>
      <c r="D73" s="1699"/>
      <c r="E73" s="1531"/>
      <c r="F73" s="1686"/>
      <c r="G73" s="108" t="s">
        <v>29</v>
      </c>
      <c r="H73" s="1383"/>
      <c r="I73" s="1389">
        <f>49/3.4528*1000</f>
        <v>14191.380908248379</v>
      </c>
      <c r="J73" s="1390">
        <f>391/3.4528*1000</f>
        <v>113241.42724745134</v>
      </c>
      <c r="K73" s="1489"/>
      <c r="L73" s="1063"/>
      <c r="M73" s="1065"/>
      <c r="N73" s="931"/>
      <c r="O73" s="75"/>
    </row>
    <row r="74" spans="1:20" x14ac:dyDescent="0.2">
      <c r="A74" s="29"/>
      <c r="B74" s="32"/>
      <c r="C74" s="44"/>
      <c r="D74" s="1699"/>
      <c r="E74" s="1531"/>
      <c r="F74" s="1686"/>
      <c r="G74" s="907" t="s">
        <v>213</v>
      </c>
      <c r="H74" s="1392"/>
      <c r="I74" s="1377"/>
      <c r="J74" s="1378">
        <f>69/3.4528*1000</f>
        <v>19983.781278962004</v>
      </c>
      <c r="K74" s="1488" t="s">
        <v>221</v>
      </c>
      <c r="L74" s="1062"/>
      <c r="M74" s="1064"/>
      <c r="N74" s="934">
        <v>50</v>
      </c>
    </row>
    <row r="75" spans="1:20" ht="16.5" customHeight="1" x14ac:dyDescent="0.2">
      <c r="A75" s="29"/>
      <c r="B75" s="32"/>
      <c r="C75" s="44"/>
      <c r="D75" s="1699"/>
      <c r="E75" s="1532"/>
      <c r="F75" s="1686"/>
      <c r="G75" s="412" t="s">
        <v>16</v>
      </c>
      <c r="H75" s="1374">
        <f>SUM(H72:H74)</f>
        <v>8978.2205746061172</v>
      </c>
      <c r="I75" s="1375">
        <f>SUM(I72:I74)</f>
        <v>14191.380908248379</v>
      </c>
      <c r="J75" s="1388">
        <f>SUM(J73:J74)</f>
        <v>133225.20852641333</v>
      </c>
      <c r="K75" s="1489"/>
      <c r="L75" s="1159"/>
      <c r="M75" s="1106"/>
      <c r="N75" s="931"/>
      <c r="P75" s="123"/>
    </row>
    <row r="76" spans="1:20" ht="13.5" thickBot="1" x14ac:dyDescent="0.25">
      <c r="A76" s="668"/>
      <c r="B76" s="33"/>
      <c r="C76" s="45"/>
      <c r="D76" s="1700"/>
      <c r="E76" s="1695" t="s">
        <v>239</v>
      </c>
      <c r="F76" s="1696"/>
      <c r="G76" s="1697"/>
      <c r="H76" s="1376">
        <f>H75+H71+H68+H64</f>
        <v>29628.127896200185</v>
      </c>
      <c r="I76" s="1373">
        <f>I64+I71+I75+I68</f>
        <v>71738.87859128823</v>
      </c>
      <c r="J76" s="1373">
        <f t="shared" ref="J76" si="2">J64+J71+J75+J68</f>
        <v>366398.28544949024</v>
      </c>
      <c r="K76" s="1158"/>
      <c r="L76" s="1155"/>
      <c r="M76" s="1156"/>
      <c r="N76" s="1157"/>
      <c r="P76" s="123"/>
    </row>
    <row r="77" spans="1:20" ht="15.75" customHeight="1" x14ac:dyDescent="0.2">
      <c r="A77" s="21" t="s">
        <v>9</v>
      </c>
      <c r="B77" s="27" t="s">
        <v>10</v>
      </c>
      <c r="C77" s="22" t="s">
        <v>11</v>
      </c>
      <c r="D77" s="1724" t="s">
        <v>56</v>
      </c>
      <c r="E77" s="1170"/>
      <c r="F77" s="1113">
        <v>6</v>
      </c>
      <c r="G77" s="113" t="s">
        <v>12</v>
      </c>
      <c r="H77" s="1335">
        <f>493.7/3.4528*1000</f>
        <v>142985.40315106581</v>
      </c>
      <c r="I77" s="1336">
        <f>108.9/3.4528*1000</f>
        <v>31539.620018535683</v>
      </c>
      <c r="J77" s="1337"/>
      <c r="K77" s="1726" t="s">
        <v>146</v>
      </c>
      <c r="L77" s="115">
        <v>3</v>
      </c>
      <c r="M77" s="116">
        <v>1</v>
      </c>
      <c r="N77" s="117"/>
      <c r="O77" s="783"/>
      <c r="P77" s="783"/>
      <c r="Q77" s="783"/>
      <c r="R77" s="783"/>
    </row>
    <row r="78" spans="1:20" ht="25.5" customHeight="1" x14ac:dyDescent="0.2">
      <c r="A78" s="661"/>
      <c r="B78" s="662"/>
      <c r="C78" s="19"/>
      <c r="D78" s="1725"/>
      <c r="E78" s="1171"/>
      <c r="F78" s="1114"/>
      <c r="G78" s="108" t="s">
        <v>20</v>
      </c>
      <c r="H78" s="1383">
        <f>163.1/3.4528*1000</f>
        <v>47237.025023169597</v>
      </c>
      <c r="I78" s="1389"/>
      <c r="J78" s="1390"/>
      <c r="K78" s="1536"/>
      <c r="L78" s="540"/>
      <c r="M78" s="82"/>
      <c r="N78" s="81"/>
      <c r="O78" s="783"/>
      <c r="P78" s="783"/>
      <c r="Q78" s="783"/>
      <c r="R78" s="783"/>
    </row>
    <row r="79" spans="1:20" ht="41.25" customHeight="1" x14ac:dyDescent="0.2">
      <c r="A79" s="661"/>
      <c r="B79" s="662"/>
      <c r="C79" s="19"/>
      <c r="D79" s="1101" t="s">
        <v>225</v>
      </c>
      <c r="E79" s="1171"/>
      <c r="F79" s="594"/>
      <c r="G79" s="637"/>
      <c r="H79" s="1393"/>
      <c r="I79" s="1341"/>
      <c r="J79" s="1342"/>
      <c r="K79" s="1112"/>
      <c r="L79" s="1166"/>
      <c r="M79" s="82"/>
      <c r="N79" s="931"/>
    </row>
    <row r="80" spans="1:20" ht="41.25" customHeight="1" x14ac:dyDescent="0.2">
      <c r="A80" s="661"/>
      <c r="B80" s="662"/>
      <c r="C80" s="19"/>
      <c r="D80" s="1450" t="s">
        <v>199</v>
      </c>
      <c r="E80" s="1694"/>
      <c r="F80" s="1559"/>
      <c r="G80" s="98"/>
      <c r="H80" s="1338"/>
      <c r="I80" s="1341"/>
      <c r="J80" s="1391"/>
      <c r="K80" s="88"/>
      <c r="L80" s="1149"/>
      <c r="M80" s="1167"/>
      <c r="N80" s="81"/>
      <c r="P80" s="123"/>
      <c r="T80" s="123"/>
    </row>
    <row r="81" spans="1:20" ht="27" customHeight="1" x14ac:dyDescent="0.2">
      <c r="A81" s="661"/>
      <c r="B81" s="662"/>
      <c r="C81" s="19"/>
      <c r="D81" s="1450"/>
      <c r="E81" s="1694"/>
      <c r="F81" s="1559"/>
      <c r="G81" s="637"/>
      <c r="H81" s="1393"/>
      <c r="I81" s="1341"/>
      <c r="J81" s="1391"/>
      <c r="K81" s="1112"/>
      <c r="L81" s="336"/>
      <c r="M81" s="1106"/>
      <c r="N81" s="931"/>
      <c r="R81" s="123"/>
    </row>
    <row r="82" spans="1:20" ht="21" customHeight="1" x14ac:dyDescent="0.2">
      <c r="A82" s="661"/>
      <c r="B82" s="662"/>
      <c r="C82" s="19"/>
      <c r="D82" s="1450" t="s">
        <v>265</v>
      </c>
      <c r="E82" s="1694"/>
      <c r="F82" s="1559"/>
      <c r="G82" s="98"/>
      <c r="H82" s="1338"/>
      <c r="I82" s="1341"/>
      <c r="J82" s="1391"/>
      <c r="K82" s="1536"/>
      <c r="L82" s="1149"/>
      <c r="M82" s="1167"/>
      <c r="N82" s="81"/>
      <c r="P82" s="123"/>
    </row>
    <row r="83" spans="1:20" ht="32.25" customHeight="1" x14ac:dyDescent="0.2">
      <c r="A83" s="661"/>
      <c r="B83" s="662"/>
      <c r="C83" s="19"/>
      <c r="D83" s="1450"/>
      <c r="E83" s="1694"/>
      <c r="F83" s="1559"/>
      <c r="G83" s="637"/>
      <c r="H83" s="1393"/>
      <c r="I83" s="1341"/>
      <c r="J83" s="1391"/>
      <c r="K83" s="1536"/>
      <c r="L83" s="336"/>
      <c r="M83" s="1106"/>
      <c r="N83" s="931"/>
      <c r="P83" s="123"/>
      <c r="T83" s="123"/>
    </row>
    <row r="84" spans="1:20" ht="30" customHeight="1" thickBot="1" x14ac:dyDescent="0.25">
      <c r="A84" s="24"/>
      <c r="B84" s="14"/>
      <c r="C84" s="45"/>
      <c r="D84" s="1101" t="s">
        <v>240</v>
      </c>
      <c r="E84" s="1172"/>
      <c r="F84" s="1173"/>
      <c r="G84" s="400" t="s">
        <v>16</v>
      </c>
      <c r="H84" s="1346">
        <f>SUM(H77:H83)</f>
        <v>190222.42817423539</v>
      </c>
      <c r="I84" s="1347">
        <f t="shared" ref="I84" si="3">SUM(I77:I83)</f>
        <v>31539.620018535683</v>
      </c>
      <c r="J84" s="1347"/>
      <c r="K84" s="1168"/>
      <c r="L84" s="1169"/>
      <c r="M84" s="1153"/>
      <c r="N84" s="1154"/>
    </row>
    <row r="85" spans="1:20" ht="13.5" thickBot="1" x14ac:dyDescent="0.25">
      <c r="A85" s="30" t="s">
        <v>9</v>
      </c>
      <c r="B85" s="33" t="s">
        <v>10</v>
      </c>
      <c r="C85" s="1701" t="s">
        <v>15</v>
      </c>
      <c r="D85" s="1529"/>
      <c r="E85" s="1529"/>
      <c r="F85" s="1529"/>
      <c r="G85" s="1530"/>
      <c r="H85" s="1362">
        <f>H84+H76+H60</f>
        <v>3389133.4569045412</v>
      </c>
      <c r="I85" s="1362">
        <f>I84+I76+I60</f>
        <v>3093518.303985172</v>
      </c>
      <c r="J85" s="1362">
        <f t="shared" ref="J85" si="4">J84+J76+J60</f>
        <v>3047932.1130676554</v>
      </c>
      <c r="K85" s="1485"/>
      <c r="L85" s="1486"/>
      <c r="M85" s="1486"/>
      <c r="N85" s="1487"/>
    </row>
    <row r="86" spans="1:20" ht="13.5" thickBot="1" x14ac:dyDescent="0.25">
      <c r="A86" s="18" t="s">
        <v>9</v>
      </c>
      <c r="B86" s="179" t="s">
        <v>11</v>
      </c>
      <c r="C86" s="1608" t="s">
        <v>161</v>
      </c>
      <c r="D86" s="1523"/>
      <c r="E86" s="1523"/>
      <c r="F86" s="1523"/>
      <c r="G86" s="1523"/>
      <c r="H86" s="1523"/>
      <c r="I86" s="1523"/>
      <c r="J86" s="1523"/>
      <c r="K86" s="1523"/>
      <c r="L86" s="1523"/>
      <c r="M86" s="1523"/>
      <c r="N86" s="1524"/>
    </row>
    <row r="87" spans="1:20" ht="42.75" customHeight="1" x14ac:dyDescent="0.2">
      <c r="A87" s="21" t="s">
        <v>9</v>
      </c>
      <c r="B87" s="27" t="s">
        <v>11</v>
      </c>
      <c r="C87" s="22" t="s">
        <v>9</v>
      </c>
      <c r="D87" s="553" t="s">
        <v>82</v>
      </c>
      <c r="E87" s="1676" t="s">
        <v>241</v>
      </c>
      <c r="F87" s="1446">
        <v>2</v>
      </c>
      <c r="G87" s="1174" t="s">
        <v>12</v>
      </c>
      <c r="H87" s="1335">
        <f>60/3.4528*1000</f>
        <v>17377.201112140869</v>
      </c>
      <c r="I87" s="1336">
        <f>120/3.4528*1000</f>
        <v>34754.402224281737</v>
      </c>
      <c r="J87" s="1336">
        <f>180/3.4528*1000</f>
        <v>52131.603336422617</v>
      </c>
      <c r="K87" s="284"/>
      <c r="L87" s="115"/>
      <c r="M87" s="116"/>
      <c r="N87" s="117"/>
    </row>
    <row r="88" spans="1:20" ht="42" customHeight="1" x14ac:dyDescent="0.2">
      <c r="A88" s="661"/>
      <c r="B88" s="662"/>
      <c r="C88" s="19"/>
      <c r="D88" s="813" t="s">
        <v>120</v>
      </c>
      <c r="E88" s="1677"/>
      <c r="F88" s="1447"/>
      <c r="G88" s="791"/>
      <c r="H88" s="1338"/>
      <c r="I88" s="1394"/>
      <c r="J88" s="1394"/>
      <c r="K88" s="814" t="s">
        <v>253</v>
      </c>
      <c r="L88" s="288">
        <v>1</v>
      </c>
      <c r="M88" s="289">
        <v>1</v>
      </c>
      <c r="N88" s="290">
        <v>1</v>
      </c>
      <c r="O88" s="75"/>
    </row>
    <row r="89" spans="1:20" ht="12.75" customHeight="1" x14ac:dyDescent="0.2">
      <c r="A89" s="661"/>
      <c r="B89" s="662"/>
      <c r="C89" s="19"/>
      <c r="D89" s="1702" t="s">
        <v>200</v>
      </c>
      <c r="E89" s="1677"/>
      <c r="F89" s="1447"/>
      <c r="G89" s="791"/>
      <c r="H89" s="1338"/>
      <c r="I89" s="1395"/>
      <c r="J89" s="1395"/>
      <c r="K89" s="1181" t="s">
        <v>254</v>
      </c>
      <c r="L89" s="1178"/>
      <c r="M89" s="1179">
        <v>1</v>
      </c>
      <c r="N89" s="1180">
        <v>1</v>
      </c>
    </row>
    <row r="90" spans="1:20" ht="28.5" customHeight="1" x14ac:dyDescent="0.2">
      <c r="A90" s="964"/>
      <c r="B90" s="947"/>
      <c r="C90" s="887"/>
      <c r="D90" s="1703"/>
      <c r="E90" s="1705"/>
      <c r="F90" s="1237"/>
      <c r="G90" s="1238"/>
      <c r="H90" s="1396"/>
      <c r="I90" s="1397"/>
      <c r="J90" s="1397"/>
      <c r="K90" s="1242" t="s">
        <v>255</v>
      </c>
      <c r="L90" s="1243">
        <v>1</v>
      </c>
      <c r="M90" s="1244">
        <v>1</v>
      </c>
      <c r="N90" s="1245">
        <v>1</v>
      </c>
      <c r="P90" s="123"/>
    </row>
    <row r="91" spans="1:20" ht="51" x14ac:dyDescent="0.2">
      <c r="A91" s="661"/>
      <c r="B91" s="662"/>
      <c r="C91" s="19"/>
      <c r="D91" s="1119" t="s">
        <v>266</v>
      </c>
      <c r="E91" s="1235"/>
      <c r="F91" s="1059"/>
      <c r="G91" s="791"/>
      <c r="H91" s="1338"/>
      <c r="I91" s="1394"/>
      <c r="J91" s="1394"/>
      <c r="K91" s="1182" t="s">
        <v>256</v>
      </c>
      <c r="L91" s="288"/>
      <c r="M91" s="289">
        <v>2</v>
      </c>
      <c r="N91" s="290">
        <v>4</v>
      </c>
      <c r="P91" s="123"/>
    </row>
    <row r="92" spans="1:20" x14ac:dyDescent="0.2">
      <c r="A92" s="661"/>
      <c r="B92" s="662"/>
      <c r="C92" s="19"/>
      <c r="D92" s="1702" t="s">
        <v>85</v>
      </c>
      <c r="E92" s="1235"/>
      <c r="F92" s="1059"/>
      <c r="G92" s="1079"/>
      <c r="H92" s="1343"/>
      <c r="I92" s="1398"/>
      <c r="J92" s="1398"/>
      <c r="K92" s="895"/>
      <c r="L92" s="579"/>
      <c r="M92" s="289"/>
      <c r="N92" s="290"/>
    </row>
    <row r="93" spans="1:20" ht="43.5" customHeight="1" thickBot="1" x14ac:dyDescent="0.25">
      <c r="A93" s="661"/>
      <c r="B93" s="662"/>
      <c r="C93" s="44"/>
      <c r="D93" s="1704"/>
      <c r="E93" s="1236"/>
      <c r="F93" s="502"/>
      <c r="G93" s="792" t="s">
        <v>16</v>
      </c>
      <c r="H93" s="1346">
        <f>SUM(H87:H92)</f>
        <v>17377.201112140869</v>
      </c>
      <c r="I93" s="1399">
        <f>SUM(I87:I92)</f>
        <v>34754.402224281737</v>
      </c>
      <c r="J93" s="1399">
        <f>SUM(J87:J92)</f>
        <v>52131.603336422617</v>
      </c>
      <c r="K93" s="1"/>
      <c r="L93" s="1027"/>
      <c r="M93" s="1028"/>
      <c r="N93" s="1029"/>
    </row>
    <row r="94" spans="1:20" ht="51" x14ac:dyDescent="0.2">
      <c r="A94" s="21" t="s">
        <v>9</v>
      </c>
      <c r="B94" s="27" t="s">
        <v>11</v>
      </c>
      <c r="C94" s="22" t="s">
        <v>10</v>
      </c>
      <c r="D94" s="1183" t="s">
        <v>93</v>
      </c>
      <c r="E94" s="581"/>
      <c r="F94" s="1613">
        <v>2</v>
      </c>
      <c r="G94" s="1174" t="s">
        <v>12</v>
      </c>
      <c r="H94" s="1335"/>
      <c r="I94" s="1400">
        <f>30/3.4528*1000</f>
        <v>8688.6005560704343</v>
      </c>
      <c r="J94" s="1400">
        <f>70/3.4528*1000</f>
        <v>20273.401297497687</v>
      </c>
      <c r="K94" s="284"/>
      <c r="L94" s="115"/>
      <c r="M94" s="116"/>
      <c r="N94" s="117"/>
    </row>
    <row r="95" spans="1:20" ht="42" customHeight="1" x14ac:dyDescent="0.2">
      <c r="A95" s="25"/>
      <c r="B95" s="28"/>
      <c r="C95" s="19"/>
      <c r="D95" s="141" t="s">
        <v>202</v>
      </c>
      <c r="E95" s="1185" t="s">
        <v>114</v>
      </c>
      <c r="F95" s="1614"/>
      <c r="G95" s="524"/>
      <c r="H95" s="1338"/>
      <c r="I95" s="1358"/>
      <c r="J95" s="1401"/>
      <c r="K95" s="88" t="s">
        <v>157</v>
      </c>
      <c r="L95" s="336"/>
      <c r="M95" s="1106">
        <v>2</v>
      </c>
      <c r="N95" s="1013">
        <v>3</v>
      </c>
      <c r="O95" s="235"/>
      <c r="P95" s="123"/>
      <c r="R95" s="123"/>
    </row>
    <row r="96" spans="1:20" ht="23.25" customHeight="1" x14ac:dyDescent="0.2">
      <c r="A96" s="661"/>
      <c r="B96" s="662"/>
      <c r="C96" s="19"/>
      <c r="D96" s="1557" t="s">
        <v>203</v>
      </c>
      <c r="E96" s="1660" t="s">
        <v>95</v>
      </c>
      <c r="F96" s="1614"/>
      <c r="G96" s="1079"/>
      <c r="H96" s="1343"/>
      <c r="I96" s="1372"/>
      <c r="J96" s="1372"/>
      <c r="K96" s="1651" t="s">
        <v>257</v>
      </c>
      <c r="L96" s="586"/>
      <c r="M96" s="584">
        <v>1</v>
      </c>
      <c r="N96" s="585">
        <v>1</v>
      </c>
      <c r="O96" s="235"/>
    </row>
    <row r="97" spans="1:16" ht="17.25" customHeight="1" thickBot="1" x14ac:dyDescent="0.25">
      <c r="A97" s="24"/>
      <c r="B97" s="14"/>
      <c r="C97" s="45"/>
      <c r="D97" s="1466"/>
      <c r="E97" s="1561"/>
      <c r="F97" s="1615"/>
      <c r="G97" s="792" t="s">
        <v>16</v>
      </c>
      <c r="H97" s="1346"/>
      <c r="I97" s="1373">
        <f>SUM(I94:I96)</f>
        <v>8688.6005560704343</v>
      </c>
      <c r="J97" s="1373">
        <f>SUM(J94:J96)</f>
        <v>20273.401297497687</v>
      </c>
      <c r="K97" s="1652"/>
      <c r="L97" s="293"/>
      <c r="M97" s="1068"/>
      <c r="N97" s="1069"/>
      <c r="O97" s="235"/>
    </row>
    <row r="98" spans="1:16" ht="29.25" customHeight="1" x14ac:dyDescent="0.2">
      <c r="A98" s="21" t="s">
        <v>9</v>
      </c>
      <c r="B98" s="27" t="s">
        <v>11</v>
      </c>
      <c r="C98" s="22" t="s">
        <v>11</v>
      </c>
      <c r="D98" s="553" t="s">
        <v>100</v>
      </c>
      <c r="E98" s="1515" t="s">
        <v>104</v>
      </c>
      <c r="F98" s="1519" t="s">
        <v>35</v>
      </c>
      <c r="G98" s="1174" t="s">
        <v>12</v>
      </c>
      <c r="H98" s="1335"/>
      <c r="I98" s="1402">
        <f>25/3.4528*1000</f>
        <v>7240.5004633920298</v>
      </c>
      <c r="J98" s="1402">
        <f>35/3.4528*1000</f>
        <v>10136.700648748843</v>
      </c>
      <c r="K98" s="937"/>
      <c r="L98" s="291"/>
      <c r="M98" s="266"/>
      <c r="N98" s="292"/>
    </row>
    <row r="99" spans="1:16" ht="17.25" customHeight="1" x14ac:dyDescent="0.2">
      <c r="A99" s="661"/>
      <c r="B99" s="662"/>
      <c r="C99" s="19"/>
      <c r="D99" s="1115" t="s">
        <v>267</v>
      </c>
      <c r="E99" s="1531"/>
      <c r="F99" s="1559"/>
      <c r="G99" s="791"/>
      <c r="H99" s="1338"/>
      <c r="I99" s="1357"/>
      <c r="J99" s="1358"/>
      <c r="K99" s="861" t="s">
        <v>258</v>
      </c>
      <c r="L99" s="586"/>
      <c r="M99" s="584">
        <v>3</v>
      </c>
      <c r="N99" s="585">
        <v>4</v>
      </c>
    </row>
    <row r="100" spans="1:16" ht="15.75" customHeight="1" x14ac:dyDescent="0.2">
      <c r="A100" s="661"/>
      <c r="B100" s="662"/>
      <c r="C100" s="19"/>
      <c r="D100" s="1557" t="s">
        <v>101</v>
      </c>
      <c r="E100" s="1531"/>
      <c r="F100" s="1559"/>
      <c r="G100" s="1079"/>
      <c r="H100" s="1343"/>
      <c r="I100" s="1403"/>
      <c r="J100" s="1404"/>
      <c r="K100" s="1651" t="s">
        <v>244</v>
      </c>
      <c r="L100" s="586"/>
      <c r="M100" s="584">
        <v>2</v>
      </c>
      <c r="N100" s="585">
        <v>3</v>
      </c>
    </row>
    <row r="101" spans="1:16" ht="13.5" thickBot="1" x14ac:dyDescent="0.25">
      <c r="A101" s="24"/>
      <c r="B101" s="14"/>
      <c r="C101" s="45"/>
      <c r="D101" s="1466"/>
      <c r="E101" s="1516"/>
      <c r="F101" s="1520"/>
      <c r="G101" s="792" t="s">
        <v>16</v>
      </c>
      <c r="H101" s="1346"/>
      <c r="I101" s="1373">
        <f>SUM(I98:I100)</f>
        <v>7240.5004633920298</v>
      </c>
      <c r="J101" s="1348">
        <f>SUM(J98:J100)</f>
        <v>10136.700648748843</v>
      </c>
      <c r="K101" s="1652"/>
      <c r="L101" s="1067"/>
      <c r="M101" s="1068"/>
      <c r="N101" s="1069"/>
      <c r="P101" s="123"/>
    </row>
    <row r="102" spans="1:16" ht="39.75" customHeight="1" x14ac:dyDescent="0.2">
      <c r="A102" s="21" t="s">
        <v>9</v>
      </c>
      <c r="B102" s="27" t="s">
        <v>11</v>
      </c>
      <c r="C102" s="22" t="s">
        <v>13</v>
      </c>
      <c r="D102" s="1465" t="s">
        <v>205</v>
      </c>
      <c r="E102" s="1560" t="s">
        <v>98</v>
      </c>
      <c r="F102" s="1661" t="s">
        <v>35</v>
      </c>
      <c r="G102" s="1078" t="s">
        <v>12</v>
      </c>
      <c r="H102" s="1343">
        <f>40/3.4528*1000</f>
        <v>11584.800741427249</v>
      </c>
      <c r="I102" s="1350">
        <f>40/3.4528*1000</f>
        <v>11584.800741427249</v>
      </c>
      <c r="J102" s="1350">
        <f>40/3.4528*1000</f>
        <v>11584.800741427249</v>
      </c>
      <c r="K102" s="759" t="s">
        <v>259</v>
      </c>
      <c r="L102" s="721">
        <v>4</v>
      </c>
      <c r="M102" s="266">
        <v>10</v>
      </c>
      <c r="N102" s="292">
        <v>10</v>
      </c>
      <c r="O102" s="235"/>
    </row>
    <row r="103" spans="1:16" ht="13.5" thickBot="1" x14ac:dyDescent="0.25">
      <c r="A103" s="24"/>
      <c r="B103" s="14"/>
      <c r="C103" s="45"/>
      <c r="D103" s="1466"/>
      <c r="E103" s="1561"/>
      <c r="F103" s="1662"/>
      <c r="G103" s="792" t="s">
        <v>16</v>
      </c>
      <c r="H103" s="1346">
        <f>H102</f>
        <v>11584.800741427249</v>
      </c>
      <c r="I103" s="1373">
        <f t="shared" ref="I103:J103" si="5">I102</f>
        <v>11584.800741427249</v>
      </c>
      <c r="J103" s="1348">
        <f t="shared" si="5"/>
        <v>11584.800741427249</v>
      </c>
      <c r="K103" s="865"/>
      <c r="L103" s="1067"/>
      <c r="M103" s="1068"/>
      <c r="N103" s="1069"/>
      <c r="O103" s="235"/>
    </row>
    <row r="104" spans="1:16" ht="14.25" customHeight="1" thickBot="1" x14ac:dyDescent="0.25">
      <c r="A104" s="30" t="s">
        <v>9</v>
      </c>
      <c r="B104" s="33" t="s">
        <v>11</v>
      </c>
      <c r="C104" s="1701" t="s">
        <v>15</v>
      </c>
      <c r="D104" s="1529"/>
      <c r="E104" s="1529"/>
      <c r="F104" s="1529"/>
      <c r="G104" s="1530"/>
      <c r="H104" s="1405">
        <f>H103+H101+H97+H93</f>
        <v>28962.001853568116</v>
      </c>
      <c r="I104" s="1406">
        <f>I103+I97+I93+I101</f>
        <v>62268.303985171457</v>
      </c>
      <c r="J104" s="1406">
        <f>J103+J97+J93+J101</f>
        <v>94126.506024096394</v>
      </c>
      <c r="K104" s="1485"/>
      <c r="L104" s="1486"/>
      <c r="M104" s="1486"/>
      <c r="N104" s="1487"/>
    </row>
    <row r="105" spans="1:16" ht="14.25" customHeight="1" thickBot="1" x14ac:dyDescent="0.25">
      <c r="A105" s="13" t="s">
        <v>9</v>
      </c>
      <c r="B105" s="1719" t="s">
        <v>17</v>
      </c>
      <c r="C105" s="1562"/>
      <c r="D105" s="1562"/>
      <c r="E105" s="1562"/>
      <c r="F105" s="1562"/>
      <c r="G105" s="1563"/>
      <c r="H105" s="1407">
        <f>H104+H85+H29</f>
        <v>4050422.8452270618</v>
      </c>
      <c r="I105" s="1408">
        <f>I85+I29+I104</f>
        <v>3888583.1788693243</v>
      </c>
      <c r="J105" s="1408">
        <f>J85+J29+J104</f>
        <v>3929882.9935125113</v>
      </c>
      <c r="K105" s="1610"/>
      <c r="L105" s="1611"/>
      <c r="M105" s="1611"/>
      <c r="N105" s="1612"/>
    </row>
    <row r="106" spans="1:16" ht="14.25" customHeight="1" thickBot="1" x14ac:dyDescent="0.25">
      <c r="A106" s="31" t="s">
        <v>14</v>
      </c>
      <c r="B106" s="1720" t="s">
        <v>99</v>
      </c>
      <c r="C106" s="1579"/>
      <c r="D106" s="1579"/>
      <c r="E106" s="1579"/>
      <c r="F106" s="1579"/>
      <c r="G106" s="1580"/>
      <c r="H106" s="1409">
        <f>H105</f>
        <v>4050422.8452270618</v>
      </c>
      <c r="I106" s="1411">
        <f t="shared" ref="I106" si="6">I105</f>
        <v>3888583.1788693243</v>
      </c>
      <c r="J106" s="1410">
        <f>J105</f>
        <v>3929882.9935125113</v>
      </c>
      <c r="K106" s="1667"/>
      <c r="L106" s="1668"/>
      <c r="M106" s="1668"/>
      <c r="N106" s="1669"/>
    </row>
    <row r="107" spans="1:16" ht="14.25" customHeight="1" x14ac:dyDescent="0.2">
      <c r="A107" s="1092"/>
      <c r="B107" s="1093"/>
      <c r="C107" s="1093"/>
      <c r="D107" s="1093"/>
      <c r="E107" s="1093"/>
      <c r="F107" s="1093"/>
      <c r="G107" s="1093"/>
      <c r="H107" s="1412"/>
      <c r="I107" s="1412"/>
      <c r="J107" s="1412"/>
      <c r="K107" s="1091"/>
      <c r="L107" s="1091"/>
      <c r="M107" s="1091"/>
      <c r="N107" s="1091"/>
    </row>
    <row r="108" spans="1:16" ht="15.75" customHeight="1" thickBot="1" x14ac:dyDescent="0.25">
      <c r="A108" s="1712" t="s">
        <v>21</v>
      </c>
      <c r="B108" s="1712"/>
      <c r="C108" s="1712"/>
      <c r="D108" s="1712"/>
      <c r="E108" s="1712"/>
      <c r="F108" s="1712"/>
      <c r="G108" s="1712"/>
      <c r="H108" s="1712"/>
      <c r="I108" s="1712"/>
      <c r="J108" s="1712"/>
      <c r="K108" s="311"/>
      <c r="L108" s="1030"/>
      <c r="M108" s="1030"/>
      <c r="N108" s="1030"/>
    </row>
    <row r="109" spans="1:16" ht="42" customHeight="1" x14ac:dyDescent="0.2">
      <c r="A109" s="1713" t="s">
        <v>19</v>
      </c>
      <c r="B109" s="1714"/>
      <c r="C109" s="1714"/>
      <c r="D109" s="1714"/>
      <c r="E109" s="1714"/>
      <c r="F109" s="1714"/>
      <c r="G109" s="1715"/>
      <c r="H109" s="1413" t="s">
        <v>231</v>
      </c>
      <c r="I109" s="1414" t="s">
        <v>232</v>
      </c>
      <c r="J109" s="1414" t="s">
        <v>233</v>
      </c>
      <c r="K109" s="70"/>
      <c r="L109" s="1601"/>
      <c r="M109" s="1601"/>
      <c r="N109" s="1601"/>
    </row>
    <row r="110" spans="1:16" x14ac:dyDescent="0.2">
      <c r="A110" s="1709" t="s">
        <v>32</v>
      </c>
      <c r="B110" s="1710"/>
      <c r="C110" s="1710"/>
      <c r="D110" s="1710"/>
      <c r="E110" s="1710"/>
      <c r="F110" s="1710"/>
      <c r="G110" s="1711"/>
      <c r="H110" s="1415">
        <f ca="1">SUM(H111:H114)</f>
        <v>3804796.1075069509</v>
      </c>
      <c r="I110" s="1416">
        <f>SUM(I111:I114)</f>
        <v>3721269.694161261</v>
      </c>
      <c r="J110" s="1416">
        <f>SUM(J111:J114)</f>
        <v>3584105.6533827614</v>
      </c>
      <c r="K110" s="71"/>
      <c r="L110" s="1599"/>
      <c r="M110" s="1599"/>
      <c r="N110" s="1599"/>
    </row>
    <row r="111" spans="1:16" x14ac:dyDescent="0.2">
      <c r="A111" s="1581" t="s">
        <v>22</v>
      </c>
      <c r="B111" s="1582"/>
      <c r="C111" s="1582"/>
      <c r="D111" s="1582"/>
      <c r="E111" s="1582"/>
      <c r="F111" s="1582"/>
      <c r="G111" s="1583"/>
      <c r="H111" s="1417">
        <f>SUMIF(G12:G102,"sb",H12:H102)</f>
        <v>3328052.5949953659</v>
      </c>
      <c r="I111" s="1418">
        <f>SUMIF(G12:G102,"sb",I12:I102)</f>
        <v>3192278.7303058393</v>
      </c>
      <c r="J111" s="1418">
        <f>SUMIF(G12:G102,"sb",J12:J102)</f>
        <v>3000318.5820203889</v>
      </c>
      <c r="K111" s="169"/>
      <c r="L111" s="1600"/>
      <c r="M111" s="1600"/>
      <c r="N111" s="1600"/>
    </row>
    <row r="112" spans="1:16" x14ac:dyDescent="0.2">
      <c r="A112" s="1581" t="s">
        <v>117</v>
      </c>
      <c r="B112" s="1582"/>
      <c r="C112" s="1582"/>
      <c r="D112" s="1582"/>
      <c r="E112" s="1582"/>
      <c r="F112" s="1582"/>
      <c r="G112" s="1583"/>
      <c r="H112" s="1417">
        <f>SUMIF(G12:G102,"sb(vr)",H12:H102)</f>
        <v>134412.65060240965</v>
      </c>
      <c r="I112" s="1418">
        <f>SUMIF(G13:G102,"sb(vr)",I13:I102)</f>
        <v>152919.36978683967</v>
      </c>
      <c r="J112" s="1418">
        <f>SUMIF(G13:G102,"sb(vr)",J13:J102)</f>
        <v>152919.36978683967</v>
      </c>
      <c r="K112" s="783"/>
      <c r="L112" s="1058"/>
      <c r="M112" s="1058"/>
      <c r="N112" s="1058"/>
    </row>
    <row r="113" spans="1:14" ht="29.25" customHeight="1" x14ac:dyDescent="0.2">
      <c r="A113" s="1721" t="s">
        <v>31</v>
      </c>
      <c r="B113" s="1722"/>
      <c r="C113" s="1722"/>
      <c r="D113" s="1722"/>
      <c r="E113" s="1722"/>
      <c r="F113" s="1722"/>
      <c r="G113" s="1723"/>
      <c r="H113" s="1419">
        <f>SUMIF(G12:G102,"sb(sp)",H12:H102)</f>
        <v>342330.86190917518</v>
      </c>
      <c r="I113" s="1420">
        <f>SUMIF(G13:G102,"sb(sp)",I13:I102)</f>
        <v>376071.59406858205</v>
      </c>
      <c r="J113" s="1420">
        <f>SUMIF(G13:G102,"SB(SP)",J13:J102)</f>
        <v>376071.59406858205</v>
      </c>
      <c r="K113" s="1095"/>
      <c r="L113" s="1600"/>
      <c r="M113" s="1600"/>
      <c r="N113" s="1600"/>
    </row>
    <row r="114" spans="1:14" s="8" customFormat="1" x14ac:dyDescent="0.2">
      <c r="A114" s="1716" t="s">
        <v>212</v>
      </c>
      <c r="B114" s="1717"/>
      <c r="C114" s="1717"/>
      <c r="D114" s="1717"/>
      <c r="E114" s="1717"/>
      <c r="F114" s="1717"/>
      <c r="G114" s="1718"/>
      <c r="H114" s="1421">
        <f ca="1">SUMIF(G12:H102,"sb(p)",H12:H102)</f>
        <v>0</v>
      </c>
      <c r="I114" s="1422">
        <f>SUMIF(G13:G102,"SB(P)",I13:I102)</f>
        <v>0</v>
      </c>
      <c r="J114" s="1423">
        <f>SUMIF(G13:G102,"SB(P)",J13:J102)</f>
        <v>54796.107506950881</v>
      </c>
      <c r="K114" s="169"/>
      <c r="L114" s="1058"/>
      <c r="M114" s="1058"/>
      <c r="N114" s="1058"/>
    </row>
    <row r="115" spans="1:14" x14ac:dyDescent="0.2">
      <c r="A115" s="1709" t="s">
        <v>33</v>
      </c>
      <c r="B115" s="1710"/>
      <c r="C115" s="1710"/>
      <c r="D115" s="1710"/>
      <c r="E115" s="1710"/>
      <c r="F115" s="1710"/>
      <c r="G115" s="1711"/>
      <c r="H115" s="1415">
        <f>SUM(H116:H117)</f>
        <v>245626.73772011121</v>
      </c>
      <c r="I115" s="1424">
        <f>SUM(I116:I117)</f>
        <v>167313.48470806301</v>
      </c>
      <c r="J115" s="1424">
        <f>SUM(J116:J117)</f>
        <v>345777.34012974973</v>
      </c>
      <c r="K115" s="71"/>
      <c r="L115" s="1599"/>
      <c r="M115" s="1599"/>
      <c r="N115" s="1599"/>
    </row>
    <row r="116" spans="1:14" x14ac:dyDescent="0.2">
      <c r="A116" s="1581" t="s">
        <v>23</v>
      </c>
      <c r="B116" s="1582"/>
      <c r="C116" s="1582"/>
      <c r="D116" s="1582"/>
      <c r="E116" s="1582"/>
      <c r="F116" s="1582"/>
      <c r="G116" s="1583"/>
      <c r="H116" s="1417">
        <f>SUMIF(G12:G102,"es",H12:H102)</f>
        <v>188774.328081557</v>
      </c>
      <c r="I116" s="1418">
        <f>SUMIF(G13:G102,"es",I13:I102)</f>
        <v>103597.08063021315</v>
      </c>
      <c r="J116" s="1418">
        <f>SUMIF(G13:G102,"es",J13:J102)</f>
        <v>297121.17701575533</v>
      </c>
      <c r="K116" s="169"/>
      <c r="L116" s="1600"/>
      <c r="M116" s="1600"/>
      <c r="N116" s="1600"/>
    </row>
    <row r="117" spans="1:14" x14ac:dyDescent="0.2">
      <c r="A117" s="1581" t="s">
        <v>24</v>
      </c>
      <c r="B117" s="1582"/>
      <c r="C117" s="1582"/>
      <c r="D117" s="1582"/>
      <c r="E117" s="1582"/>
      <c r="F117" s="1582"/>
      <c r="G117" s="1583"/>
      <c r="H117" s="1417">
        <f>SUMIF(G12:G102,"lrvb",H12:H102)</f>
        <v>56852.409638554214</v>
      </c>
      <c r="I117" s="1418">
        <f>SUMIF(G13:G102,"lrvb",I13:I102)</f>
        <v>63716.404077849867</v>
      </c>
      <c r="J117" s="1418">
        <f>SUMIF(G13:G102,"lrvb",J13:J102)</f>
        <v>48656.163113994437</v>
      </c>
      <c r="K117" s="169"/>
      <c r="L117" s="1600"/>
      <c r="M117" s="1600"/>
      <c r="N117" s="1600"/>
    </row>
    <row r="118" spans="1:14" ht="13.5" thickBot="1" x14ac:dyDescent="0.25">
      <c r="A118" s="1706" t="s">
        <v>16</v>
      </c>
      <c r="B118" s="1707"/>
      <c r="C118" s="1707"/>
      <c r="D118" s="1707"/>
      <c r="E118" s="1707"/>
      <c r="F118" s="1707"/>
      <c r="G118" s="1708"/>
      <c r="H118" s="1349">
        <f ca="1">H115+H110</f>
        <v>4050422.8452270622</v>
      </c>
      <c r="I118" s="1348">
        <f>I115+I110</f>
        <v>3888583.1788693238</v>
      </c>
      <c r="J118" s="1348">
        <f>J115+J110</f>
        <v>3929882.9935125113</v>
      </c>
      <c r="K118" s="71"/>
      <c r="L118" s="1599"/>
      <c r="M118" s="1599"/>
      <c r="N118" s="1599"/>
    </row>
    <row r="119" spans="1:14" x14ac:dyDescent="0.2">
      <c r="A119" s="47"/>
      <c r="B119" s="47"/>
      <c r="C119" s="47"/>
      <c r="D119" s="47"/>
      <c r="K119" s="72"/>
      <c r="L119" s="1600"/>
      <c r="M119" s="1600"/>
      <c r="N119" s="1600"/>
    </row>
    <row r="120" spans="1:14" x14ac:dyDescent="0.2">
      <c r="L120" s="1597"/>
      <c r="M120" s="1597"/>
      <c r="N120" s="1597"/>
    </row>
    <row r="121" spans="1:14" x14ac:dyDescent="0.2">
      <c r="K121" s="10"/>
      <c r="L121" s="1031"/>
      <c r="M121" s="1031"/>
      <c r="N121" s="1031"/>
    </row>
    <row r="122" spans="1:14" x14ac:dyDescent="0.2">
      <c r="A122" s="1"/>
      <c r="B122" s="1"/>
      <c r="C122" s="1"/>
      <c r="D122" s="1"/>
      <c r="E122" s="1"/>
      <c r="F122" s="1"/>
      <c r="G122" s="1"/>
      <c r="H122" s="1426"/>
      <c r="I122" s="1332"/>
      <c r="J122" s="1332"/>
      <c r="K122" s="51"/>
      <c r="L122" s="1032"/>
      <c r="M122" s="1032"/>
      <c r="N122" s="1032"/>
    </row>
    <row r="123" spans="1:14" x14ac:dyDescent="0.2">
      <c r="A123" s="1"/>
      <c r="B123" s="1"/>
      <c r="C123" s="1"/>
      <c r="D123" s="1"/>
      <c r="E123" s="1"/>
      <c r="F123" s="1"/>
      <c r="G123" s="1"/>
      <c r="H123" s="1426"/>
      <c r="I123" s="1332"/>
      <c r="J123" s="1332"/>
      <c r="K123" s="49"/>
      <c r="L123" s="1032"/>
      <c r="M123" s="1032"/>
      <c r="N123" s="1032"/>
    </row>
    <row r="124" spans="1:14" x14ac:dyDescent="0.2">
      <c r="A124" s="1"/>
      <c r="B124" s="1"/>
      <c r="C124" s="1"/>
      <c r="D124" s="1"/>
      <c r="E124" s="1"/>
      <c r="F124" s="1"/>
      <c r="G124" s="1"/>
      <c r="H124" s="1426"/>
      <c r="I124" s="1332"/>
      <c r="J124" s="1332"/>
      <c r="K124" s="49"/>
      <c r="L124" s="1032"/>
      <c r="M124" s="1032"/>
      <c r="N124" s="1032"/>
    </row>
    <row r="125" spans="1:14" x14ac:dyDescent="0.2">
      <c r="A125" s="1"/>
      <c r="B125" s="1"/>
      <c r="C125" s="1"/>
      <c r="D125" s="1"/>
      <c r="E125" s="1"/>
      <c r="F125" s="1"/>
      <c r="G125" s="1"/>
      <c r="H125" s="1426"/>
      <c r="I125" s="1332"/>
      <c r="J125" s="1332"/>
      <c r="K125" s="49"/>
      <c r="L125" s="1032"/>
      <c r="M125" s="1032"/>
      <c r="N125" s="1032"/>
    </row>
    <row r="134" spans="11:11" s="1" customFormat="1" x14ac:dyDescent="0.2">
      <c r="K134" s="1246"/>
    </row>
  </sheetData>
  <mergeCells count="130">
    <mergeCell ref="A111:G111"/>
    <mergeCell ref="L111:N111"/>
    <mergeCell ref="A108:J108"/>
    <mergeCell ref="A109:G109"/>
    <mergeCell ref="H5:H7"/>
    <mergeCell ref="L113:N113"/>
    <mergeCell ref="A114:G114"/>
    <mergeCell ref="B105:G105"/>
    <mergeCell ref="K105:N105"/>
    <mergeCell ref="B106:G106"/>
    <mergeCell ref="K106:N106"/>
    <mergeCell ref="A112:G112"/>
    <mergeCell ref="A113:G113"/>
    <mergeCell ref="A110:G110"/>
    <mergeCell ref="L110:N110"/>
    <mergeCell ref="E98:E101"/>
    <mergeCell ref="F98:F101"/>
    <mergeCell ref="D100:D101"/>
    <mergeCell ref="F94:F97"/>
    <mergeCell ref="D96:D97"/>
    <mergeCell ref="E96:E97"/>
    <mergeCell ref="K96:K97"/>
    <mergeCell ref="D77:D78"/>
    <mergeCell ref="K77:K78"/>
    <mergeCell ref="L119:N119"/>
    <mergeCell ref="L120:N120"/>
    <mergeCell ref="A117:G117"/>
    <mergeCell ref="L117:N117"/>
    <mergeCell ref="A118:G118"/>
    <mergeCell ref="L118:N118"/>
    <mergeCell ref="A115:G115"/>
    <mergeCell ref="L115:N115"/>
    <mergeCell ref="A116:G116"/>
    <mergeCell ref="L116:N116"/>
    <mergeCell ref="K100:K101"/>
    <mergeCell ref="L109:N109"/>
    <mergeCell ref="K104:N104"/>
    <mergeCell ref="C85:G85"/>
    <mergeCell ref="K85:N85"/>
    <mergeCell ref="C86:N86"/>
    <mergeCell ref="D89:D90"/>
    <mergeCell ref="D92:D93"/>
    <mergeCell ref="D102:D103"/>
    <mergeCell ref="E102:E103"/>
    <mergeCell ref="F102:F103"/>
    <mergeCell ref="C104:G104"/>
    <mergeCell ref="E87:E90"/>
    <mergeCell ref="D80:D81"/>
    <mergeCell ref="E80:E81"/>
    <mergeCell ref="F80:F81"/>
    <mergeCell ref="D82:D83"/>
    <mergeCell ref="E82:E83"/>
    <mergeCell ref="F82:F83"/>
    <mergeCell ref="K82:K83"/>
    <mergeCell ref="E76:G76"/>
    <mergeCell ref="D72:D76"/>
    <mergeCell ref="M56:M57"/>
    <mergeCell ref="E72:E75"/>
    <mergeCell ref="F72:F75"/>
    <mergeCell ref="K72:K73"/>
    <mergeCell ref="K74:K75"/>
    <mergeCell ref="N56:N57"/>
    <mergeCell ref="D63:D64"/>
    <mergeCell ref="L56:L57"/>
    <mergeCell ref="E63:E64"/>
    <mergeCell ref="D65:D68"/>
    <mergeCell ref="K65:K68"/>
    <mergeCell ref="D69:D71"/>
    <mergeCell ref="E69:E71"/>
    <mergeCell ref="F69:F71"/>
    <mergeCell ref="K69:K71"/>
    <mergeCell ref="D59:D60"/>
    <mergeCell ref="D50:D52"/>
    <mergeCell ref="K50:K52"/>
    <mergeCell ref="K56:K57"/>
    <mergeCell ref="D36:D37"/>
    <mergeCell ref="D38:D39"/>
    <mergeCell ref="D40:D42"/>
    <mergeCell ref="D43:D45"/>
    <mergeCell ref="D46:D47"/>
    <mergeCell ref="D48:D49"/>
    <mergeCell ref="D53:D55"/>
    <mergeCell ref="E52:E56"/>
    <mergeCell ref="D56:D58"/>
    <mergeCell ref="C30:N30"/>
    <mergeCell ref="D31:D32"/>
    <mergeCell ref="D33:D35"/>
    <mergeCell ref="K21:K22"/>
    <mergeCell ref="L21:L22"/>
    <mergeCell ref="M21:M22"/>
    <mergeCell ref="N21:N22"/>
    <mergeCell ref="D25:D26"/>
    <mergeCell ref="D27:D28"/>
    <mergeCell ref="K25:K26"/>
    <mergeCell ref="K33:K36"/>
    <mergeCell ref="L33:L36"/>
    <mergeCell ref="M33:M36"/>
    <mergeCell ref="N33:N36"/>
    <mergeCell ref="E31:E36"/>
    <mergeCell ref="F21:F22"/>
    <mergeCell ref="A9:N9"/>
    <mergeCell ref="B10:N10"/>
    <mergeCell ref="C11:N11"/>
    <mergeCell ref="D17:D18"/>
    <mergeCell ref="K17:K18"/>
    <mergeCell ref="E12:E13"/>
    <mergeCell ref="C29:G29"/>
    <mergeCell ref="K29:N29"/>
    <mergeCell ref="K6:K7"/>
    <mergeCell ref="L6:N6"/>
    <mergeCell ref="A8:N8"/>
    <mergeCell ref="F5:F7"/>
    <mergeCell ref="G5:G7"/>
    <mergeCell ref="D19:D20"/>
    <mergeCell ref="E19:E20"/>
    <mergeCell ref="F19:F20"/>
    <mergeCell ref="D21:D22"/>
    <mergeCell ref="E21:E22"/>
    <mergeCell ref="A1:N1"/>
    <mergeCell ref="A2:N2"/>
    <mergeCell ref="A3:N3"/>
    <mergeCell ref="M4:N4"/>
    <mergeCell ref="A5:A7"/>
    <mergeCell ref="B5:B7"/>
    <mergeCell ref="C5:C7"/>
    <mergeCell ref="D5:D7"/>
    <mergeCell ref="E5:E7"/>
    <mergeCell ref="I5:I7"/>
    <mergeCell ref="J5:J7"/>
    <mergeCell ref="K5:N5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5" orientation="portrait" r:id="rId1"/>
  <rowBreaks count="2" manualBreakCount="2">
    <brk id="49" max="13" man="1"/>
    <brk id="90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45"/>
  <sheetViews>
    <sheetView zoomScaleNormal="100" zoomScaleSheetLayoutView="100" workbookViewId="0">
      <selection activeCell="AI7" sqref="AI7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4" width="2.5703125" style="4" customWidth="1"/>
    <col min="5" max="5" width="27.28515625" style="4" customWidth="1"/>
    <col min="6" max="6" width="3.5703125" style="6" customWidth="1"/>
    <col min="7" max="7" width="3.140625" style="6" customWidth="1"/>
    <col min="8" max="8" width="2.7109375" style="41" customWidth="1"/>
    <col min="9" max="9" width="10.140625" style="41" customWidth="1"/>
    <col min="10" max="10" width="7.28515625" style="6" customWidth="1"/>
    <col min="11" max="11" width="7.7109375" style="4" customWidth="1"/>
    <col min="12" max="12" width="7.85546875" style="4" customWidth="1"/>
    <col min="13" max="13" width="6.42578125" style="4" customWidth="1"/>
    <col min="14" max="14" width="6.140625" style="4" customWidth="1"/>
    <col min="15" max="15" width="7.7109375" style="4" customWidth="1"/>
    <col min="16" max="16" width="7.42578125" style="4" customWidth="1"/>
    <col min="17" max="17" width="6.7109375" style="4" customWidth="1"/>
    <col min="18" max="18" width="7.5703125" style="4" customWidth="1"/>
    <col min="19" max="19" width="7.42578125" style="4" hidden="1" customWidth="1"/>
    <col min="20" max="20" width="7.140625" style="4" hidden="1" customWidth="1"/>
    <col min="21" max="22" width="6.140625" style="4" hidden="1" customWidth="1"/>
    <col min="23" max="23" width="8.5703125" style="4" customWidth="1"/>
    <col min="24" max="24" width="9" style="4" customWidth="1"/>
    <col min="25" max="25" width="24.7109375" style="50" customWidth="1"/>
    <col min="26" max="28" width="4.5703125" style="41" customWidth="1"/>
    <col min="29" max="29" width="9.140625" style="783"/>
    <col min="30" max="16384" width="9.140625" style="1"/>
  </cols>
  <sheetData>
    <row r="1" spans="1:30" s="11" customFormat="1" x14ac:dyDescent="0.2">
      <c r="A1" s="1620" t="s">
        <v>182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324"/>
    </row>
    <row r="2" spans="1:30" s="11" customFormat="1" x14ac:dyDescent="0.2">
      <c r="A2" s="1630" t="s">
        <v>69</v>
      </c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  <c r="Q2" s="1631"/>
      <c r="R2" s="1631"/>
      <c r="S2" s="1631"/>
      <c r="T2" s="1631"/>
      <c r="U2" s="1631"/>
      <c r="V2" s="1631"/>
      <c r="W2" s="1631"/>
      <c r="X2" s="1631"/>
      <c r="Y2" s="1631"/>
      <c r="Z2" s="1631"/>
      <c r="AA2" s="1631"/>
      <c r="AB2" s="1631"/>
      <c r="AC2" s="1324"/>
    </row>
    <row r="3" spans="1:30" s="11" customFormat="1" x14ac:dyDescent="0.2">
      <c r="A3" s="1620" t="s">
        <v>175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R3" s="1638"/>
      <c r="S3" s="1638"/>
      <c r="T3" s="1638"/>
      <c r="U3" s="1638"/>
      <c r="V3" s="1638"/>
      <c r="W3" s="1638"/>
      <c r="X3" s="1638"/>
      <c r="Y3" s="1638"/>
      <c r="Z3" s="1638"/>
      <c r="AA3" s="1638"/>
      <c r="AB3" s="1638"/>
      <c r="AC3" s="1324"/>
    </row>
    <row r="4" spans="1:30" s="11" customFormat="1" ht="13.5" thickBot="1" x14ac:dyDescent="0.25">
      <c r="A4" s="8"/>
      <c r="B4" s="8"/>
      <c r="C4" s="8"/>
      <c r="D4" s="8"/>
      <c r="E4" s="8"/>
      <c r="F4" s="1276"/>
      <c r="G4" s="1276"/>
      <c r="H4" s="42"/>
      <c r="I4" s="42"/>
      <c r="J4" s="6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8"/>
      <c r="Z4" s="42"/>
      <c r="AA4" s="1624" t="s">
        <v>0</v>
      </c>
      <c r="AB4" s="1624"/>
      <c r="AC4" s="1324"/>
    </row>
    <row r="5" spans="1:30" s="11" customFormat="1" ht="26.25" customHeight="1" thickBot="1" x14ac:dyDescent="0.25">
      <c r="A5" s="1632" t="s">
        <v>1</v>
      </c>
      <c r="B5" s="1635" t="s">
        <v>2</v>
      </c>
      <c r="C5" s="1635" t="s">
        <v>3</v>
      </c>
      <c r="D5" s="1784" t="s">
        <v>42</v>
      </c>
      <c r="E5" s="1501" t="s">
        <v>25</v>
      </c>
      <c r="F5" s="1639" t="s">
        <v>4</v>
      </c>
      <c r="G5" s="1504" t="s">
        <v>55</v>
      </c>
      <c r="H5" s="1642" t="s">
        <v>5</v>
      </c>
      <c r="I5" s="1642" t="s">
        <v>132</v>
      </c>
      <c r="J5" s="1457" t="s">
        <v>6</v>
      </c>
      <c r="K5" s="1496" t="s">
        <v>183</v>
      </c>
      <c r="L5" s="1497"/>
      <c r="M5" s="1497"/>
      <c r="N5" s="1498"/>
      <c r="O5" s="1496" t="s">
        <v>184</v>
      </c>
      <c r="P5" s="1497"/>
      <c r="Q5" s="1497"/>
      <c r="R5" s="1498"/>
      <c r="S5" s="1496" t="s">
        <v>185</v>
      </c>
      <c r="T5" s="1497"/>
      <c r="U5" s="1497"/>
      <c r="V5" s="1498"/>
      <c r="W5" s="1457" t="s">
        <v>77</v>
      </c>
      <c r="X5" s="1457" t="s">
        <v>186</v>
      </c>
      <c r="Y5" s="1509" t="s">
        <v>176</v>
      </c>
      <c r="Z5" s="1510"/>
      <c r="AA5" s="1510"/>
      <c r="AB5" s="1511"/>
      <c r="AC5" s="1324"/>
    </row>
    <row r="6" spans="1:30" s="11" customFormat="1" x14ac:dyDescent="0.2">
      <c r="A6" s="1633"/>
      <c r="B6" s="1636"/>
      <c r="C6" s="1636"/>
      <c r="D6" s="1785"/>
      <c r="E6" s="1502"/>
      <c r="F6" s="1640"/>
      <c r="G6" s="1505"/>
      <c r="H6" s="1643"/>
      <c r="I6" s="1643"/>
      <c r="J6" s="1458"/>
      <c r="K6" s="1499" t="s">
        <v>7</v>
      </c>
      <c r="L6" s="1495" t="s">
        <v>8</v>
      </c>
      <c r="M6" s="1495"/>
      <c r="N6" s="1507" t="s">
        <v>26</v>
      </c>
      <c r="O6" s="1499" t="s">
        <v>7</v>
      </c>
      <c r="P6" s="1495" t="s">
        <v>8</v>
      </c>
      <c r="Q6" s="1495"/>
      <c r="R6" s="1507" t="s">
        <v>26</v>
      </c>
      <c r="S6" s="1499" t="s">
        <v>7</v>
      </c>
      <c r="T6" s="1495" t="s">
        <v>8</v>
      </c>
      <c r="U6" s="1495"/>
      <c r="V6" s="1507" t="s">
        <v>26</v>
      </c>
      <c r="W6" s="1458"/>
      <c r="X6" s="1458"/>
      <c r="Y6" s="1649" t="s">
        <v>25</v>
      </c>
      <c r="Z6" s="1460" t="s">
        <v>243</v>
      </c>
      <c r="AA6" s="1461"/>
      <c r="AB6" s="1462"/>
      <c r="AC6" s="1324"/>
    </row>
    <row r="7" spans="1:30" s="11" customFormat="1" ht="108.75" customHeight="1" thickBot="1" x14ac:dyDescent="0.25">
      <c r="A7" s="1634"/>
      <c r="B7" s="1637"/>
      <c r="C7" s="1637"/>
      <c r="D7" s="1786"/>
      <c r="E7" s="1503"/>
      <c r="F7" s="1641"/>
      <c r="G7" s="1506"/>
      <c r="H7" s="1644"/>
      <c r="I7" s="1644"/>
      <c r="J7" s="1459"/>
      <c r="K7" s="1500"/>
      <c r="L7" s="1279" t="s">
        <v>7</v>
      </c>
      <c r="M7" s="12" t="s">
        <v>27</v>
      </c>
      <c r="N7" s="1508"/>
      <c r="O7" s="1500"/>
      <c r="P7" s="1279" t="s">
        <v>7</v>
      </c>
      <c r="Q7" s="12" t="s">
        <v>27</v>
      </c>
      <c r="R7" s="1508"/>
      <c r="S7" s="1500"/>
      <c r="T7" s="1279" t="s">
        <v>7</v>
      </c>
      <c r="U7" s="12" t="s">
        <v>27</v>
      </c>
      <c r="V7" s="1508"/>
      <c r="W7" s="1459"/>
      <c r="X7" s="1459"/>
      <c r="Y7" s="1650"/>
      <c r="Z7" s="85" t="s">
        <v>53</v>
      </c>
      <c r="AA7" s="83" t="s">
        <v>78</v>
      </c>
      <c r="AB7" s="84" t="s">
        <v>187</v>
      </c>
      <c r="AC7" s="1324"/>
    </row>
    <row r="8" spans="1:30" x14ac:dyDescent="0.2">
      <c r="A8" s="1646" t="s">
        <v>30</v>
      </c>
      <c r="B8" s="1647"/>
      <c r="C8" s="1647"/>
      <c r="D8" s="1647"/>
      <c r="E8" s="1647"/>
      <c r="F8" s="1647"/>
      <c r="G8" s="1647"/>
      <c r="H8" s="1647"/>
      <c r="I8" s="1647"/>
      <c r="J8" s="1647"/>
      <c r="K8" s="1647"/>
      <c r="L8" s="1647"/>
      <c r="M8" s="1647"/>
      <c r="N8" s="1647"/>
      <c r="O8" s="1647"/>
      <c r="P8" s="1647"/>
      <c r="Q8" s="1647"/>
      <c r="R8" s="1647"/>
      <c r="S8" s="1647"/>
      <c r="T8" s="1647"/>
      <c r="U8" s="1647"/>
      <c r="V8" s="1647"/>
      <c r="W8" s="1647"/>
      <c r="X8" s="1647"/>
      <c r="Y8" s="1647"/>
      <c r="Z8" s="1647"/>
      <c r="AA8" s="1647"/>
      <c r="AB8" s="1648"/>
    </row>
    <row r="9" spans="1:30" ht="13.5" thickBot="1" x14ac:dyDescent="0.25">
      <c r="A9" s="1627" t="s">
        <v>34</v>
      </c>
      <c r="B9" s="1628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8"/>
      <c r="R9" s="1628"/>
      <c r="S9" s="1628"/>
      <c r="T9" s="1628"/>
      <c r="U9" s="1628"/>
      <c r="V9" s="1628"/>
      <c r="W9" s="1628"/>
      <c r="X9" s="1628"/>
      <c r="Y9" s="1628"/>
      <c r="Z9" s="1628"/>
      <c r="AA9" s="1628"/>
      <c r="AB9" s="1629"/>
    </row>
    <row r="10" spans="1:30" ht="13.5" thickBot="1" x14ac:dyDescent="0.25">
      <c r="A10" s="13" t="s">
        <v>9</v>
      </c>
      <c r="B10" s="1463" t="s">
        <v>128</v>
      </c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3"/>
      <c r="R10" s="1463"/>
      <c r="S10" s="1463"/>
      <c r="T10" s="1463"/>
      <c r="U10" s="1463"/>
      <c r="V10" s="1463"/>
      <c r="W10" s="1463"/>
      <c r="X10" s="1463"/>
      <c r="Y10" s="1463"/>
      <c r="Z10" s="1463"/>
      <c r="AA10" s="1463"/>
      <c r="AB10" s="1464"/>
    </row>
    <row r="11" spans="1:30" ht="13.5" thickBot="1" x14ac:dyDescent="0.25">
      <c r="A11" s="13" t="s">
        <v>9</v>
      </c>
      <c r="B11" s="14" t="s">
        <v>9</v>
      </c>
      <c r="C11" s="1454" t="s">
        <v>40</v>
      </c>
      <c r="D11" s="1454"/>
      <c r="E11" s="1454"/>
      <c r="F11" s="1454"/>
      <c r="G11" s="1454"/>
      <c r="H11" s="1454"/>
      <c r="I11" s="1454"/>
      <c r="J11" s="1454"/>
      <c r="K11" s="1454"/>
      <c r="L11" s="1454"/>
      <c r="M11" s="1454"/>
      <c r="N11" s="1454"/>
      <c r="O11" s="1454"/>
      <c r="P11" s="1454"/>
      <c r="Q11" s="1454"/>
      <c r="R11" s="1454"/>
      <c r="S11" s="1454"/>
      <c r="T11" s="1454"/>
      <c r="U11" s="1454"/>
      <c r="V11" s="1454"/>
      <c r="W11" s="1454"/>
      <c r="X11" s="1454"/>
      <c r="Y11" s="1454"/>
      <c r="Z11" s="1455"/>
      <c r="AA11" s="1455"/>
      <c r="AB11" s="1456"/>
    </row>
    <row r="12" spans="1:30" ht="25.5" customHeight="1" x14ac:dyDescent="0.2">
      <c r="A12" s="23" t="s">
        <v>9</v>
      </c>
      <c r="B12" s="26" t="s">
        <v>9</v>
      </c>
      <c r="C12" s="22" t="s">
        <v>9</v>
      </c>
      <c r="D12" s="133"/>
      <c r="E12" s="177" t="s">
        <v>44</v>
      </c>
      <c r="F12" s="1303"/>
      <c r="G12" s="1262" t="s">
        <v>14</v>
      </c>
      <c r="H12" s="1261" t="s">
        <v>35</v>
      </c>
      <c r="I12" s="1749" t="s">
        <v>133</v>
      </c>
      <c r="J12" s="113"/>
      <c r="K12" s="685"/>
      <c r="L12" s="686"/>
      <c r="M12" s="686"/>
      <c r="N12" s="687"/>
      <c r="O12" s="95"/>
      <c r="P12" s="156"/>
      <c r="Q12" s="156"/>
      <c r="R12" s="96"/>
      <c r="S12" s="380"/>
      <c r="T12" s="381"/>
      <c r="U12" s="381"/>
      <c r="V12" s="382"/>
      <c r="W12" s="62"/>
      <c r="X12" s="57"/>
      <c r="Y12" s="97"/>
      <c r="Z12" s="250"/>
      <c r="AA12" s="79"/>
      <c r="AB12" s="76"/>
    </row>
    <row r="13" spans="1:30" ht="25.5" x14ac:dyDescent="0.2">
      <c r="A13" s="25"/>
      <c r="B13" s="28"/>
      <c r="C13" s="19"/>
      <c r="D13" s="136" t="s">
        <v>9</v>
      </c>
      <c r="E13" s="223" t="s">
        <v>166</v>
      </c>
      <c r="F13" s="1304"/>
      <c r="G13" s="143"/>
      <c r="H13" s="354"/>
      <c r="I13" s="1750"/>
      <c r="J13" s="210" t="s">
        <v>12</v>
      </c>
      <c r="K13" s="688">
        <f>L13+N13</f>
        <v>199</v>
      </c>
      <c r="L13" s="682">
        <v>199</v>
      </c>
      <c r="M13" s="682"/>
      <c r="N13" s="689"/>
      <c r="O13" s="1258">
        <f t="shared" ref="O13:O17" si="0">P13+R13</f>
        <v>300</v>
      </c>
      <c r="P13" s="1259">
        <v>300</v>
      </c>
      <c r="Q13" s="1259"/>
      <c r="R13" s="1260"/>
      <c r="S13" s="383">
        <f>T13+V13</f>
        <v>0</v>
      </c>
      <c r="T13" s="378">
        <v>0</v>
      </c>
      <c r="U13" s="378"/>
      <c r="V13" s="384"/>
      <c r="W13" s="67">
        <v>300</v>
      </c>
      <c r="X13" s="1270">
        <v>400</v>
      </c>
      <c r="Y13" s="89" t="s">
        <v>244</v>
      </c>
      <c r="Z13" s="671">
        <v>6</v>
      </c>
      <c r="AA13" s="672">
        <v>6</v>
      </c>
      <c r="AB13" s="673">
        <v>6</v>
      </c>
    </row>
    <row r="14" spans="1:30" ht="25.5" x14ac:dyDescent="0.2">
      <c r="A14" s="25"/>
      <c r="B14" s="28"/>
      <c r="C14" s="19"/>
      <c r="D14" s="680" t="s">
        <v>10</v>
      </c>
      <c r="E14" s="229" t="s">
        <v>79</v>
      </c>
      <c r="F14" s="1304"/>
      <c r="G14" s="143"/>
      <c r="H14" s="354"/>
      <c r="I14" s="1750"/>
      <c r="J14" s="210" t="s">
        <v>12</v>
      </c>
      <c r="K14" s="688">
        <f>L14+N14</f>
        <v>10</v>
      </c>
      <c r="L14" s="682">
        <v>10</v>
      </c>
      <c r="M14" s="682"/>
      <c r="N14" s="689"/>
      <c r="O14" s="1258">
        <f t="shared" si="0"/>
        <v>10</v>
      </c>
      <c r="P14" s="159">
        <v>10</v>
      </c>
      <c r="Q14" s="159"/>
      <c r="R14" s="107"/>
      <c r="S14" s="383">
        <f>T14+V14</f>
        <v>0</v>
      </c>
      <c r="T14" s="378">
        <v>0</v>
      </c>
      <c r="U14" s="378"/>
      <c r="V14" s="384"/>
      <c r="W14" s="674">
        <v>20</v>
      </c>
      <c r="X14" s="174">
        <v>20</v>
      </c>
      <c r="Y14" s="675" t="s">
        <v>45</v>
      </c>
      <c r="Z14" s="676">
        <v>2</v>
      </c>
      <c r="AA14" s="677">
        <v>3</v>
      </c>
      <c r="AB14" s="678">
        <v>3</v>
      </c>
      <c r="AD14" s="123"/>
    </row>
    <row r="15" spans="1:30" ht="51" x14ac:dyDescent="0.2">
      <c r="A15" s="25"/>
      <c r="B15" s="28"/>
      <c r="C15" s="19"/>
      <c r="D15" s="136" t="s">
        <v>11</v>
      </c>
      <c r="E15" s="1049" t="s">
        <v>260</v>
      </c>
      <c r="F15" s="1304"/>
      <c r="G15" s="143"/>
      <c r="H15" s="354"/>
      <c r="I15" s="1750"/>
      <c r="J15" s="210" t="s">
        <v>12</v>
      </c>
      <c r="K15" s="688"/>
      <c r="L15" s="682"/>
      <c r="M15" s="682"/>
      <c r="N15" s="689"/>
      <c r="O15" s="1258">
        <f t="shared" si="0"/>
        <v>40</v>
      </c>
      <c r="P15" s="159">
        <v>40</v>
      </c>
      <c r="Q15" s="159"/>
      <c r="R15" s="107"/>
      <c r="S15" s="383"/>
      <c r="T15" s="378"/>
      <c r="U15" s="378"/>
      <c r="V15" s="384"/>
      <c r="W15" s="674">
        <v>70</v>
      </c>
      <c r="X15" s="174">
        <v>90</v>
      </c>
      <c r="Y15" s="675" t="s">
        <v>244</v>
      </c>
      <c r="Z15" s="676">
        <v>10</v>
      </c>
      <c r="AA15" s="677">
        <v>15</v>
      </c>
      <c r="AB15" s="678">
        <v>17</v>
      </c>
      <c r="AD15" s="123"/>
    </row>
    <row r="16" spans="1:30" ht="38.25" x14ac:dyDescent="0.2">
      <c r="A16" s="25"/>
      <c r="B16" s="28"/>
      <c r="C16" s="19"/>
      <c r="D16" s="680" t="s">
        <v>13</v>
      </c>
      <c r="E16" s="1266" t="s">
        <v>227</v>
      </c>
      <c r="F16" s="1304"/>
      <c r="G16" s="143"/>
      <c r="H16" s="354"/>
      <c r="I16" s="1750"/>
      <c r="J16" s="211" t="s">
        <v>12</v>
      </c>
      <c r="K16" s="690">
        <f>L16+N16</f>
        <v>245</v>
      </c>
      <c r="L16" s="611">
        <v>245</v>
      </c>
      <c r="M16" s="367"/>
      <c r="N16" s="691"/>
      <c r="O16" s="366">
        <f t="shared" si="0"/>
        <v>340</v>
      </c>
      <c r="P16" s="367">
        <v>340</v>
      </c>
      <c r="Q16" s="165"/>
      <c r="R16" s="218"/>
      <c r="S16" s="385">
        <f>T16+V16</f>
        <v>0</v>
      </c>
      <c r="T16" s="379">
        <v>0</v>
      </c>
      <c r="U16" s="386"/>
      <c r="V16" s="387"/>
      <c r="W16" s="219">
        <v>350</v>
      </c>
      <c r="X16" s="173">
        <v>400</v>
      </c>
      <c r="Y16" s="675" t="s">
        <v>244</v>
      </c>
      <c r="Z16" s="893">
        <v>40</v>
      </c>
      <c r="AA16" s="683">
        <v>45</v>
      </c>
      <c r="AB16" s="684">
        <v>50</v>
      </c>
      <c r="AD16" s="123"/>
    </row>
    <row r="17" spans="1:30" ht="16.5" customHeight="1" x14ac:dyDescent="0.2">
      <c r="A17" s="25"/>
      <c r="B17" s="28"/>
      <c r="C17" s="19"/>
      <c r="D17" s="149" t="s">
        <v>41</v>
      </c>
      <c r="E17" s="1550" t="s">
        <v>189</v>
      </c>
      <c r="F17" s="1304"/>
      <c r="G17" s="143"/>
      <c r="H17" s="354"/>
      <c r="I17" s="1750"/>
      <c r="J17" s="210" t="s">
        <v>12</v>
      </c>
      <c r="K17" s="688"/>
      <c r="L17" s="682"/>
      <c r="M17" s="682"/>
      <c r="N17" s="689"/>
      <c r="O17" s="681">
        <f t="shared" si="0"/>
        <v>80</v>
      </c>
      <c r="P17" s="682">
        <v>80</v>
      </c>
      <c r="Q17" s="159"/>
      <c r="R17" s="107"/>
      <c r="S17" s="383"/>
      <c r="T17" s="378"/>
      <c r="U17" s="378"/>
      <c r="V17" s="384"/>
      <c r="W17" s="674">
        <v>100</v>
      </c>
      <c r="X17" s="174">
        <v>120</v>
      </c>
      <c r="Y17" s="1772" t="s">
        <v>244</v>
      </c>
      <c r="Z17" s="1047">
        <v>2</v>
      </c>
      <c r="AA17" s="677">
        <v>3</v>
      </c>
      <c r="AB17" s="678">
        <v>4</v>
      </c>
      <c r="AD17" s="123"/>
    </row>
    <row r="18" spans="1:30" ht="13.5" thickBot="1" x14ac:dyDescent="0.25">
      <c r="A18" s="25"/>
      <c r="B18" s="28"/>
      <c r="C18" s="19"/>
      <c r="D18" s="135"/>
      <c r="E18" s="1451"/>
      <c r="F18" s="1305"/>
      <c r="G18" s="144"/>
      <c r="H18" s="355"/>
      <c r="I18" s="1751"/>
      <c r="J18" s="397" t="s">
        <v>16</v>
      </c>
      <c r="K18" s="388">
        <f t="shared" ref="K18:X18" si="1">SUM(K13:K17)</f>
        <v>454</v>
      </c>
      <c r="L18" s="388">
        <f t="shared" si="1"/>
        <v>454</v>
      </c>
      <c r="M18" s="388">
        <f t="shared" si="1"/>
        <v>0</v>
      </c>
      <c r="N18" s="389">
        <f t="shared" si="1"/>
        <v>0</v>
      </c>
      <c r="O18" s="1273">
        <f t="shared" si="1"/>
        <v>770</v>
      </c>
      <c r="P18" s="388">
        <f t="shared" si="1"/>
        <v>770</v>
      </c>
      <c r="Q18" s="388">
        <f t="shared" si="1"/>
        <v>0</v>
      </c>
      <c r="R18" s="398">
        <f t="shared" si="1"/>
        <v>0</v>
      </c>
      <c r="S18" s="388">
        <f t="shared" si="1"/>
        <v>0</v>
      </c>
      <c r="T18" s="388">
        <f t="shared" si="1"/>
        <v>0</v>
      </c>
      <c r="U18" s="388">
        <f t="shared" si="1"/>
        <v>0</v>
      </c>
      <c r="V18" s="389">
        <f t="shared" si="1"/>
        <v>0</v>
      </c>
      <c r="W18" s="399">
        <f t="shared" si="1"/>
        <v>840</v>
      </c>
      <c r="X18" s="388">
        <f t="shared" si="1"/>
        <v>1030</v>
      </c>
      <c r="Y18" s="1645"/>
      <c r="Z18" s="1006"/>
      <c r="AA18" s="362"/>
      <c r="AB18" s="1007"/>
      <c r="AD18" s="123"/>
    </row>
    <row r="19" spans="1:30" ht="18" customHeight="1" x14ac:dyDescent="0.2">
      <c r="A19" s="23" t="s">
        <v>9</v>
      </c>
      <c r="B19" s="26" t="s">
        <v>9</v>
      </c>
      <c r="C19" s="22" t="s">
        <v>10</v>
      </c>
      <c r="D19" s="317"/>
      <c r="E19" s="1678" t="s">
        <v>80</v>
      </c>
      <c r="F19" s="1741"/>
      <c r="G19" s="1517" t="s">
        <v>14</v>
      </c>
      <c r="H19" s="1519" t="s">
        <v>35</v>
      </c>
      <c r="I19" s="1749" t="s">
        <v>133</v>
      </c>
      <c r="J19" s="94" t="s">
        <v>12</v>
      </c>
      <c r="K19" s="685">
        <f>L19+N19</f>
        <v>180</v>
      </c>
      <c r="L19" s="686">
        <v>180</v>
      </c>
      <c r="M19" s="686"/>
      <c r="N19" s="687"/>
      <c r="O19" s="811">
        <f>P19+R19</f>
        <v>500</v>
      </c>
      <c r="P19" s="686">
        <v>500</v>
      </c>
      <c r="Q19" s="156"/>
      <c r="R19" s="96"/>
      <c r="S19" s="380">
        <f>T19+V19</f>
        <v>0</v>
      </c>
      <c r="T19" s="381">
        <v>0</v>
      </c>
      <c r="U19" s="381"/>
      <c r="V19" s="382"/>
      <c r="W19" s="62">
        <v>600</v>
      </c>
      <c r="X19" s="57">
        <v>600</v>
      </c>
      <c r="Y19" s="213" t="s">
        <v>246</v>
      </c>
      <c r="Z19" s="1277">
        <v>4</v>
      </c>
      <c r="AA19" s="1278">
        <v>5</v>
      </c>
      <c r="AB19" s="1257">
        <v>5</v>
      </c>
    </row>
    <row r="20" spans="1:30" ht="13.5" thickBot="1" x14ac:dyDescent="0.25">
      <c r="A20" s="25"/>
      <c r="B20" s="28"/>
      <c r="C20" s="19"/>
      <c r="D20" s="318"/>
      <c r="E20" s="1451"/>
      <c r="F20" s="1742"/>
      <c r="G20" s="1518"/>
      <c r="H20" s="1520"/>
      <c r="I20" s="1751"/>
      <c r="J20" s="397" t="s">
        <v>16</v>
      </c>
      <c r="K20" s="388">
        <f>L20+N20</f>
        <v>180</v>
      </c>
      <c r="L20" s="1274">
        <f>SUM(L19:L19)</f>
        <v>180</v>
      </c>
      <c r="M20" s="1274"/>
      <c r="N20" s="390"/>
      <c r="O20" s="1273">
        <f>P20+R20</f>
        <v>500</v>
      </c>
      <c r="P20" s="1274">
        <f>SUM(P19:P19)</f>
        <v>500</v>
      </c>
      <c r="Q20" s="1274"/>
      <c r="R20" s="1275"/>
      <c r="S20" s="388">
        <f>T20+V20</f>
        <v>0</v>
      </c>
      <c r="T20" s="1274">
        <f>SUM(T19:T19)</f>
        <v>0</v>
      </c>
      <c r="U20" s="1274"/>
      <c r="V20" s="390"/>
      <c r="W20" s="399">
        <f>SUM(W19:W19)</f>
        <v>600</v>
      </c>
      <c r="X20" s="389">
        <f>SUM(X19:X19)</f>
        <v>600</v>
      </c>
      <c r="Y20" s="363"/>
      <c r="Z20" s="178"/>
      <c r="AA20" s="362"/>
      <c r="AB20" s="360"/>
      <c r="AD20" s="123"/>
    </row>
    <row r="21" spans="1:30" ht="18" customHeight="1" x14ac:dyDescent="0.2">
      <c r="A21" s="23" t="s">
        <v>9</v>
      </c>
      <c r="B21" s="26" t="s">
        <v>9</v>
      </c>
      <c r="C21" s="22" t="s">
        <v>11</v>
      </c>
      <c r="D21" s="317"/>
      <c r="E21" s="1465" t="s">
        <v>73</v>
      </c>
      <c r="F21" s="1741"/>
      <c r="G21" s="1517" t="s">
        <v>14</v>
      </c>
      <c r="H21" s="1519" t="s">
        <v>35</v>
      </c>
      <c r="I21" s="1749" t="s">
        <v>133</v>
      </c>
      <c r="J21" s="94" t="s">
        <v>12</v>
      </c>
      <c r="K21" s="685">
        <f>L21+N21</f>
        <v>31.2</v>
      </c>
      <c r="L21" s="686">
        <v>31.2</v>
      </c>
      <c r="M21" s="686"/>
      <c r="N21" s="687"/>
      <c r="O21" s="95">
        <f>P21+R21</f>
        <v>31.2</v>
      </c>
      <c r="P21" s="156">
        <v>31.2</v>
      </c>
      <c r="Q21" s="156"/>
      <c r="R21" s="96"/>
      <c r="S21" s="380">
        <f>T21+V21</f>
        <v>0</v>
      </c>
      <c r="T21" s="381">
        <v>0</v>
      </c>
      <c r="U21" s="381"/>
      <c r="V21" s="382"/>
      <c r="W21" s="64">
        <v>31.2</v>
      </c>
      <c r="X21" s="693">
        <v>31.2</v>
      </c>
      <c r="Y21" s="1621" t="s">
        <v>247</v>
      </c>
      <c r="Z21" s="1623">
        <v>6</v>
      </c>
      <c r="AA21" s="1625">
        <v>6</v>
      </c>
      <c r="AB21" s="1490">
        <v>6</v>
      </c>
    </row>
    <row r="22" spans="1:30" ht="13.5" thickBot="1" x14ac:dyDescent="0.25">
      <c r="A22" s="25"/>
      <c r="B22" s="28"/>
      <c r="C22" s="19"/>
      <c r="D22" s="318"/>
      <c r="E22" s="1466"/>
      <c r="F22" s="1742"/>
      <c r="G22" s="1518"/>
      <c r="H22" s="1520"/>
      <c r="I22" s="1751"/>
      <c r="J22" s="397" t="s">
        <v>16</v>
      </c>
      <c r="K22" s="388">
        <f>L22+N22</f>
        <v>31.2</v>
      </c>
      <c r="L22" s="1274">
        <f>SUM(L21:L21)</f>
        <v>31.2</v>
      </c>
      <c r="M22" s="1274"/>
      <c r="N22" s="390"/>
      <c r="O22" s="1273">
        <f>P22+R22</f>
        <v>31.2</v>
      </c>
      <c r="P22" s="1274">
        <f>SUM(P21:P21)</f>
        <v>31.2</v>
      </c>
      <c r="Q22" s="1274"/>
      <c r="R22" s="1275"/>
      <c r="S22" s="388">
        <f>T22+V22</f>
        <v>0</v>
      </c>
      <c r="T22" s="1274">
        <f>SUM(T21:T21)</f>
        <v>0</v>
      </c>
      <c r="U22" s="1274"/>
      <c r="V22" s="390"/>
      <c r="W22" s="399">
        <f>SUM(W21:W21)</f>
        <v>31.2</v>
      </c>
      <c r="X22" s="389">
        <f>SUM(X21:X21)</f>
        <v>31.2</v>
      </c>
      <c r="Y22" s="1622"/>
      <c r="Z22" s="1624"/>
      <c r="AA22" s="1626"/>
      <c r="AB22" s="1491"/>
    </row>
    <row r="23" spans="1:30" ht="28.5" customHeight="1" x14ac:dyDescent="0.2">
      <c r="A23" s="37" t="s">
        <v>9</v>
      </c>
      <c r="B23" s="26" t="s">
        <v>9</v>
      </c>
      <c r="C23" s="22" t="s">
        <v>13</v>
      </c>
      <c r="D23" s="319"/>
      <c r="E23" s="99" t="s">
        <v>127</v>
      </c>
      <c r="F23" s="1306"/>
      <c r="G23" s="323" t="s">
        <v>14</v>
      </c>
      <c r="H23" s="361" t="s">
        <v>35</v>
      </c>
      <c r="I23" s="1749" t="s">
        <v>133</v>
      </c>
      <c r="J23" s="100"/>
      <c r="K23" s="699"/>
      <c r="L23" s="700"/>
      <c r="M23" s="700"/>
      <c r="N23" s="701"/>
      <c r="O23" s="101"/>
      <c r="P23" s="102"/>
      <c r="Q23" s="102"/>
      <c r="R23" s="103"/>
      <c r="S23" s="391"/>
      <c r="T23" s="392"/>
      <c r="U23" s="392"/>
      <c r="V23" s="393"/>
      <c r="W23" s="64"/>
      <c r="X23" s="55"/>
      <c r="Y23" s="175"/>
      <c r="Z23" s="78"/>
      <c r="AA23" s="80"/>
      <c r="AB23" s="77"/>
    </row>
    <row r="24" spans="1:30" ht="32.25" customHeight="1" x14ac:dyDescent="0.2">
      <c r="A24" s="38"/>
      <c r="B24" s="28"/>
      <c r="C24" s="19"/>
      <c r="D24" s="136" t="s">
        <v>9</v>
      </c>
      <c r="E24" s="1050" t="s">
        <v>228</v>
      </c>
      <c r="F24" s="1307"/>
      <c r="G24" s="371"/>
      <c r="H24" s="1267"/>
      <c r="I24" s="1750"/>
      <c r="J24" s="344" t="s">
        <v>116</v>
      </c>
      <c r="K24" s="909">
        <v>459</v>
      </c>
      <c r="L24" s="1259">
        <v>459</v>
      </c>
      <c r="M24" s="1259"/>
      <c r="N24" s="910"/>
      <c r="O24" s="681">
        <f>P24+R24</f>
        <v>464.1</v>
      </c>
      <c r="P24" s="682">
        <v>464.1</v>
      </c>
      <c r="Q24" s="1259"/>
      <c r="R24" s="1260"/>
      <c r="S24" s="383"/>
      <c r="T24" s="378"/>
      <c r="U24" s="378"/>
      <c r="V24" s="384"/>
      <c r="W24" s="692">
        <v>528</v>
      </c>
      <c r="X24" s="693">
        <v>528</v>
      </c>
      <c r="Y24" s="1298" t="s">
        <v>219</v>
      </c>
      <c r="Z24" s="778">
        <v>1</v>
      </c>
      <c r="AA24" s="1250">
        <v>1</v>
      </c>
      <c r="AB24" s="1252">
        <v>1</v>
      </c>
    </row>
    <row r="25" spans="1:30" ht="25.5" x14ac:dyDescent="0.2">
      <c r="A25" s="38"/>
      <c r="B25" s="662"/>
      <c r="C25" s="19"/>
      <c r="D25" s="764" t="s">
        <v>10</v>
      </c>
      <c r="E25" s="1732" t="s">
        <v>190</v>
      </c>
      <c r="F25" s="1307"/>
      <c r="G25" s="371"/>
      <c r="H25" s="326"/>
      <c r="I25" s="1750"/>
      <c r="J25" s="866" t="s">
        <v>12</v>
      </c>
      <c r="K25" s="867">
        <f>L25+N25</f>
        <v>66.099999999999994</v>
      </c>
      <c r="L25" s="781">
        <v>66.099999999999994</v>
      </c>
      <c r="M25" s="781"/>
      <c r="N25" s="868"/>
      <c r="O25" s="707">
        <f>P25+R25</f>
        <v>93</v>
      </c>
      <c r="P25" s="162">
        <v>93</v>
      </c>
      <c r="Q25" s="162"/>
      <c r="R25" s="869"/>
      <c r="S25" s="870">
        <f>T25+V25</f>
        <v>0</v>
      </c>
      <c r="T25" s="422">
        <v>0</v>
      </c>
      <c r="U25" s="422"/>
      <c r="V25" s="871"/>
      <c r="W25" s="66">
        <v>111</v>
      </c>
      <c r="X25" s="172">
        <v>111</v>
      </c>
      <c r="Y25" s="872" t="s">
        <v>129</v>
      </c>
      <c r="Z25" s="873" t="s">
        <v>50</v>
      </c>
      <c r="AA25" s="641" t="s">
        <v>50</v>
      </c>
      <c r="AB25" s="642" t="s">
        <v>50</v>
      </c>
    </row>
    <row r="26" spans="1:30" ht="25.5" x14ac:dyDescent="0.2">
      <c r="A26" s="38"/>
      <c r="B26" s="662"/>
      <c r="C26" s="19"/>
      <c r="D26" s="130"/>
      <c r="E26" s="1557"/>
      <c r="F26" s="1307"/>
      <c r="G26" s="371"/>
      <c r="H26" s="326"/>
      <c r="I26" s="771"/>
      <c r="J26" s="110"/>
      <c r="K26" s="702"/>
      <c r="L26" s="703"/>
      <c r="M26" s="703"/>
      <c r="N26" s="704"/>
      <c r="O26" s="104"/>
      <c r="P26" s="161"/>
      <c r="Q26" s="161"/>
      <c r="R26" s="105"/>
      <c r="S26" s="394"/>
      <c r="T26" s="395"/>
      <c r="U26" s="395"/>
      <c r="V26" s="396"/>
      <c r="W26" s="65"/>
      <c r="X26" s="169"/>
      <c r="Y26" s="1294" t="s">
        <v>279</v>
      </c>
      <c r="Z26" s="694" t="s">
        <v>191</v>
      </c>
      <c r="AA26" s="695" t="s">
        <v>191</v>
      </c>
      <c r="AB26" s="696" t="s">
        <v>191</v>
      </c>
    </row>
    <row r="27" spans="1:30" ht="16.5" customHeight="1" x14ac:dyDescent="0.2">
      <c r="A27" s="946"/>
      <c r="B27" s="947"/>
      <c r="C27" s="887"/>
      <c r="D27" s="765"/>
      <c r="E27" s="766"/>
      <c r="F27" s="1308"/>
      <c r="G27" s="948"/>
      <c r="H27" s="949"/>
      <c r="I27" s="950"/>
      <c r="J27" s="951"/>
      <c r="K27" s="952"/>
      <c r="L27" s="953"/>
      <c r="M27" s="953"/>
      <c r="N27" s="954"/>
      <c r="O27" s="955"/>
      <c r="P27" s="956"/>
      <c r="Q27" s="956"/>
      <c r="R27" s="957"/>
      <c r="S27" s="958"/>
      <c r="T27" s="959"/>
      <c r="U27" s="959"/>
      <c r="V27" s="960"/>
      <c r="W27" s="520"/>
      <c r="X27" s="129"/>
      <c r="Y27" s="961" t="s">
        <v>192</v>
      </c>
      <c r="Z27" s="962" t="s">
        <v>193</v>
      </c>
      <c r="AA27" s="641" t="s">
        <v>193</v>
      </c>
      <c r="AB27" s="963" t="s">
        <v>193</v>
      </c>
    </row>
    <row r="28" spans="1:30" ht="106.5" customHeight="1" x14ac:dyDescent="0.2">
      <c r="A28" s="25"/>
      <c r="B28" s="28"/>
      <c r="C28" s="19"/>
      <c r="D28" s="944" t="s">
        <v>11</v>
      </c>
      <c r="E28" s="1040" t="s">
        <v>126</v>
      </c>
      <c r="F28" s="1309"/>
      <c r="G28" s="1036"/>
      <c r="H28" s="1037"/>
      <c r="I28" s="1038"/>
      <c r="J28" s="1039" t="s">
        <v>12</v>
      </c>
      <c r="K28" s="353">
        <f>L28+N28</f>
        <v>163.5</v>
      </c>
      <c r="L28" s="611">
        <v>163.5</v>
      </c>
      <c r="M28" s="611"/>
      <c r="N28" s="726"/>
      <c r="O28" s="610">
        <f>P28+R28</f>
        <v>325</v>
      </c>
      <c r="P28" s="611">
        <v>325</v>
      </c>
      <c r="Q28" s="611"/>
      <c r="R28" s="1041"/>
      <c r="S28" s="408">
        <f>T28+V28</f>
        <v>0</v>
      </c>
      <c r="T28" s="379">
        <v>0</v>
      </c>
      <c r="U28" s="379"/>
      <c r="V28" s="409"/>
      <c r="W28" s="589">
        <v>420</v>
      </c>
      <c r="X28" s="638">
        <v>420</v>
      </c>
      <c r="Y28" s="749" t="s">
        <v>209</v>
      </c>
      <c r="Z28" s="945">
        <v>10</v>
      </c>
      <c r="AA28" s="730">
        <v>10</v>
      </c>
      <c r="AB28" s="761">
        <v>10</v>
      </c>
    </row>
    <row r="29" spans="1:30" ht="30" customHeight="1" thickBot="1" x14ac:dyDescent="0.25">
      <c r="A29" s="39"/>
      <c r="B29" s="14"/>
      <c r="C29" s="36"/>
      <c r="D29" s="882"/>
      <c r="E29" s="883"/>
      <c r="F29" s="1310"/>
      <c r="G29" s="325"/>
      <c r="H29" s="327"/>
      <c r="I29" s="884"/>
      <c r="J29" s="400" t="s">
        <v>16</v>
      </c>
      <c r="K29" s="388">
        <f>SUM(K24:K28)</f>
        <v>688.6</v>
      </c>
      <c r="L29" s="388">
        <f>SUM(L24:L28)</f>
        <v>688.6</v>
      </c>
      <c r="M29" s="388">
        <f t="shared" ref="M29:V29" si="2">SUM(M24:M28)</f>
        <v>0</v>
      </c>
      <c r="N29" s="389">
        <f t="shared" si="2"/>
        <v>0</v>
      </c>
      <c r="O29" s="1273">
        <f>SUM(O24:O28)</f>
        <v>882.1</v>
      </c>
      <c r="P29" s="388">
        <f>SUM(P24:P28)</f>
        <v>882.1</v>
      </c>
      <c r="Q29" s="388">
        <f t="shared" si="2"/>
        <v>0</v>
      </c>
      <c r="R29" s="398">
        <f t="shared" si="2"/>
        <v>0</v>
      </c>
      <c r="S29" s="388">
        <f t="shared" si="2"/>
        <v>0</v>
      </c>
      <c r="T29" s="388">
        <f t="shared" si="2"/>
        <v>0</v>
      </c>
      <c r="U29" s="388">
        <f t="shared" si="2"/>
        <v>0</v>
      </c>
      <c r="V29" s="388">
        <f t="shared" si="2"/>
        <v>0</v>
      </c>
      <c r="W29" s="388">
        <f>SUM(W24:W28)</f>
        <v>1059</v>
      </c>
      <c r="X29" s="388">
        <f>SUM(X24:X28)</f>
        <v>1059</v>
      </c>
      <c r="Y29" s="885" t="s">
        <v>280</v>
      </c>
      <c r="Z29" s="591" t="s">
        <v>43</v>
      </c>
      <c r="AA29" s="886" t="s">
        <v>43</v>
      </c>
      <c r="AB29" s="698" t="s">
        <v>43</v>
      </c>
      <c r="AD29" s="123"/>
    </row>
    <row r="30" spans="1:30" ht="13.5" thickBot="1" x14ac:dyDescent="0.25">
      <c r="A30" s="24" t="s">
        <v>9</v>
      </c>
      <c r="B30" s="34" t="s">
        <v>9</v>
      </c>
      <c r="C30" s="1527" t="s">
        <v>15</v>
      </c>
      <c r="D30" s="1528"/>
      <c r="E30" s="1528"/>
      <c r="F30" s="1528"/>
      <c r="G30" s="1528"/>
      <c r="H30" s="1529"/>
      <c r="I30" s="1529"/>
      <c r="J30" s="1530"/>
      <c r="K30" s="17">
        <f>K29+K22+K20+K18</f>
        <v>1353.8000000000002</v>
      </c>
      <c r="L30" s="15">
        <f>L29+L22+L20+L18</f>
        <v>1353.8000000000002</v>
      </c>
      <c r="M30" s="17">
        <f>M29+M22+M20+M18</f>
        <v>0</v>
      </c>
      <c r="N30" s="369">
        <f>N29+N22+N20+N18</f>
        <v>0</v>
      </c>
      <c r="O30" s="197">
        <f>P30+R30</f>
        <v>2183.3000000000002</v>
      </c>
      <c r="P30" s="17">
        <f t="shared" ref="P30:X30" si="3">P29+P22+P20+P18</f>
        <v>2183.3000000000002</v>
      </c>
      <c r="Q30" s="15">
        <f t="shared" si="3"/>
        <v>0</v>
      </c>
      <c r="R30" s="370">
        <f t="shared" si="3"/>
        <v>0</v>
      </c>
      <c r="S30" s="17">
        <f t="shared" si="3"/>
        <v>0</v>
      </c>
      <c r="T30" s="15">
        <f t="shared" si="3"/>
        <v>0</v>
      </c>
      <c r="U30" s="17">
        <f t="shared" si="3"/>
        <v>0</v>
      </c>
      <c r="V30" s="938">
        <f t="shared" si="3"/>
        <v>0</v>
      </c>
      <c r="W30" s="16">
        <f t="shared" si="3"/>
        <v>2530.1999999999998</v>
      </c>
      <c r="X30" s="17">
        <f t="shared" si="3"/>
        <v>2720.2</v>
      </c>
      <c r="Y30" s="1485"/>
      <c r="Z30" s="1486"/>
      <c r="AA30" s="1486"/>
      <c r="AB30" s="1487"/>
    </row>
    <row r="31" spans="1:30" ht="13.5" thickBot="1" x14ac:dyDescent="0.25">
      <c r="A31" s="21" t="s">
        <v>9</v>
      </c>
      <c r="B31" s="27" t="s">
        <v>10</v>
      </c>
      <c r="C31" s="1521" t="s">
        <v>96</v>
      </c>
      <c r="D31" s="1522"/>
      <c r="E31" s="1522"/>
      <c r="F31" s="1522"/>
      <c r="G31" s="1522"/>
      <c r="H31" s="1522"/>
      <c r="I31" s="1522"/>
      <c r="J31" s="1523"/>
      <c r="K31" s="1523"/>
      <c r="L31" s="1523"/>
      <c r="M31" s="1523"/>
      <c r="N31" s="1523"/>
      <c r="O31" s="1523"/>
      <c r="P31" s="1523"/>
      <c r="Q31" s="1523"/>
      <c r="R31" s="1523"/>
      <c r="S31" s="1523"/>
      <c r="T31" s="1523"/>
      <c r="U31" s="1523"/>
      <c r="V31" s="1523"/>
      <c r="W31" s="1523"/>
      <c r="X31" s="1523"/>
      <c r="Y31" s="1523"/>
      <c r="Z31" s="1523"/>
      <c r="AA31" s="1523"/>
      <c r="AB31" s="1524"/>
    </row>
    <row r="32" spans="1:30" ht="12.75" customHeight="1" x14ac:dyDescent="0.2">
      <c r="A32" s="21" t="s">
        <v>9</v>
      </c>
      <c r="B32" s="27" t="s">
        <v>10</v>
      </c>
      <c r="C32" s="22" t="s">
        <v>9</v>
      </c>
      <c r="D32" s="133"/>
      <c r="E32" s="1525" t="s">
        <v>67</v>
      </c>
      <c r="F32" s="1311"/>
      <c r="G32" s="365" t="s">
        <v>14</v>
      </c>
      <c r="H32" s="334">
        <v>2</v>
      </c>
      <c r="I32" s="1779" t="s">
        <v>133</v>
      </c>
      <c r="J32" s="214"/>
      <c r="K32" s="708"/>
      <c r="L32" s="700"/>
      <c r="M32" s="708"/>
      <c r="N32" s="701"/>
      <c r="O32" s="106"/>
      <c r="P32" s="102"/>
      <c r="Q32" s="55"/>
      <c r="R32" s="329"/>
      <c r="S32" s="913"/>
      <c r="T32" s="401"/>
      <c r="U32" s="392"/>
      <c r="V32" s="914"/>
      <c r="W32" s="64"/>
      <c r="X32" s="55"/>
      <c r="Y32" s="631"/>
      <c r="Z32" s="508"/>
      <c r="AA32" s="258"/>
      <c r="AB32" s="259"/>
    </row>
    <row r="33" spans="1:34" x14ac:dyDescent="0.2">
      <c r="A33" s="661"/>
      <c r="B33" s="662"/>
      <c r="C33" s="19"/>
      <c r="D33" s="134"/>
      <c r="E33" s="1526"/>
      <c r="F33" s="1312"/>
      <c r="G33" s="333"/>
      <c r="H33" s="335"/>
      <c r="I33" s="1780"/>
      <c r="J33" s="503"/>
      <c r="K33" s="709"/>
      <c r="L33" s="367"/>
      <c r="M33" s="709"/>
      <c r="N33" s="691"/>
      <c r="O33" s="247"/>
      <c r="P33" s="165"/>
      <c r="Q33" s="173"/>
      <c r="R33" s="782"/>
      <c r="S33" s="915"/>
      <c r="T33" s="386"/>
      <c r="U33" s="402"/>
      <c r="V33" s="916"/>
      <c r="W33" s="219"/>
      <c r="X33" s="173"/>
      <c r="Y33" s="263"/>
      <c r="Z33" s="509"/>
      <c r="AA33" s="1436"/>
      <c r="AB33" s="264"/>
      <c r="AC33" s="1137"/>
    </row>
    <row r="34" spans="1:34" x14ac:dyDescent="0.2">
      <c r="A34" s="661"/>
      <c r="B34" s="662"/>
      <c r="C34" s="19"/>
      <c r="D34" s="149" t="s">
        <v>9</v>
      </c>
      <c r="E34" s="1732" t="s">
        <v>36</v>
      </c>
      <c r="F34" s="141"/>
      <c r="G34" s="333"/>
      <c r="H34" s="335"/>
      <c r="I34" s="1780"/>
      <c r="J34" s="111" t="s">
        <v>12</v>
      </c>
      <c r="K34" s="688">
        <f>L34+N34</f>
        <v>977.8</v>
      </c>
      <c r="L34" s="682">
        <v>977.8</v>
      </c>
      <c r="M34" s="682">
        <v>611</v>
      </c>
      <c r="N34" s="689"/>
      <c r="O34" s="1258">
        <f>P34+R34</f>
        <v>1385</v>
      </c>
      <c r="P34" s="1259">
        <v>1371.6</v>
      </c>
      <c r="Q34" s="1259">
        <v>720.8</v>
      </c>
      <c r="R34" s="910">
        <v>13.4</v>
      </c>
      <c r="S34" s="911">
        <f>T34+V34</f>
        <v>0</v>
      </c>
      <c r="T34" s="378">
        <v>0</v>
      </c>
      <c r="U34" s="378">
        <v>0</v>
      </c>
      <c r="V34" s="917"/>
      <c r="W34" s="692">
        <v>1200</v>
      </c>
      <c r="X34" s="692">
        <v>1200</v>
      </c>
      <c r="Y34" s="1247" t="s">
        <v>47</v>
      </c>
      <c r="Z34" s="1434">
        <v>24</v>
      </c>
      <c r="AA34" s="1435">
        <v>25</v>
      </c>
      <c r="AB34" s="705">
        <v>26</v>
      </c>
      <c r="AD34" s="783"/>
      <c r="AE34" s="783"/>
      <c r="AF34" s="783"/>
    </row>
    <row r="35" spans="1:34" ht="29.25" customHeight="1" x14ac:dyDescent="0.2">
      <c r="A35" s="661"/>
      <c r="B35" s="662"/>
      <c r="C35" s="19"/>
      <c r="D35" s="148"/>
      <c r="E35" s="1557"/>
      <c r="F35" s="141"/>
      <c r="G35" s="333"/>
      <c r="H35" s="335"/>
      <c r="I35" s="1780"/>
      <c r="J35" s="111" t="s">
        <v>28</v>
      </c>
      <c r="K35" s="688">
        <f>L35+N35</f>
        <v>353</v>
      </c>
      <c r="L35" s="682">
        <v>353</v>
      </c>
      <c r="M35" s="682"/>
      <c r="N35" s="689"/>
      <c r="O35" s="212">
        <f>P35+R35</f>
        <v>353</v>
      </c>
      <c r="P35" s="226">
        <v>338.5</v>
      </c>
      <c r="Q35" s="226"/>
      <c r="R35" s="275">
        <v>14.5</v>
      </c>
      <c r="S35" s="911">
        <f>T35+V35</f>
        <v>0</v>
      </c>
      <c r="T35" s="378">
        <v>0</v>
      </c>
      <c r="U35" s="378"/>
      <c r="V35" s="917"/>
      <c r="W35" s="66">
        <v>353</v>
      </c>
      <c r="X35" s="66">
        <v>353</v>
      </c>
      <c r="Y35" s="1247" t="s">
        <v>48</v>
      </c>
      <c r="Z35" s="1434">
        <v>5</v>
      </c>
      <c r="AA35" s="1435">
        <v>6</v>
      </c>
      <c r="AB35" s="705">
        <v>6</v>
      </c>
      <c r="AC35" s="1137"/>
      <c r="AD35" s="123"/>
      <c r="AE35" s="123"/>
    </row>
    <row r="36" spans="1:34" ht="28.5" customHeight="1" thickBot="1" x14ac:dyDescent="0.25">
      <c r="A36" s="661"/>
      <c r="B36" s="662"/>
      <c r="C36" s="35"/>
      <c r="D36" s="148"/>
      <c r="E36" s="1557"/>
      <c r="F36" s="141"/>
      <c r="G36" s="333"/>
      <c r="H36" s="335"/>
      <c r="I36" s="1780"/>
      <c r="J36" s="240"/>
      <c r="K36" s="710"/>
      <c r="L36" s="711"/>
      <c r="M36" s="711"/>
      <c r="N36" s="712"/>
      <c r="O36" s="716"/>
      <c r="P36" s="717"/>
      <c r="Q36" s="717"/>
      <c r="R36" s="912"/>
      <c r="S36" s="415"/>
      <c r="T36" s="403"/>
      <c r="U36" s="403"/>
      <c r="V36" s="414"/>
      <c r="W36" s="918"/>
      <c r="X36" s="918"/>
      <c r="Y36" s="1247" t="s">
        <v>194</v>
      </c>
      <c r="Z36" s="1440">
        <v>310</v>
      </c>
      <c r="AA36" s="1441">
        <v>170</v>
      </c>
      <c r="AB36" s="1442">
        <v>170</v>
      </c>
    </row>
    <row r="37" spans="1:34" ht="18.75" customHeight="1" x14ac:dyDescent="0.2">
      <c r="A37" s="38"/>
      <c r="B37" s="28"/>
      <c r="C37" s="19"/>
      <c r="D37" s="149" t="s">
        <v>10</v>
      </c>
      <c r="E37" s="1732" t="s">
        <v>195</v>
      </c>
      <c r="F37" s="141"/>
      <c r="G37" s="333"/>
      <c r="H37" s="335"/>
      <c r="I37" s="888"/>
      <c r="J37" s="230" t="s">
        <v>12</v>
      </c>
      <c r="K37" s="713">
        <f>L37+N37</f>
        <v>2020.6</v>
      </c>
      <c r="L37" s="714">
        <v>2020.6</v>
      </c>
      <c r="M37" s="714">
        <v>1441</v>
      </c>
      <c r="N37" s="715"/>
      <c r="O37" s="272">
        <f>P37+R37</f>
        <v>2276.1</v>
      </c>
      <c r="P37" s="271">
        <v>2276.1</v>
      </c>
      <c r="Q37" s="1044">
        <v>1597.9</v>
      </c>
      <c r="R37" s="265"/>
      <c r="S37" s="405">
        <f>T37+V37</f>
        <v>0</v>
      </c>
      <c r="T37" s="406">
        <v>0</v>
      </c>
      <c r="U37" s="406">
        <v>0</v>
      </c>
      <c r="V37" s="407"/>
      <c r="W37" s="719">
        <v>2149</v>
      </c>
      <c r="X37" s="719">
        <v>219</v>
      </c>
      <c r="Y37" s="720" t="s">
        <v>49</v>
      </c>
      <c r="Z37" s="721">
        <v>76.5</v>
      </c>
      <c r="AA37" s="266">
        <v>76.5</v>
      </c>
      <c r="AB37" s="722">
        <v>76.5</v>
      </c>
    </row>
    <row r="38" spans="1:34" ht="33.75" customHeight="1" x14ac:dyDescent="0.2">
      <c r="A38" s="38"/>
      <c r="B38" s="28"/>
      <c r="C38" s="19"/>
      <c r="D38" s="136"/>
      <c r="E38" s="1557"/>
      <c r="F38" s="141"/>
      <c r="G38" s="333"/>
      <c r="H38" s="335"/>
      <c r="I38" s="888"/>
      <c r="J38" s="216" t="s">
        <v>28</v>
      </c>
      <c r="K38" s="690">
        <f>L38+N38</f>
        <v>607.5</v>
      </c>
      <c r="L38" s="367">
        <v>603.5</v>
      </c>
      <c r="M38" s="367"/>
      <c r="N38" s="691">
        <v>4</v>
      </c>
      <c r="O38" s="212">
        <f t="shared" ref="O38:O40" si="4">P38+R38</f>
        <v>680.5</v>
      </c>
      <c r="P38" s="312">
        <v>664.5</v>
      </c>
      <c r="Q38" s="312"/>
      <c r="R38" s="313">
        <v>16</v>
      </c>
      <c r="S38" s="385">
        <f>T38+V38</f>
        <v>0</v>
      </c>
      <c r="T38" s="386">
        <v>0</v>
      </c>
      <c r="U38" s="386"/>
      <c r="V38" s="387">
        <v>0</v>
      </c>
      <c r="W38" s="734">
        <v>700.5</v>
      </c>
      <c r="X38" s="734">
        <v>700.5</v>
      </c>
      <c r="Y38" s="735" t="s">
        <v>281</v>
      </c>
      <c r="Z38" s="1248">
        <v>362</v>
      </c>
      <c r="AA38" s="1250">
        <v>362</v>
      </c>
      <c r="AB38" s="725">
        <v>362</v>
      </c>
    </row>
    <row r="39" spans="1:34" ht="33.75" customHeight="1" x14ac:dyDescent="0.2">
      <c r="A39" s="38"/>
      <c r="B39" s="28"/>
      <c r="C39" s="19"/>
      <c r="D39" s="136"/>
      <c r="E39" s="1557" t="s">
        <v>196</v>
      </c>
      <c r="F39" s="141"/>
      <c r="G39" s="333"/>
      <c r="H39" s="335"/>
      <c r="I39" s="888"/>
      <c r="J39" s="737" t="s">
        <v>12</v>
      </c>
      <c r="K39" s="738"/>
      <c r="L39" s="516"/>
      <c r="M39" s="516"/>
      <c r="N39" s="517"/>
      <c r="O39" s="681">
        <f t="shared" si="4"/>
        <v>50</v>
      </c>
      <c r="P39" s="682">
        <v>50</v>
      </c>
      <c r="Q39" s="516"/>
      <c r="R39" s="517"/>
      <c r="S39" s="383"/>
      <c r="T39" s="378"/>
      <c r="U39" s="378"/>
      <c r="V39" s="384"/>
      <c r="W39" s="518"/>
      <c r="X39" s="643"/>
      <c r="Y39" s="723"/>
      <c r="Z39" s="274"/>
      <c r="AA39" s="724"/>
      <c r="AB39" s="731"/>
    </row>
    <row r="40" spans="1:34" ht="22.5" customHeight="1" thickBot="1" x14ac:dyDescent="0.25">
      <c r="A40" s="38"/>
      <c r="B40" s="28"/>
      <c r="C40" s="19"/>
      <c r="D40" s="136"/>
      <c r="E40" s="1683"/>
      <c r="F40" s="141"/>
      <c r="G40" s="333"/>
      <c r="H40" s="335"/>
      <c r="I40" s="888"/>
      <c r="J40" s="736" t="s">
        <v>28</v>
      </c>
      <c r="K40" s="733"/>
      <c r="L40" s="267"/>
      <c r="M40" s="267"/>
      <c r="N40" s="268"/>
      <c r="O40" s="1449">
        <f t="shared" si="4"/>
        <v>27.69</v>
      </c>
      <c r="P40" s="996">
        <v>27.69</v>
      </c>
      <c r="Q40" s="1042"/>
      <c r="R40" s="1043"/>
      <c r="S40" s="408"/>
      <c r="T40" s="379"/>
      <c r="U40" s="379"/>
      <c r="V40" s="409"/>
      <c r="W40" s="269"/>
      <c r="X40" s="727"/>
      <c r="Y40" s="728"/>
      <c r="Z40" s="729"/>
      <c r="AA40" s="730"/>
      <c r="AB40" s="731"/>
      <c r="AD40" s="1332"/>
    </row>
    <row r="41" spans="1:34" ht="30.75" customHeight="1" x14ac:dyDescent="0.2">
      <c r="A41" s="38"/>
      <c r="B41" s="28"/>
      <c r="C41" s="19"/>
      <c r="D41" s="149" t="s">
        <v>11</v>
      </c>
      <c r="E41" s="1730" t="s">
        <v>37</v>
      </c>
      <c r="F41" s="141"/>
      <c r="G41" s="333"/>
      <c r="H41" s="335"/>
      <c r="I41" s="888"/>
      <c r="J41" s="230" t="s">
        <v>12</v>
      </c>
      <c r="K41" s="713">
        <f>L41+N41</f>
        <v>171.1</v>
      </c>
      <c r="L41" s="714">
        <v>168.6</v>
      </c>
      <c r="M41" s="714">
        <v>83.7</v>
      </c>
      <c r="N41" s="715">
        <v>2.5</v>
      </c>
      <c r="O41" s="272">
        <f>P41+R41</f>
        <v>187.3</v>
      </c>
      <c r="P41" s="377">
        <v>183</v>
      </c>
      <c r="Q41" s="377">
        <v>94.8</v>
      </c>
      <c r="R41" s="265">
        <v>4.3</v>
      </c>
      <c r="S41" s="405">
        <f>T41+V41</f>
        <v>0</v>
      </c>
      <c r="T41" s="406">
        <v>0</v>
      </c>
      <c r="U41" s="406">
        <v>0</v>
      </c>
      <c r="V41" s="407">
        <v>0</v>
      </c>
      <c r="W41" s="719">
        <v>188.4</v>
      </c>
      <c r="X41" s="718">
        <v>188.4</v>
      </c>
      <c r="Y41" s="745" t="s">
        <v>282</v>
      </c>
      <c r="Z41" s="746">
        <v>25</v>
      </c>
      <c r="AA41" s="747">
        <v>25</v>
      </c>
      <c r="AB41" s="748">
        <v>25</v>
      </c>
    </row>
    <row r="42" spans="1:34" ht="31.5" customHeight="1" x14ac:dyDescent="0.2">
      <c r="A42" s="38"/>
      <c r="B42" s="28"/>
      <c r="C42" s="19"/>
      <c r="D42" s="148"/>
      <c r="E42" s="1538"/>
      <c r="F42" s="141"/>
      <c r="G42" s="333"/>
      <c r="H42" s="335"/>
      <c r="I42" s="888"/>
      <c r="J42" s="215" t="s">
        <v>70</v>
      </c>
      <c r="K42" s="739">
        <f>L42+N42</f>
        <v>8.4</v>
      </c>
      <c r="L42" s="703">
        <v>8.4</v>
      </c>
      <c r="M42" s="611"/>
      <c r="N42" s="726"/>
      <c r="O42" s="1438"/>
      <c r="P42" s="267"/>
      <c r="Q42" s="267"/>
      <c r="R42" s="268"/>
      <c r="S42" s="408"/>
      <c r="T42" s="379"/>
      <c r="U42" s="379"/>
      <c r="V42" s="409"/>
      <c r="W42" s="269"/>
      <c r="X42" s="270"/>
      <c r="Y42" s="749" t="s">
        <v>283</v>
      </c>
      <c r="Z42" s="729">
        <v>16</v>
      </c>
      <c r="AA42" s="730">
        <v>16</v>
      </c>
      <c r="AB42" s="731">
        <v>16</v>
      </c>
    </row>
    <row r="43" spans="1:34" ht="30.75" customHeight="1" thickBot="1" x14ac:dyDescent="0.25">
      <c r="A43" s="38"/>
      <c r="B43" s="28"/>
      <c r="C43" s="19"/>
      <c r="D43" s="150"/>
      <c r="E43" s="1731"/>
      <c r="F43" s="141"/>
      <c r="G43" s="333"/>
      <c r="H43" s="335"/>
      <c r="I43" s="888"/>
      <c r="J43" s="231"/>
      <c r="K43" s="740"/>
      <c r="L43" s="741"/>
      <c r="M43" s="741"/>
      <c r="N43" s="742"/>
      <c r="O43" s="314"/>
      <c r="P43" s="232"/>
      <c r="Q43" s="232"/>
      <c r="R43" s="233"/>
      <c r="S43" s="388"/>
      <c r="T43" s="1431"/>
      <c r="U43" s="1431"/>
      <c r="V43" s="390"/>
      <c r="W43" s="750"/>
      <c r="X43" s="751"/>
      <c r="Y43" s="752" t="s">
        <v>284</v>
      </c>
      <c r="Z43" s="753">
        <v>11</v>
      </c>
      <c r="AA43" s="754">
        <v>11</v>
      </c>
      <c r="AB43" s="755">
        <v>11</v>
      </c>
    </row>
    <row r="44" spans="1:34" ht="15" customHeight="1" x14ac:dyDescent="0.2">
      <c r="A44" s="661"/>
      <c r="B44" s="662"/>
      <c r="C44" s="40"/>
      <c r="D44" s="136" t="s">
        <v>13</v>
      </c>
      <c r="E44" s="1732" t="s">
        <v>38</v>
      </c>
      <c r="F44" s="141"/>
      <c r="G44" s="333"/>
      <c r="H44" s="335"/>
      <c r="I44" s="888"/>
      <c r="J44" s="200" t="s">
        <v>12</v>
      </c>
      <c r="K44" s="713">
        <f>L44+N44</f>
        <v>1997.4</v>
      </c>
      <c r="L44" s="714">
        <v>1997.4</v>
      </c>
      <c r="M44" s="714">
        <v>1276</v>
      </c>
      <c r="N44" s="715"/>
      <c r="O44" s="272">
        <f>P44+R44</f>
        <v>2220.6</v>
      </c>
      <c r="P44" s="271">
        <v>2220.6</v>
      </c>
      <c r="Q44" s="271">
        <v>1435</v>
      </c>
      <c r="R44" s="273"/>
      <c r="S44" s="405">
        <f>T44+V44</f>
        <v>0</v>
      </c>
      <c r="T44" s="406">
        <v>0</v>
      </c>
      <c r="U44" s="406">
        <v>0</v>
      </c>
      <c r="V44" s="407"/>
      <c r="W44" s="64">
        <v>2220.6</v>
      </c>
      <c r="X44" s="64">
        <v>2220.6</v>
      </c>
      <c r="Y44" s="745" t="s">
        <v>49</v>
      </c>
      <c r="Z44" s="746">
        <v>400</v>
      </c>
      <c r="AA44" s="747">
        <v>400</v>
      </c>
      <c r="AB44" s="756">
        <v>400</v>
      </c>
    </row>
    <row r="45" spans="1:34" ht="15" customHeight="1" x14ac:dyDescent="0.2">
      <c r="A45" s="661"/>
      <c r="B45" s="662"/>
      <c r="C45" s="40"/>
      <c r="D45" s="148"/>
      <c r="E45" s="1557"/>
      <c r="F45" s="141"/>
      <c r="G45" s="333"/>
      <c r="H45" s="335"/>
      <c r="I45" s="888"/>
      <c r="J45" s="111" t="s">
        <v>28</v>
      </c>
      <c r="K45" s="688">
        <f>L45+N45</f>
        <v>35</v>
      </c>
      <c r="L45" s="682">
        <v>30</v>
      </c>
      <c r="M45" s="682"/>
      <c r="N45" s="689">
        <v>5</v>
      </c>
      <c r="O45" s="1438">
        <f>P45+R45</f>
        <v>38</v>
      </c>
      <c r="P45" s="1432">
        <v>33</v>
      </c>
      <c r="Q45" s="1432"/>
      <c r="R45" s="1433">
        <v>5</v>
      </c>
      <c r="S45" s="383">
        <f>T45+V45</f>
        <v>0</v>
      </c>
      <c r="T45" s="378">
        <v>0</v>
      </c>
      <c r="U45" s="378"/>
      <c r="V45" s="384">
        <v>0</v>
      </c>
      <c r="W45" s="692">
        <v>38</v>
      </c>
      <c r="X45" s="693">
        <v>38</v>
      </c>
      <c r="Y45" s="697" t="s">
        <v>81</v>
      </c>
      <c r="Z45" s="274">
        <v>700</v>
      </c>
      <c r="AA45" s="724">
        <v>700</v>
      </c>
      <c r="AB45" s="757">
        <v>700</v>
      </c>
      <c r="AH45" s="123"/>
    </row>
    <row r="46" spans="1:34" ht="15" customHeight="1" x14ac:dyDescent="0.2">
      <c r="A46" s="661"/>
      <c r="B46" s="662"/>
      <c r="C46" s="19"/>
      <c r="D46" s="150"/>
      <c r="E46" s="1683"/>
      <c r="F46" s="141"/>
      <c r="G46" s="333"/>
      <c r="H46" s="335"/>
      <c r="I46" s="888"/>
      <c r="J46" s="111" t="s">
        <v>20</v>
      </c>
      <c r="K46" s="688">
        <v>140</v>
      </c>
      <c r="L46" s="682">
        <v>140</v>
      </c>
      <c r="M46" s="682"/>
      <c r="N46" s="689"/>
      <c r="O46" s="1438"/>
      <c r="P46" s="1432"/>
      <c r="Q46" s="1432"/>
      <c r="R46" s="1433"/>
      <c r="S46" s="383">
        <f>T46+V46</f>
        <v>0</v>
      </c>
      <c r="T46" s="378">
        <v>0</v>
      </c>
      <c r="U46" s="378"/>
      <c r="V46" s="917"/>
      <c r="W46" s="692">
        <v>140</v>
      </c>
      <c r="X46" s="693">
        <v>140</v>
      </c>
      <c r="Y46" s="697" t="s">
        <v>285</v>
      </c>
      <c r="Z46" s="274">
        <v>290</v>
      </c>
      <c r="AA46" s="724">
        <v>290</v>
      </c>
      <c r="AB46" s="757">
        <v>290</v>
      </c>
    </row>
    <row r="47" spans="1:34" ht="38.25" x14ac:dyDescent="0.2">
      <c r="A47" s="1233"/>
      <c r="B47" s="1234"/>
      <c r="C47" s="887"/>
      <c r="D47" s="150" t="s">
        <v>41</v>
      </c>
      <c r="E47" s="1437" t="s">
        <v>167</v>
      </c>
      <c r="F47" s="766"/>
      <c r="G47" s="890"/>
      <c r="H47" s="891"/>
      <c r="I47" s="892"/>
      <c r="J47" s="125" t="s">
        <v>12</v>
      </c>
      <c r="K47" s="372">
        <f>L47+N48</f>
        <v>832.1</v>
      </c>
      <c r="L47" s="374">
        <v>832.1</v>
      </c>
      <c r="M47" s="374">
        <v>419.7</v>
      </c>
      <c r="N47" s="767"/>
      <c r="O47" s="372">
        <f>P47+R47</f>
        <v>1070.7</v>
      </c>
      <c r="P47" s="1045">
        <v>1070.7</v>
      </c>
      <c r="Q47" s="1046">
        <v>454.5</v>
      </c>
      <c r="R47" s="375"/>
      <c r="S47" s="419"/>
      <c r="T47" s="420"/>
      <c r="U47" s="420"/>
      <c r="V47" s="418"/>
      <c r="W47" s="520">
        <v>911.1</v>
      </c>
      <c r="X47" s="129">
        <v>2047.2</v>
      </c>
      <c r="Y47" s="760" t="s">
        <v>109</v>
      </c>
      <c r="Z47" s="729">
        <v>167</v>
      </c>
      <c r="AA47" s="730">
        <v>168</v>
      </c>
      <c r="AB47" s="761">
        <v>167</v>
      </c>
      <c r="AE47" s="123"/>
    </row>
    <row r="48" spans="1:34" ht="30.75" customHeight="1" x14ac:dyDescent="0.2">
      <c r="A48" s="25"/>
      <c r="B48" s="28"/>
      <c r="C48" s="19"/>
      <c r="D48" s="148"/>
      <c r="E48" s="141"/>
      <c r="F48" s="141"/>
      <c r="G48" s="333"/>
      <c r="H48" s="335"/>
      <c r="I48" s="888"/>
      <c r="J48" s="98" t="s">
        <v>28</v>
      </c>
      <c r="K48" s="531">
        <f>L48+N49</f>
        <v>20</v>
      </c>
      <c r="L48" s="228">
        <v>20</v>
      </c>
      <c r="M48" s="123"/>
      <c r="N48" s="726"/>
      <c r="O48" s="531">
        <f>P48+R48</f>
        <v>10</v>
      </c>
      <c r="P48" s="228">
        <v>10</v>
      </c>
      <c r="Q48" s="228"/>
      <c r="R48" s="533"/>
      <c r="S48" s="408">
        <f>T48+V48</f>
        <v>0</v>
      </c>
      <c r="T48" s="379">
        <v>0</v>
      </c>
      <c r="U48" s="379">
        <v>0</v>
      </c>
      <c r="V48" s="409"/>
      <c r="W48" s="65">
        <v>107</v>
      </c>
      <c r="X48" s="138">
        <v>107</v>
      </c>
      <c r="Y48" s="760" t="s">
        <v>286</v>
      </c>
      <c r="Z48" s="729">
        <v>3</v>
      </c>
      <c r="AA48" s="730">
        <v>3</v>
      </c>
      <c r="AB48" s="761">
        <v>3</v>
      </c>
    </row>
    <row r="49" spans="1:34" ht="15.75" customHeight="1" x14ac:dyDescent="0.2">
      <c r="A49" s="25"/>
      <c r="B49" s="28"/>
      <c r="C49" s="19"/>
      <c r="D49" s="148"/>
      <c r="E49" s="141"/>
      <c r="F49" s="141"/>
      <c r="G49" s="333"/>
      <c r="H49" s="335"/>
      <c r="I49" s="888"/>
      <c r="J49" s="98"/>
      <c r="K49" s="610"/>
      <c r="L49" s="611"/>
      <c r="M49" s="611"/>
      <c r="N49" s="726"/>
      <c r="O49" s="531"/>
      <c r="P49" s="228"/>
      <c r="Q49" s="228"/>
      <c r="R49" s="533"/>
      <c r="S49" s="537"/>
      <c r="T49" s="379"/>
      <c r="U49" s="379"/>
      <c r="V49" s="409"/>
      <c r="W49" s="65"/>
      <c r="X49" s="138"/>
      <c r="Y49" s="758" t="s">
        <v>49</v>
      </c>
      <c r="Z49" s="274">
        <v>14</v>
      </c>
      <c r="AA49" s="724">
        <v>14</v>
      </c>
      <c r="AB49" s="757">
        <v>14</v>
      </c>
    </row>
    <row r="50" spans="1:34" ht="26.25" customHeight="1" x14ac:dyDescent="0.2">
      <c r="A50" s="25"/>
      <c r="B50" s="28"/>
      <c r="C50" s="19"/>
      <c r="D50" s="148"/>
      <c r="E50" s="1268"/>
      <c r="F50" s="141"/>
      <c r="G50" s="333"/>
      <c r="H50" s="335"/>
      <c r="I50" s="888"/>
      <c r="J50" s="98"/>
      <c r="K50" s="353"/>
      <c r="L50" s="611"/>
      <c r="M50" s="611"/>
      <c r="N50" s="726"/>
      <c r="O50" s="531"/>
      <c r="P50" s="228"/>
      <c r="Q50" s="228"/>
      <c r="R50" s="533"/>
      <c r="S50" s="408"/>
      <c r="T50" s="379"/>
      <c r="U50" s="379"/>
      <c r="V50" s="409"/>
      <c r="W50" s="65"/>
      <c r="X50" s="138"/>
      <c r="Y50" s="762" t="s">
        <v>287</v>
      </c>
      <c r="Z50" s="1248">
        <v>30</v>
      </c>
      <c r="AA50" s="1250">
        <v>30</v>
      </c>
      <c r="AB50" s="1252">
        <v>30</v>
      </c>
      <c r="AF50" s="123"/>
      <c r="AG50" s="123"/>
    </row>
    <row r="51" spans="1:34" ht="33.75" customHeight="1" x14ac:dyDescent="0.2">
      <c r="A51" s="25"/>
      <c r="B51" s="28"/>
      <c r="C51" s="19"/>
      <c r="D51" s="148"/>
      <c r="E51" s="1557" t="s">
        <v>268</v>
      </c>
      <c r="F51" s="141"/>
      <c r="G51" s="333"/>
      <c r="H51" s="335"/>
      <c r="I51" s="888"/>
      <c r="J51" s="111" t="s">
        <v>12</v>
      </c>
      <c r="K51" s="688">
        <f t="shared" ref="K51:K56" si="5">L51+N51</f>
        <v>76.099999999999994</v>
      </c>
      <c r="L51" s="682">
        <v>76.099999999999994</v>
      </c>
      <c r="M51" s="682">
        <v>11</v>
      </c>
      <c r="N51" s="689"/>
      <c r="O51" s="1438"/>
      <c r="P51" s="1259"/>
      <c r="Q51" s="1259"/>
      <c r="R51" s="1260"/>
      <c r="S51" s="383">
        <f>T51+V51</f>
        <v>0</v>
      </c>
      <c r="T51" s="378">
        <v>0</v>
      </c>
      <c r="U51" s="378">
        <v>0</v>
      </c>
      <c r="V51" s="384"/>
      <c r="W51" s="692"/>
      <c r="X51" s="763"/>
      <c r="Y51" s="762" t="s">
        <v>110</v>
      </c>
      <c r="Z51" s="894">
        <v>3</v>
      </c>
      <c r="AA51" s="1250"/>
      <c r="AB51" s="1008"/>
      <c r="AD51" s="123"/>
    </row>
    <row r="52" spans="1:34" ht="47.25" customHeight="1" x14ac:dyDescent="0.2">
      <c r="A52" s="25"/>
      <c r="B52" s="28"/>
      <c r="C52" s="19"/>
      <c r="D52" s="148"/>
      <c r="E52" s="1557"/>
      <c r="F52" s="141"/>
      <c r="G52" s="333"/>
      <c r="H52" s="335"/>
      <c r="I52" s="888"/>
      <c r="J52" s="111" t="s">
        <v>29</v>
      </c>
      <c r="K52" s="688">
        <f t="shared" si="5"/>
        <v>228.7</v>
      </c>
      <c r="L52" s="682">
        <f>456.7-228</f>
        <v>228.7</v>
      </c>
      <c r="M52" s="682"/>
      <c r="N52" s="689"/>
      <c r="O52" s="681">
        <f t="shared" ref="O52:O55" si="6">P52+R52</f>
        <v>304.10000000000002</v>
      </c>
      <c r="P52" s="682">
        <f>76.1+228</f>
        <v>304.10000000000002</v>
      </c>
      <c r="Q52" s="1259"/>
      <c r="R52" s="1260"/>
      <c r="S52" s="383">
        <f>T52+V52</f>
        <v>0</v>
      </c>
      <c r="T52" s="378">
        <v>0</v>
      </c>
      <c r="U52" s="378"/>
      <c r="V52" s="384"/>
      <c r="W52" s="692"/>
      <c r="X52" s="763"/>
      <c r="Y52" s="760"/>
      <c r="Z52" s="729"/>
      <c r="AA52" s="730"/>
      <c r="AB52" s="761"/>
      <c r="AE52" s="783"/>
      <c r="AF52" s="123"/>
    </row>
    <row r="53" spans="1:34" ht="15" customHeight="1" x14ac:dyDescent="0.2">
      <c r="A53" s="25"/>
      <c r="B53" s="28"/>
      <c r="C53" s="19"/>
      <c r="D53" s="136"/>
      <c r="E53" s="1732" t="s">
        <v>292</v>
      </c>
      <c r="F53" s="141"/>
      <c r="G53" s="333"/>
      <c r="H53" s="335"/>
      <c r="I53" s="888"/>
      <c r="J53" s="943" t="s">
        <v>12</v>
      </c>
      <c r="K53" s="367"/>
      <c r="L53" s="367"/>
      <c r="M53" s="367"/>
      <c r="N53" s="691"/>
      <c r="O53" s="899">
        <f t="shared" si="6"/>
        <v>193</v>
      </c>
      <c r="P53" s="367">
        <v>193</v>
      </c>
      <c r="Q53" s="226"/>
      <c r="R53" s="227"/>
      <c r="S53" s="385"/>
      <c r="T53" s="386"/>
      <c r="U53" s="386"/>
      <c r="V53" s="387"/>
      <c r="W53" s="66"/>
      <c r="X53" s="919"/>
      <c r="Y53" s="1733" t="s">
        <v>110</v>
      </c>
      <c r="Z53" s="1248">
        <v>10</v>
      </c>
      <c r="AA53" s="1250"/>
      <c r="AB53" s="705"/>
      <c r="AF53" s="123"/>
    </row>
    <row r="54" spans="1:34" ht="15" customHeight="1" x14ac:dyDescent="0.2">
      <c r="A54" s="25"/>
      <c r="B54" s="28"/>
      <c r="C54" s="19"/>
      <c r="D54" s="136"/>
      <c r="E54" s="1557"/>
      <c r="F54" s="141"/>
      <c r="G54" s="333"/>
      <c r="H54" s="335"/>
      <c r="I54" s="888"/>
      <c r="J54" s="978" t="s">
        <v>20</v>
      </c>
      <c r="K54" s="682"/>
      <c r="L54" s="682"/>
      <c r="M54" s="682"/>
      <c r="N54" s="689"/>
      <c r="O54" s="979">
        <f t="shared" si="6"/>
        <v>33.200000000000003</v>
      </c>
      <c r="P54" s="682">
        <v>33.200000000000003</v>
      </c>
      <c r="Q54" s="1259"/>
      <c r="R54" s="1260"/>
      <c r="S54" s="383"/>
      <c r="T54" s="378"/>
      <c r="U54" s="378"/>
      <c r="V54" s="384"/>
      <c r="W54" s="692"/>
      <c r="X54" s="763"/>
      <c r="Y54" s="1682"/>
      <c r="Z54" s="1249"/>
      <c r="AA54" s="1251"/>
      <c r="AB54" s="282"/>
      <c r="AF54" s="123"/>
    </row>
    <row r="55" spans="1:34" ht="24.75" customHeight="1" thickBot="1" x14ac:dyDescent="0.25">
      <c r="A55" s="25"/>
      <c r="B55" s="28"/>
      <c r="C55" s="19"/>
      <c r="D55" s="889"/>
      <c r="E55" s="1683"/>
      <c r="F55" s="766"/>
      <c r="G55" s="333"/>
      <c r="H55" s="335"/>
      <c r="I55" s="888"/>
      <c r="J55" s="995" t="s">
        <v>29</v>
      </c>
      <c r="K55" s="996"/>
      <c r="L55" s="996"/>
      <c r="M55" s="996"/>
      <c r="N55" s="997"/>
      <c r="O55" s="998">
        <f t="shared" si="6"/>
        <v>347.7</v>
      </c>
      <c r="P55" s="996">
        <v>347.7</v>
      </c>
      <c r="Q55" s="343"/>
      <c r="R55" s="999"/>
      <c r="S55" s="1000"/>
      <c r="T55" s="1001"/>
      <c r="U55" s="1001"/>
      <c r="V55" s="1002"/>
      <c r="W55" s="1003">
        <v>160</v>
      </c>
      <c r="X55" s="1004"/>
      <c r="Y55" s="1734"/>
      <c r="Z55" s="1254"/>
      <c r="AA55" s="1255"/>
      <c r="AB55" s="1005"/>
    </row>
    <row r="56" spans="1:34" ht="54.75" customHeight="1" x14ac:dyDescent="0.2">
      <c r="A56" s="38"/>
      <c r="B56" s="28"/>
      <c r="C56" s="19"/>
      <c r="D56" s="130" t="s">
        <v>57</v>
      </c>
      <c r="E56" s="141" t="s">
        <v>115</v>
      </c>
      <c r="F56" s="1313" t="s">
        <v>90</v>
      </c>
      <c r="G56" s="333"/>
      <c r="H56" s="335"/>
      <c r="I56" s="888"/>
      <c r="J56" s="125" t="s">
        <v>12</v>
      </c>
      <c r="K56" s="743">
        <f t="shared" si="5"/>
        <v>1055.2</v>
      </c>
      <c r="L56" s="744">
        <v>1055.2</v>
      </c>
      <c r="M56" s="744">
        <v>721.3</v>
      </c>
      <c r="N56" s="767"/>
      <c r="O56" s="372">
        <f t="shared" ref="O56:O57" si="7">P56+R56</f>
        <v>1237</v>
      </c>
      <c r="P56" s="1045">
        <v>1237</v>
      </c>
      <c r="Q56" s="1045">
        <v>787</v>
      </c>
      <c r="R56" s="375"/>
      <c r="S56" s="419">
        <f>T56+V56</f>
        <v>0</v>
      </c>
      <c r="T56" s="420">
        <v>0</v>
      </c>
      <c r="U56" s="420">
        <v>0</v>
      </c>
      <c r="V56" s="418"/>
      <c r="W56" s="520">
        <v>1237</v>
      </c>
      <c r="X56" s="520">
        <v>1237</v>
      </c>
      <c r="Y56" s="749" t="s">
        <v>277</v>
      </c>
      <c r="Z56" s="729">
        <v>2</v>
      </c>
      <c r="AA56" s="730">
        <v>1</v>
      </c>
      <c r="AB56" s="731">
        <v>0</v>
      </c>
      <c r="AH56" s="123"/>
    </row>
    <row r="57" spans="1:34" ht="12" customHeight="1" x14ac:dyDescent="0.2">
      <c r="A57" s="38"/>
      <c r="B57" s="28"/>
      <c r="C57" s="19"/>
      <c r="D57" s="130"/>
      <c r="E57" s="141"/>
      <c r="F57" s="1735" t="s">
        <v>92</v>
      </c>
      <c r="G57" s="333"/>
      <c r="H57" s="335"/>
      <c r="I57" s="888"/>
      <c r="J57" s="111" t="s">
        <v>28</v>
      </c>
      <c r="K57" s="688">
        <f>L57+N57</f>
        <v>118.9</v>
      </c>
      <c r="L57" s="682">
        <v>111.9</v>
      </c>
      <c r="M57" s="682"/>
      <c r="N57" s="689">
        <v>7</v>
      </c>
      <c r="O57" s="1258">
        <f t="shared" si="7"/>
        <v>75.5</v>
      </c>
      <c r="P57" s="1259">
        <v>65.5</v>
      </c>
      <c r="Q57" s="1259">
        <v>16.600000000000001</v>
      </c>
      <c r="R57" s="1260">
        <v>10</v>
      </c>
      <c r="S57" s="383">
        <f>T57+V57</f>
        <v>0</v>
      </c>
      <c r="T57" s="378">
        <v>0</v>
      </c>
      <c r="U57" s="378"/>
      <c r="V57" s="384">
        <v>0</v>
      </c>
      <c r="W57" s="692">
        <v>80</v>
      </c>
      <c r="X57" s="693">
        <v>80</v>
      </c>
      <c r="Y57" s="697" t="s">
        <v>49</v>
      </c>
      <c r="Z57" s="274">
        <v>27</v>
      </c>
      <c r="AA57" s="724">
        <v>27</v>
      </c>
      <c r="AB57" s="725">
        <v>27</v>
      </c>
      <c r="AD57" s="123"/>
      <c r="AH57" s="123"/>
    </row>
    <row r="58" spans="1:34" ht="16.5" customHeight="1" x14ac:dyDescent="0.2">
      <c r="A58" s="38"/>
      <c r="B58" s="28"/>
      <c r="C58" s="19"/>
      <c r="D58" s="130"/>
      <c r="E58" s="141"/>
      <c r="F58" s="1735"/>
      <c r="G58" s="333"/>
      <c r="H58" s="335"/>
      <c r="I58" s="888"/>
      <c r="J58" s="234" t="s">
        <v>70</v>
      </c>
      <c r="K58" s="768">
        <f>L58+N58</f>
        <v>65.900000000000006</v>
      </c>
      <c r="L58" s="769">
        <v>7.9</v>
      </c>
      <c r="M58" s="367"/>
      <c r="N58" s="691">
        <v>58</v>
      </c>
      <c r="O58" s="1258"/>
      <c r="P58" s="226"/>
      <c r="Q58" s="226"/>
      <c r="R58" s="227"/>
      <c r="S58" s="385"/>
      <c r="T58" s="386"/>
      <c r="U58" s="386"/>
      <c r="V58" s="387"/>
      <c r="W58" s="66"/>
      <c r="X58" s="172"/>
      <c r="Y58" s="1733" t="s">
        <v>278</v>
      </c>
      <c r="Z58" s="1248">
        <v>61</v>
      </c>
      <c r="AA58" s="1250">
        <v>65</v>
      </c>
      <c r="AB58" s="705">
        <v>65</v>
      </c>
    </row>
    <row r="59" spans="1:34" ht="15.75" customHeight="1" thickBot="1" x14ac:dyDescent="0.25">
      <c r="A59" s="38"/>
      <c r="B59" s="28"/>
      <c r="C59" s="19"/>
      <c r="D59" s="765"/>
      <c r="E59" s="766"/>
      <c r="F59" s="1736"/>
      <c r="G59" s="333"/>
      <c r="H59" s="335"/>
      <c r="I59" s="888"/>
      <c r="J59" s="215"/>
      <c r="K59" s="690"/>
      <c r="L59" s="367"/>
      <c r="M59" s="367"/>
      <c r="N59" s="691"/>
      <c r="O59" s="314"/>
      <c r="P59" s="315"/>
      <c r="Q59" s="315"/>
      <c r="R59" s="316"/>
      <c r="S59" s="385"/>
      <c r="T59" s="386"/>
      <c r="U59" s="386"/>
      <c r="V59" s="387"/>
      <c r="W59" s="66"/>
      <c r="X59" s="172"/>
      <c r="Y59" s="1682"/>
      <c r="Z59" s="770"/>
      <c r="AA59" s="1251"/>
      <c r="AB59" s="282"/>
      <c r="AC59" s="1137"/>
    </row>
    <row r="60" spans="1:34" ht="21" customHeight="1" x14ac:dyDescent="0.2">
      <c r="A60" s="38"/>
      <c r="B60" s="28"/>
      <c r="C60" s="19"/>
      <c r="D60" s="1295" t="s">
        <v>111</v>
      </c>
      <c r="E60" s="1732" t="s">
        <v>39</v>
      </c>
      <c r="F60" s="229"/>
      <c r="G60" s="143"/>
      <c r="H60" s="335"/>
      <c r="I60" s="888"/>
      <c r="J60" s="200" t="s">
        <v>12</v>
      </c>
      <c r="K60" s="713">
        <f>L60</f>
        <v>623.20000000000005</v>
      </c>
      <c r="L60" s="714">
        <v>623.20000000000005</v>
      </c>
      <c r="M60" s="714">
        <v>305.39999999999998</v>
      </c>
      <c r="N60" s="715"/>
      <c r="O60" s="372">
        <f>P60+R60</f>
        <v>676.5</v>
      </c>
      <c r="P60" s="374">
        <v>668.2</v>
      </c>
      <c r="Q60" s="374">
        <v>347.7</v>
      </c>
      <c r="R60" s="375">
        <v>8.3000000000000007</v>
      </c>
      <c r="S60" s="405">
        <f>T60</f>
        <v>0</v>
      </c>
      <c r="T60" s="406">
        <v>0</v>
      </c>
      <c r="U60" s="406">
        <v>0</v>
      </c>
      <c r="V60" s="407"/>
      <c r="W60" s="64">
        <v>717.4</v>
      </c>
      <c r="X60" s="55">
        <v>657.4</v>
      </c>
      <c r="Y60" s="1737" t="s">
        <v>276</v>
      </c>
      <c r="Z60" s="1743">
        <v>15</v>
      </c>
      <c r="AA60" s="1745">
        <v>26</v>
      </c>
      <c r="AB60" s="1747">
        <v>16</v>
      </c>
    </row>
    <row r="61" spans="1:34" ht="21" customHeight="1" x14ac:dyDescent="0.2">
      <c r="A61" s="38"/>
      <c r="B61" s="28"/>
      <c r="C61" s="19"/>
      <c r="D61" s="664"/>
      <c r="E61" s="1557"/>
      <c r="F61" s="141"/>
      <c r="G61" s="143"/>
      <c r="H61" s="335"/>
      <c r="I61" s="888"/>
      <c r="J61" s="111" t="s">
        <v>28</v>
      </c>
      <c r="K61" s="688">
        <f>L61+N61</f>
        <v>20</v>
      </c>
      <c r="L61" s="682">
        <v>20</v>
      </c>
      <c r="M61" s="682"/>
      <c r="N61" s="689"/>
      <c r="O61" s="1258">
        <f>P61+R61</f>
        <v>25</v>
      </c>
      <c r="P61" s="1259">
        <v>25</v>
      </c>
      <c r="Q61" s="1259"/>
      <c r="R61" s="1260"/>
      <c r="S61" s="383">
        <f>T61+V61</f>
        <v>0</v>
      </c>
      <c r="T61" s="378">
        <v>0</v>
      </c>
      <c r="U61" s="378"/>
      <c r="V61" s="384"/>
      <c r="W61" s="692">
        <v>20</v>
      </c>
      <c r="X61" s="693">
        <v>20</v>
      </c>
      <c r="Y61" s="1738"/>
      <c r="Z61" s="1744"/>
      <c r="AA61" s="1746"/>
      <c r="AB61" s="1748"/>
    </row>
    <row r="62" spans="1:34" ht="12.75" customHeight="1" x14ac:dyDescent="0.2">
      <c r="A62" s="38"/>
      <c r="B62" s="28"/>
      <c r="C62" s="19"/>
      <c r="D62" s="664"/>
      <c r="E62" s="141"/>
      <c r="F62" s="141"/>
      <c r="G62" s="143"/>
      <c r="H62" s="335"/>
      <c r="I62" s="888"/>
      <c r="J62" s="108" t="s">
        <v>70</v>
      </c>
      <c r="K62" s="681">
        <f t="shared" ref="K62" si="8">L62+N62</f>
        <v>4.5999999999999996</v>
      </c>
      <c r="L62" s="682">
        <v>4.5999999999999996</v>
      </c>
      <c r="M62" s="682"/>
      <c r="N62" s="689"/>
      <c r="O62" s="1258"/>
      <c r="P62" s="1259"/>
      <c r="Q62" s="1259"/>
      <c r="R62" s="1260"/>
      <c r="S62" s="383"/>
      <c r="T62" s="378"/>
      <c r="U62" s="378"/>
      <c r="V62" s="384"/>
      <c r="W62" s="692"/>
      <c r="X62" s="693"/>
      <c r="Y62" s="988" t="s">
        <v>197</v>
      </c>
      <c r="Z62" s="894">
        <v>190</v>
      </c>
      <c r="AA62" s="1009">
        <v>190</v>
      </c>
      <c r="AB62" s="1010">
        <v>190</v>
      </c>
    </row>
    <row r="63" spans="1:34" ht="12.75" customHeight="1" thickBot="1" x14ac:dyDescent="0.25">
      <c r="A63" s="38"/>
      <c r="B63" s="28"/>
      <c r="C63" s="19"/>
      <c r="D63" s="664"/>
      <c r="E63" s="141"/>
      <c r="F63" s="141"/>
      <c r="G63" s="143"/>
      <c r="H63" s="335"/>
      <c r="I63" s="888"/>
      <c r="J63" s="240" t="s">
        <v>20</v>
      </c>
      <c r="K63" s="690">
        <v>51</v>
      </c>
      <c r="L63" s="367">
        <v>51</v>
      </c>
      <c r="M63" s="367"/>
      <c r="N63" s="691"/>
      <c r="O63" s="212"/>
      <c r="P63" s="226"/>
      <c r="Q63" s="226"/>
      <c r="R63" s="227"/>
      <c r="S63" s="385">
        <f>T63+V63</f>
        <v>0</v>
      </c>
      <c r="T63" s="386">
        <v>0</v>
      </c>
      <c r="U63" s="386"/>
      <c r="V63" s="387"/>
      <c r="W63" s="66">
        <v>80</v>
      </c>
      <c r="X63" s="172">
        <v>28</v>
      </c>
      <c r="Y63" s="989"/>
      <c r="Z63" s="1301"/>
      <c r="AA63" s="1302"/>
      <c r="AB63" s="1300"/>
      <c r="AD63" s="123"/>
    </row>
    <row r="64" spans="1:34" ht="14.25" customHeight="1" x14ac:dyDescent="0.2">
      <c r="A64" s="25"/>
      <c r="B64" s="28"/>
      <c r="C64" s="983"/>
      <c r="D64" s="1295" t="s">
        <v>14</v>
      </c>
      <c r="E64" s="1550" t="s">
        <v>223</v>
      </c>
      <c r="F64" s="229"/>
      <c r="G64" s="143"/>
      <c r="H64" s="335"/>
      <c r="I64" s="888"/>
      <c r="J64" s="984" t="s">
        <v>12</v>
      </c>
      <c r="K64" s="685"/>
      <c r="L64" s="784"/>
      <c r="M64" s="686"/>
      <c r="N64" s="784"/>
      <c r="O64" s="580">
        <f>P64</f>
        <v>22.7</v>
      </c>
      <c r="P64" s="985">
        <v>22.7</v>
      </c>
      <c r="Q64" s="376"/>
      <c r="R64" s="986"/>
      <c r="S64" s="63">
        <v>22.7</v>
      </c>
      <c r="T64" s="987">
        <v>22.7</v>
      </c>
      <c r="U64" s="1283" t="s">
        <v>224</v>
      </c>
      <c r="V64" s="991">
        <v>7</v>
      </c>
      <c r="W64" s="993">
        <v>22.7</v>
      </c>
      <c r="X64" s="994">
        <v>22.7</v>
      </c>
      <c r="Y64" s="1283" t="s">
        <v>224</v>
      </c>
      <c r="Z64" s="1285">
        <v>7</v>
      </c>
      <c r="AA64" s="1286">
        <v>7</v>
      </c>
      <c r="AB64" s="1287">
        <v>7</v>
      </c>
      <c r="AC64" s="1332"/>
    </row>
    <row r="65" spans="1:34" ht="13.5" thickBot="1" x14ac:dyDescent="0.25">
      <c r="A65" s="661"/>
      <c r="B65" s="662"/>
      <c r="C65" s="663"/>
      <c r="D65" s="1296"/>
      <c r="E65" s="1451"/>
      <c r="F65" s="1314"/>
      <c r="G65" s="143"/>
      <c r="H65" s="335"/>
      <c r="I65" s="888"/>
      <c r="J65" s="400" t="s">
        <v>16</v>
      </c>
      <c r="K65" s="1273">
        <f>L65+N65</f>
        <v>9406.5</v>
      </c>
      <c r="L65" s="389">
        <f>SUM(L34:L63)</f>
        <v>9330</v>
      </c>
      <c r="M65" s="1274">
        <f>SUM(M34:M63)</f>
        <v>4869.0999999999995</v>
      </c>
      <c r="N65" s="398">
        <f>SUM(N34:N63)</f>
        <v>76.5</v>
      </c>
      <c r="O65" s="1273">
        <f>P65+R65</f>
        <v>10942.900000000003</v>
      </c>
      <c r="P65" s="389">
        <f>SUM(P34:P64)-P39-P40-P53</f>
        <v>10871.400000000003</v>
      </c>
      <c r="Q65" s="1274">
        <f>SUM(Q34:Q63)</f>
        <v>5454.3</v>
      </c>
      <c r="R65" s="398">
        <f>SUM(R34:R63)</f>
        <v>71.5</v>
      </c>
      <c r="S65" s="399">
        <f>SUM(S32:S64)</f>
        <v>22.7</v>
      </c>
      <c r="T65" s="389">
        <f>SUM(T32:T64)</f>
        <v>22.7</v>
      </c>
      <c r="U65" s="1282"/>
      <c r="V65" s="992"/>
      <c r="W65" s="399">
        <f>SUM(W34:W64)</f>
        <v>10324.700000000001</v>
      </c>
      <c r="X65" s="399">
        <f>SUM(X34:X64)</f>
        <v>9258.8000000000011</v>
      </c>
      <c r="Y65" s="990"/>
      <c r="Z65" s="1014"/>
      <c r="AA65" s="1015"/>
      <c r="AB65" s="1016"/>
    </row>
    <row r="66" spans="1:34" ht="44.25" customHeight="1" x14ac:dyDescent="0.2">
      <c r="A66" s="21" t="s">
        <v>9</v>
      </c>
      <c r="B66" s="27" t="s">
        <v>10</v>
      </c>
      <c r="C66" s="22" t="s">
        <v>10</v>
      </c>
      <c r="D66" s="187"/>
      <c r="E66" s="665" t="s">
        <v>68</v>
      </c>
      <c r="F66" s="1315"/>
      <c r="G66" s="365"/>
      <c r="H66" s="1261"/>
      <c r="I66" s="667"/>
      <c r="J66" s="113"/>
      <c r="K66" s="685"/>
      <c r="L66" s="686"/>
      <c r="M66" s="686"/>
      <c r="N66" s="687"/>
      <c r="O66" s="95"/>
      <c r="P66" s="156"/>
      <c r="Q66" s="156"/>
      <c r="R66" s="96"/>
      <c r="S66" s="380"/>
      <c r="T66" s="381"/>
      <c r="U66" s="381"/>
      <c r="V66" s="382"/>
      <c r="W66" s="62"/>
      <c r="X66" s="57"/>
      <c r="Y66" s="920"/>
      <c r="Z66" s="921"/>
      <c r="AA66" s="116"/>
      <c r="AB66" s="117"/>
      <c r="AD66" s="1332"/>
    </row>
    <row r="67" spans="1:34" ht="41.25" customHeight="1" x14ac:dyDescent="0.2">
      <c r="A67" s="661"/>
      <c r="B67" s="662"/>
      <c r="C67" s="19"/>
      <c r="D67" s="189" t="s">
        <v>9</v>
      </c>
      <c r="E67" s="337" t="s">
        <v>123</v>
      </c>
      <c r="F67" s="1735" t="s">
        <v>113</v>
      </c>
      <c r="G67" s="143" t="s">
        <v>14</v>
      </c>
      <c r="H67" s="1269" t="s">
        <v>35</v>
      </c>
      <c r="I67" s="1288" t="s">
        <v>133</v>
      </c>
      <c r="J67" s="98"/>
      <c r="K67" s="774"/>
      <c r="L67" s="611"/>
      <c r="M67" s="774"/>
      <c r="N67" s="726"/>
      <c r="O67" s="146"/>
      <c r="P67" s="158"/>
      <c r="Q67" s="170"/>
      <c r="R67" s="241"/>
      <c r="S67" s="416"/>
      <c r="T67" s="379"/>
      <c r="U67" s="416"/>
      <c r="V67" s="409"/>
      <c r="W67" s="176"/>
      <c r="X67" s="170"/>
      <c r="Y67" s="922"/>
      <c r="Z67" s="539"/>
      <c r="AA67" s="82"/>
      <c r="AB67" s="81"/>
      <c r="AD67" s="123"/>
    </row>
    <row r="68" spans="1:34" ht="43.5" customHeight="1" x14ac:dyDescent="0.2">
      <c r="A68" s="964"/>
      <c r="B68" s="947"/>
      <c r="C68" s="887"/>
      <c r="D68" s="968"/>
      <c r="E68" s="1048" t="s">
        <v>229</v>
      </c>
      <c r="F68" s="1736"/>
      <c r="G68" s="965"/>
      <c r="H68" s="966"/>
      <c r="I68" s="1299"/>
      <c r="J68" s="111" t="s">
        <v>12</v>
      </c>
      <c r="K68" s="681">
        <v>5</v>
      </c>
      <c r="L68" s="682">
        <v>5</v>
      </c>
      <c r="M68" s="682"/>
      <c r="N68" s="689"/>
      <c r="O68" s="112">
        <f>P68+R68</f>
        <v>20</v>
      </c>
      <c r="P68" s="159">
        <v>20</v>
      </c>
      <c r="Q68" s="773"/>
      <c r="R68" s="107"/>
      <c r="S68" s="423"/>
      <c r="T68" s="378"/>
      <c r="U68" s="423"/>
      <c r="V68" s="384"/>
      <c r="W68" s="674"/>
      <c r="X68" s="923"/>
      <c r="Y68" s="969" t="s">
        <v>252</v>
      </c>
      <c r="Z68" s="274">
        <v>1</v>
      </c>
      <c r="AA68" s="980"/>
      <c r="AB68" s="981"/>
    </row>
    <row r="69" spans="1:34" ht="54.75" customHeight="1" x14ac:dyDescent="0.2">
      <c r="A69" s="661"/>
      <c r="B69" s="662"/>
      <c r="C69" s="44"/>
      <c r="D69" s="332"/>
      <c r="E69" s="1280" t="s">
        <v>122</v>
      </c>
      <c r="F69" s="1316"/>
      <c r="G69" s="143"/>
      <c r="H69" s="354"/>
      <c r="I69" s="1288"/>
      <c r="J69" s="951" t="s">
        <v>12</v>
      </c>
      <c r="K69" s="776">
        <f>L69+N69</f>
        <v>15</v>
      </c>
      <c r="L69" s="744">
        <v>15</v>
      </c>
      <c r="M69" s="776"/>
      <c r="N69" s="767"/>
      <c r="O69" s="967"/>
      <c r="P69" s="167"/>
      <c r="Q69" s="222"/>
      <c r="R69" s="119"/>
      <c r="S69" s="417"/>
      <c r="T69" s="420"/>
      <c r="U69" s="417"/>
      <c r="V69" s="418"/>
      <c r="W69" s="925"/>
      <c r="X69" s="222"/>
      <c r="Y69" s="924"/>
      <c r="Z69" s="1249"/>
      <c r="AA69" s="1251"/>
      <c r="AB69" s="1253"/>
      <c r="AD69" s="123"/>
      <c r="AH69" s="123"/>
    </row>
    <row r="70" spans="1:34" ht="14.25" customHeight="1" x14ac:dyDescent="0.2">
      <c r="A70" s="661"/>
      <c r="B70" s="662"/>
      <c r="C70" s="19"/>
      <c r="D70" s="332"/>
      <c r="E70" s="1730" t="s">
        <v>119</v>
      </c>
      <c r="F70" s="1782"/>
      <c r="G70" s="143"/>
      <c r="H70" s="354"/>
      <c r="I70" s="1288"/>
      <c r="J70" s="240" t="s">
        <v>12</v>
      </c>
      <c r="K70" s="690">
        <f>L70+N70</f>
        <v>20</v>
      </c>
      <c r="L70" s="367">
        <v>20</v>
      </c>
      <c r="M70" s="367"/>
      <c r="N70" s="691"/>
      <c r="O70" s="109"/>
      <c r="P70" s="165"/>
      <c r="Q70" s="165"/>
      <c r="R70" s="218"/>
      <c r="S70" s="385"/>
      <c r="T70" s="386"/>
      <c r="U70" s="386"/>
      <c r="V70" s="387"/>
      <c r="W70" s="219"/>
      <c r="X70" s="173"/>
      <c r="Y70" s="1781"/>
      <c r="Z70" s="1249"/>
      <c r="AA70" s="1251"/>
      <c r="AB70" s="1253"/>
      <c r="AC70" s="1138"/>
    </row>
    <row r="71" spans="1:34" ht="14.25" customHeight="1" x14ac:dyDescent="0.2">
      <c r="A71" s="661"/>
      <c r="B71" s="662"/>
      <c r="C71" s="19"/>
      <c r="D71" s="189"/>
      <c r="E71" s="1538"/>
      <c r="F71" s="1782"/>
      <c r="G71" s="143"/>
      <c r="H71" s="354"/>
      <c r="I71" s="1288"/>
      <c r="J71" s="125"/>
      <c r="K71" s="743"/>
      <c r="L71" s="744"/>
      <c r="M71" s="744"/>
      <c r="N71" s="767"/>
      <c r="O71" s="118"/>
      <c r="P71" s="167"/>
      <c r="Q71" s="167"/>
      <c r="R71" s="119"/>
      <c r="S71" s="419"/>
      <c r="T71" s="420"/>
      <c r="U71" s="420"/>
      <c r="V71" s="418"/>
      <c r="W71" s="925"/>
      <c r="X71" s="222"/>
      <c r="Y71" s="1781"/>
      <c r="Z71" s="540"/>
      <c r="AA71" s="82"/>
      <c r="AB71" s="81"/>
    </row>
    <row r="72" spans="1:34" x14ac:dyDescent="0.2">
      <c r="A72" s="137"/>
      <c r="B72" s="32"/>
      <c r="C72" s="44"/>
      <c r="D72" s="338"/>
      <c r="E72" s="1731"/>
      <c r="F72" s="1"/>
      <c r="G72" s="143"/>
      <c r="H72" s="966"/>
      <c r="I72" s="1299"/>
      <c r="J72" s="412" t="s">
        <v>16</v>
      </c>
      <c r="K72" s="411">
        <f>L72+N72</f>
        <v>40</v>
      </c>
      <c r="L72" s="403">
        <f>SUM(L68:L71)</f>
        <v>40</v>
      </c>
      <c r="M72" s="411"/>
      <c r="N72" s="404"/>
      <c r="O72" s="413">
        <f>SUM(O68:O71)</f>
        <v>20</v>
      </c>
      <c r="P72" s="403">
        <f>SUM(P68:P71)</f>
        <v>20</v>
      </c>
      <c r="Q72" s="411"/>
      <c r="R72" s="414"/>
      <c r="S72" s="411"/>
      <c r="T72" s="403"/>
      <c r="U72" s="411"/>
      <c r="V72" s="404"/>
      <c r="W72" s="785"/>
      <c r="X72" s="411"/>
      <c r="Y72" s="924"/>
      <c r="Z72" s="540"/>
      <c r="AA72" s="82"/>
      <c r="AB72" s="81"/>
      <c r="AD72" s="123"/>
    </row>
    <row r="73" spans="1:34" ht="13.5" customHeight="1" x14ac:dyDescent="0.2">
      <c r="A73" s="897"/>
      <c r="B73" s="32"/>
      <c r="C73" s="44"/>
      <c r="D73" s="189" t="s">
        <v>10</v>
      </c>
      <c r="E73" s="1550" t="s">
        <v>222</v>
      </c>
      <c r="F73" s="1033"/>
      <c r="G73" s="1034"/>
      <c r="H73" s="908" t="s">
        <v>210</v>
      </c>
      <c r="I73" s="1783" t="s">
        <v>211</v>
      </c>
      <c r="J73" s="901" t="s">
        <v>12</v>
      </c>
      <c r="K73" s="898"/>
      <c r="L73" s="711"/>
      <c r="M73" s="898"/>
      <c r="N73" s="712"/>
      <c r="O73" s="899">
        <f>P73+R73</f>
        <v>36.299999999999997</v>
      </c>
      <c r="P73" s="367"/>
      <c r="Q73" s="709"/>
      <c r="R73" s="900">
        <v>36.299999999999997</v>
      </c>
      <c r="S73" s="411"/>
      <c r="T73" s="403"/>
      <c r="U73" s="411"/>
      <c r="V73" s="404"/>
      <c r="W73" s="926"/>
      <c r="X73" s="898"/>
      <c r="Y73" s="1691" t="s">
        <v>214</v>
      </c>
      <c r="Z73" s="927"/>
      <c r="AA73" s="928">
        <v>1</v>
      </c>
      <c r="AB73" s="929" t="s">
        <v>215</v>
      </c>
      <c r="AD73" s="123"/>
    </row>
    <row r="74" spans="1:34" ht="13.5" customHeight="1" x14ac:dyDescent="0.2">
      <c r="A74" s="897"/>
      <c r="B74" s="32"/>
      <c r="C74" s="44"/>
      <c r="D74" s="189"/>
      <c r="E74" s="1450"/>
      <c r="F74" s="1"/>
      <c r="G74" s="143"/>
      <c r="H74" s="1269"/>
      <c r="I74" s="1750"/>
      <c r="J74" s="901" t="s">
        <v>29</v>
      </c>
      <c r="K74" s="898"/>
      <c r="L74" s="711"/>
      <c r="M74" s="898"/>
      <c r="N74" s="712"/>
      <c r="O74" s="899"/>
      <c r="P74" s="367"/>
      <c r="Q74" s="709"/>
      <c r="R74" s="900"/>
      <c r="S74" s="411"/>
      <c r="T74" s="403"/>
      <c r="U74" s="411"/>
      <c r="V74" s="404"/>
      <c r="W74" s="902">
        <v>148.69999999999999</v>
      </c>
      <c r="X74" s="709">
        <v>634.9</v>
      </c>
      <c r="Y74" s="1692"/>
      <c r="Z74" s="1017"/>
      <c r="AA74" s="1018"/>
      <c r="AB74" s="930"/>
      <c r="AD74" s="123"/>
    </row>
    <row r="75" spans="1:34" ht="13.5" customHeight="1" x14ac:dyDescent="0.2">
      <c r="A75" s="897"/>
      <c r="B75" s="32"/>
      <c r="C75" s="44"/>
      <c r="D75" s="189"/>
      <c r="E75" s="1450"/>
      <c r="F75" s="1"/>
      <c r="G75" s="143"/>
      <c r="H75" s="1269"/>
      <c r="I75" s="1750"/>
      <c r="J75" s="901" t="s">
        <v>213</v>
      </c>
      <c r="K75" s="898"/>
      <c r="L75" s="711"/>
      <c r="M75" s="898"/>
      <c r="N75" s="712"/>
      <c r="O75" s="899"/>
      <c r="P75" s="367"/>
      <c r="Q75" s="709"/>
      <c r="R75" s="900"/>
      <c r="S75" s="411"/>
      <c r="T75" s="403"/>
      <c r="U75" s="411"/>
      <c r="V75" s="404"/>
      <c r="W75" s="902"/>
      <c r="X75" s="709">
        <v>120.2</v>
      </c>
      <c r="Y75" s="1692"/>
      <c r="Z75" s="1017"/>
      <c r="AA75" s="1018"/>
      <c r="AB75" s="930">
        <v>30</v>
      </c>
      <c r="AD75" s="123"/>
    </row>
    <row r="76" spans="1:34" x14ac:dyDescent="0.2">
      <c r="A76" s="897"/>
      <c r="B76" s="32"/>
      <c r="C76" s="44"/>
      <c r="D76" s="189"/>
      <c r="E76" s="1688"/>
      <c r="F76" s="903"/>
      <c r="G76" s="143"/>
      <c r="H76" s="1269"/>
      <c r="I76" s="1750"/>
      <c r="J76" s="412" t="s">
        <v>16</v>
      </c>
      <c r="K76" s="411"/>
      <c r="L76" s="403"/>
      <c r="M76" s="411"/>
      <c r="N76" s="404"/>
      <c r="O76" s="413">
        <f>SUM(O73)</f>
        <v>36.299999999999997</v>
      </c>
      <c r="P76" s="403"/>
      <c r="Q76" s="411"/>
      <c r="R76" s="414">
        <f>SUM(R73)</f>
        <v>36.299999999999997</v>
      </c>
      <c r="S76" s="411"/>
      <c r="T76" s="403"/>
      <c r="U76" s="411"/>
      <c r="V76" s="404"/>
      <c r="W76" s="785">
        <f>SUM(W74:W75)</f>
        <v>148.69999999999999</v>
      </c>
      <c r="X76" s="411">
        <f>SUM(X74:X75)</f>
        <v>755.1</v>
      </c>
      <c r="Y76" s="1693"/>
      <c r="Z76" s="1017"/>
      <c r="AA76" s="1019"/>
      <c r="AB76" s="930"/>
      <c r="AD76" s="123"/>
    </row>
    <row r="77" spans="1:34" ht="25.5" customHeight="1" x14ac:dyDescent="0.2">
      <c r="A77" s="661"/>
      <c r="B77" s="662"/>
      <c r="C77" s="19"/>
      <c r="D77" s="188" t="s">
        <v>11</v>
      </c>
      <c r="E77" s="1550" t="s">
        <v>269</v>
      </c>
      <c r="F77" s="1735"/>
      <c r="G77" s="143"/>
      <c r="H77" s="1686"/>
      <c r="I77" s="1750"/>
      <c r="J77" s="108" t="s">
        <v>12</v>
      </c>
      <c r="K77" s="690"/>
      <c r="L77" s="367"/>
      <c r="M77" s="367"/>
      <c r="N77" s="691"/>
      <c r="O77" s="109">
        <f>P77+R77</f>
        <v>15</v>
      </c>
      <c r="P77" s="165"/>
      <c r="Q77" s="165"/>
      <c r="R77" s="218">
        <v>15</v>
      </c>
      <c r="S77" s="385"/>
      <c r="T77" s="386"/>
      <c r="U77" s="386"/>
      <c r="V77" s="387"/>
      <c r="W77" s="219">
        <v>50</v>
      </c>
      <c r="X77" s="59">
        <v>50</v>
      </c>
      <c r="Y77" s="1691" t="s">
        <v>216</v>
      </c>
      <c r="Z77" s="975"/>
      <c r="AA77" s="976"/>
      <c r="AB77" s="977">
        <v>1</v>
      </c>
      <c r="AD77" s="123"/>
    </row>
    <row r="78" spans="1:34" ht="25.5" customHeight="1" x14ac:dyDescent="0.2">
      <c r="A78" s="661"/>
      <c r="B78" s="662"/>
      <c r="C78" s="19"/>
      <c r="D78" s="189"/>
      <c r="E78" s="1450"/>
      <c r="F78" s="1735"/>
      <c r="G78" s="143"/>
      <c r="H78" s="1686"/>
      <c r="I78" s="1750"/>
      <c r="J78" s="98"/>
      <c r="K78" s="904"/>
      <c r="L78" s="703"/>
      <c r="M78" s="774"/>
      <c r="N78" s="726"/>
      <c r="O78" s="905"/>
      <c r="P78" s="161"/>
      <c r="Q78" s="170"/>
      <c r="R78" s="241"/>
      <c r="S78" s="906"/>
      <c r="T78" s="395"/>
      <c r="U78" s="416"/>
      <c r="V78" s="409"/>
      <c r="W78" s="176"/>
      <c r="X78" s="60"/>
      <c r="Y78" s="1692"/>
      <c r="Z78" s="1249"/>
      <c r="AA78" s="1251"/>
      <c r="AB78" s="931"/>
      <c r="AD78" s="123"/>
    </row>
    <row r="79" spans="1:34" ht="16.5" customHeight="1" x14ac:dyDescent="0.2">
      <c r="A79" s="29"/>
      <c r="B79" s="32"/>
      <c r="C79" s="44"/>
      <c r="D79" s="190"/>
      <c r="E79" s="1450"/>
      <c r="F79" s="1735"/>
      <c r="G79" s="143"/>
      <c r="H79" s="1686"/>
      <c r="I79" s="1750"/>
      <c r="J79" s="412" t="s">
        <v>16</v>
      </c>
      <c r="K79" s="411"/>
      <c r="L79" s="403"/>
      <c r="M79" s="411"/>
      <c r="N79" s="404"/>
      <c r="O79" s="413">
        <f>SUM(O77:O78)</f>
        <v>15</v>
      </c>
      <c r="P79" s="403"/>
      <c r="Q79" s="411"/>
      <c r="R79" s="414">
        <f>SUM(R77:R78)</f>
        <v>15</v>
      </c>
      <c r="S79" s="411"/>
      <c r="T79" s="403"/>
      <c r="U79" s="411"/>
      <c r="V79" s="404"/>
      <c r="W79" s="785">
        <f>SUM(W77:W78)</f>
        <v>50</v>
      </c>
      <c r="X79" s="411">
        <f>SUM(X77:X78)</f>
        <v>50</v>
      </c>
      <c r="Y79" s="1693"/>
      <c r="Z79" s="1020"/>
      <c r="AA79" s="730"/>
      <c r="AB79" s="1293"/>
      <c r="AD79" s="123"/>
    </row>
    <row r="80" spans="1:34" ht="17.25" customHeight="1" x14ac:dyDescent="0.2">
      <c r="A80" s="661"/>
      <c r="B80" s="662"/>
      <c r="C80" s="19"/>
      <c r="D80" s="188" t="s">
        <v>13</v>
      </c>
      <c r="E80" s="1550" t="s">
        <v>217</v>
      </c>
      <c r="F80" s="1735"/>
      <c r="G80" s="143"/>
      <c r="H80" s="1686"/>
      <c r="I80" s="1750"/>
      <c r="J80" s="108" t="s">
        <v>12</v>
      </c>
      <c r="K80" s="690"/>
      <c r="L80" s="367"/>
      <c r="M80" s="367"/>
      <c r="N80" s="691"/>
      <c r="O80" s="109">
        <f>P80+R80</f>
        <v>31</v>
      </c>
      <c r="P80" s="165"/>
      <c r="Q80" s="165"/>
      <c r="R80" s="218">
        <v>31</v>
      </c>
      <c r="S80" s="385"/>
      <c r="T80" s="386"/>
      <c r="U80" s="386"/>
      <c r="V80" s="387"/>
      <c r="W80" s="219"/>
      <c r="X80" s="59"/>
      <c r="Y80" s="1488" t="s">
        <v>220</v>
      </c>
      <c r="Z80" s="927"/>
      <c r="AA80" s="928">
        <v>1</v>
      </c>
      <c r="AB80" s="932"/>
      <c r="AD80" s="123"/>
    </row>
    <row r="81" spans="1:34" ht="17.25" customHeight="1" x14ac:dyDescent="0.2">
      <c r="A81" s="661"/>
      <c r="B81" s="662"/>
      <c r="C81" s="19"/>
      <c r="D81" s="189"/>
      <c r="E81" s="1450"/>
      <c r="F81" s="1735"/>
      <c r="G81" s="143"/>
      <c r="H81" s="1686"/>
      <c r="I81" s="1750"/>
      <c r="J81" s="108" t="s">
        <v>29</v>
      </c>
      <c r="K81" s="780"/>
      <c r="L81" s="781"/>
      <c r="M81" s="709"/>
      <c r="N81" s="691"/>
      <c r="O81" s="124"/>
      <c r="P81" s="162"/>
      <c r="Q81" s="173"/>
      <c r="R81" s="218"/>
      <c r="S81" s="421"/>
      <c r="T81" s="422"/>
      <c r="U81" s="402"/>
      <c r="V81" s="387"/>
      <c r="W81" s="219">
        <v>49</v>
      </c>
      <c r="X81" s="59">
        <v>391</v>
      </c>
      <c r="Y81" s="1489"/>
      <c r="Z81" s="1249"/>
      <c r="AA81" s="1251"/>
      <c r="AB81" s="931"/>
      <c r="AC81" s="1138"/>
    </row>
    <row r="82" spans="1:34" ht="17.25" customHeight="1" x14ac:dyDescent="0.2">
      <c r="A82" s="29"/>
      <c r="B82" s="32"/>
      <c r="C82" s="44"/>
      <c r="D82" s="190"/>
      <c r="E82" s="1450"/>
      <c r="F82" s="1735"/>
      <c r="G82" s="143"/>
      <c r="H82" s="1686"/>
      <c r="I82" s="1750"/>
      <c r="J82" s="907" t="s">
        <v>213</v>
      </c>
      <c r="K82" s="688"/>
      <c r="L82" s="682"/>
      <c r="M82" s="682"/>
      <c r="N82" s="689"/>
      <c r="O82" s="112"/>
      <c r="P82" s="159"/>
      <c r="Q82" s="159"/>
      <c r="R82" s="107"/>
      <c r="S82" s="383"/>
      <c r="T82" s="378"/>
      <c r="U82" s="378"/>
      <c r="V82" s="384"/>
      <c r="W82" s="674"/>
      <c r="X82" s="923">
        <v>69</v>
      </c>
      <c r="Y82" s="1488" t="s">
        <v>221</v>
      </c>
      <c r="Z82" s="1248"/>
      <c r="AA82" s="1250"/>
      <c r="AB82" s="934">
        <v>50</v>
      </c>
    </row>
    <row r="83" spans="1:34" ht="14.25" customHeight="1" x14ac:dyDescent="0.2">
      <c r="A83" s="29"/>
      <c r="B83" s="32"/>
      <c r="C83" s="44"/>
      <c r="D83" s="190"/>
      <c r="E83" s="1450"/>
      <c r="F83" s="1736"/>
      <c r="G83" s="965"/>
      <c r="H83" s="1686"/>
      <c r="I83" s="1773"/>
      <c r="J83" s="412" t="s">
        <v>16</v>
      </c>
      <c r="K83" s="411"/>
      <c r="L83" s="403"/>
      <c r="M83" s="411"/>
      <c r="N83" s="404"/>
      <c r="O83" s="413">
        <f>SUM(O80:O82)</f>
        <v>31</v>
      </c>
      <c r="P83" s="403"/>
      <c r="Q83" s="411"/>
      <c r="R83" s="414">
        <f>SUM(R80:R82)</f>
        <v>31</v>
      </c>
      <c r="S83" s="411"/>
      <c r="T83" s="403"/>
      <c r="U83" s="411"/>
      <c r="V83" s="404"/>
      <c r="W83" s="785">
        <f>SUM(W80:W82)</f>
        <v>49</v>
      </c>
      <c r="X83" s="411">
        <f>SUM(X81:X82)</f>
        <v>460</v>
      </c>
      <c r="Y83" s="1762"/>
      <c r="Z83" s="1020"/>
      <c r="AA83" s="730"/>
      <c r="AB83" s="1293"/>
      <c r="AD83" s="123"/>
    </row>
    <row r="84" spans="1:34" ht="13.5" thickBot="1" x14ac:dyDescent="0.25">
      <c r="A84" s="668"/>
      <c r="B84" s="33"/>
      <c r="C84" s="45"/>
      <c r="D84" s="669"/>
      <c r="E84" s="191"/>
      <c r="F84" s="191"/>
      <c r="G84" s="191"/>
      <c r="H84" s="192"/>
      <c r="I84" s="462"/>
      <c r="J84" s="131" t="s">
        <v>16</v>
      </c>
      <c r="K84" s="220">
        <f>K79+K72</f>
        <v>40</v>
      </c>
      <c r="L84" s="152">
        <f>L79+L72</f>
        <v>40</v>
      </c>
      <c r="M84" s="132">
        <f>M72+M79</f>
        <v>0</v>
      </c>
      <c r="N84" s="368">
        <f>N72+N79</f>
        <v>0</v>
      </c>
      <c r="O84" s="220">
        <f>O72+O79+O83+O76</f>
        <v>102.3</v>
      </c>
      <c r="P84" s="152">
        <f>P72+P79+P83+P76</f>
        <v>20</v>
      </c>
      <c r="Q84" s="941">
        <f t="shared" ref="Q84:X84" si="9">Q72+Q79+Q83+Q76</f>
        <v>0</v>
      </c>
      <c r="R84" s="132">
        <f>R72+R79+R83+R76</f>
        <v>82.3</v>
      </c>
      <c r="S84" s="220">
        <f t="shared" si="9"/>
        <v>0</v>
      </c>
      <c r="T84" s="152">
        <f t="shared" si="9"/>
        <v>0</v>
      </c>
      <c r="U84" s="132">
        <f t="shared" si="9"/>
        <v>0</v>
      </c>
      <c r="V84" s="942">
        <f t="shared" si="9"/>
        <v>0</v>
      </c>
      <c r="W84" s="220">
        <f>W72+W79+W83+W76</f>
        <v>247.7</v>
      </c>
      <c r="X84" s="220">
        <f t="shared" si="9"/>
        <v>1265.0999999999999</v>
      </c>
      <c r="Y84" s="933"/>
      <c r="Z84" s="1021"/>
      <c r="AA84" s="1022"/>
      <c r="AB84" s="1023"/>
    </row>
    <row r="85" spans="1:34" ht="43.5" customHeight="1" x14ac:dyDescent="0.2">
      <c r="A85" s="21" t="s">
        <v>9</v>
      </c>
      <c r="B85" s="27" t="s">
        <v>10</v>
      </c>
      <c r="C85" s="22" t="s">
        <v>11</v>
      </c>
      <c r="D85" s="194"/>
      <c r="E85" s="195" t="s">
        <v>56</v>
      </c>
      <c r="F85" s="1317"/>
      <c r="G85" s="1262" t="s">
        <v>14</v>
      </c>
      <c r="H85" s="1264">
        <v>6</v>
      </c>
      <c r="I85" s="1753" t="s">
        <v>134</v>
      </c>
      <c r="J85" s="183"/>
      <c r="K85" s="784"/>
      <c r="L85" s="686"/>
      <c r="M85" s="784"/>
      <c r="N85" s="687"/>
      <c r="O85" s="939"/>
      <c r="P85" s="186"/>
      <c r="Q85" s="155"/>
      <c r="R85" s="61"/>
      <c r="S85" s="429"/>
      <c r="T85" s="381"/>
      <c r="U85" s="429"/>
      <c r="V85" s="382"/>
      <c r="W85" s="62"/>
      <c r="X85" s="57"/>
      <c r="Y85" s="114"/>
      <c r="Z85" s="115"/>
      <c r="AA85" s="116"/>
      <c r="AB85" s="117"/>
    </row>
    <row r="86" spans="1:34" ht="27" customHeight="1" x14ac:dyDescent="0.2">
      <c r="A86" s="661"/>
      <c r="B86" s="662"/>
      <c r="C86" s="19"/>
      <c r="D86" s="188" t="s">
        <v>9</v>
      </c>
      <c r="E86" s="1550" t="s">
        <v>225</v>
      </c>
      <c r="F86" s="141"/>
      <c r="G86" s="143"/>
      <c r="H86" s="594"/>
      <c r="I86" s="1754"/>
      <c r="J86" s="108" t="s">
        <v>12</v>
      </c>
      <c r="K86" s="709"/>
      <c r="L86" s="367"/>
      <c r="M86" s="709"/>
      <c r="N86" s="691"/>
      <c r="O86" s="247">
        <f>P86+R86</f>
        <v>20</v>
      </c>
      <c r="P86" s="165">
        <v>20</v>
      </c>
      <c r="Q86" s="164"/>
      <c r="R86" s="59"/>
      <c r="S86" s="402"/>
      <c r="T86" s="386"/>
      <c r="U86" s="402"/>
      <c r="V86" s="387"/>
      <c r="W86" s="219"/>
      <c r="X86" s="173"/>
      <c r="Y86" s="1772" t="s">
        <v>230</v>
      </c>
      <c r="Z86" s="1774">
        <v>1</v>
      </c>
      <c r="AA86" s="1758"/>
      <c r="AB86" s="1760"/>
    </row>
    <row r="87" spans="1:34" x14ac:dyDescent="0.2">
      <c r="A87" s="661"/>
      <c r="B87" s="662"/>
      <c r="C87" s="44"/>
      <c r="D87" s="190"/>
      <c r="E87" s="1688"/>
      <c r="F87" s="141"/>
      <c r="G87" s="143"/>
      <c r="H87" s="594"/>
      <c r="I87" s="1754"/>
      <c r="J87" s="426" t="s">
        <v>16</v>
      </c>
      <c r="K87" s="424"/>
      <c r="L87" s="430"/>
      <c r="M87" s="424"/>
      <c r="N87" s="425"/>
      <c r="O87" s="427">
        <f>O86</f>
        <v>20</v>
      </c>
      <c r="P87" s="430">
        <f>P86</f>
        <v>20</v>
      </c>
      <c r="Q87" s="940"/>
      <c r="R87" s="432"/>
      <c r="S87" s="424"/>
      <c r="T87" s="430"/>
      <c r="U87" s="424"/>
      <c r="V87" s="425"/>
      <c r="W87" s="428"/>
      <c r="X87" s="432"/>
      <c r="Y87" s="1537"/>
      <c r="Z87" s="1775"/>
      <c r="AA87" s="1759"/>
      <c r="AB87" s="1761"/>
      <c r="AD87" s="123"/>
    </row>
    <row r="88" spans="1:34" ht="22.5" customHeight="1" x14ac:dyDescent="0.2">
      <c r="A88" s="661"/>
      <c r="B88" s="662"/>
      <c r="C88" s="19"/>
      <c r="D88" s="188" t="s">
        <v>10</v>
      </c>
      <c r="E88" s="1550" t="s">
        <v>199</v>
      </c>
      <c r="F88" s="1735"/>
      <c r="G88" s="1558"/>
      <c r="H88" s="1559"/>
      <c r="I88" s="876"/>
      <c r="J88" s="111" t="s">
        <v>12</v>
      </c>
      <c r="K88" s="173"/>
      <c r="L88" s="165"/>
      <c r="M88" s="173"/>
      <c r="N88" s="782"/>
      <c r="O88" s="772">
        <f>P88+R88</f>
        <v>123.7</v>
      </c>
      <c r="P88" s="159"/>
      <c r="Q88" s="909"/>
      <c r="R88" s="59">
        <v>123.7</v>
      </c>
      <c r="S88" s="402"/>
      <c r="T88" s="386"/>
      <c r="U88" s="402"/>
      <c r="V88" s="387"/>
      <c r="W88" s="219"/>
      <c r="X88" s="173"/>
      <c r="Y88" s="675" t="s">
        <v>275</v>
      </c>
      <c r="Z88" s="779">
        <v>1</v>
      </c>
      <c r="AA88" s="1024"/>
      <c r="AB88" s="934"/>
      <c r="AD88" s="123"/>
    </row>
    <row r="89" spans="1:34" ht="22.5" customHeight="1" x14ac:dyDescent="0.2">
      <c r="A89" s="661"/>
      <c r="B89" s="662"/>
      <c r="C89" s="19"/>
      <c r="D89" s="189"/>
      <c r="E89" s="1450"/>
      <c r="F89" s="1735"/>
      <c r="G89" s="1558"/>
      <c r="H89" s="1559"/>
      <c r="I89" s="876"/>
      <c r="J89" s="346" t="s">
        <v>20</v>
      </c>
      <c r="K89" s="173"/>
      <c r="L89" s="165"/>
      <c r="M89" s="173"/>
      <c r="N89" s="782"/>
      <c r="O89" s="247">
        <f>P89+R89</f>
        <v>163.1</v>
      </c>
      <c r="P89" s="165"/>
      <c r="Q89" s="164"/>
      <c r="R89" s="59">
        <v>163.1</v>
      </c>
      <c r="S89" s="421"/>
      <c r="T89" s="422"/>
      <c r="U89" s="402"/>
      <c r="V89" s="387"/>
      <c r="W89" s="219"/>
      <c r="X89" s="59"/>
      <c r="Y89" s="1536"/>
      <c r="Z89" s="336"/>
      <c r="AA89" s="1251"/>
      <c r="AB89" s="931"/>
      <c r="AF89" s="123"/>
    </row>
    <row r="90" spans="1:34" ht="21" customHeight="1" x14ac:dyDescent="0.2">
      <c r="A90" s="29"/>
      <c r="B90" s="32"/>
      <c r="C90" s="44"/>
      <c r="D90" s="193"/>
      <c r="E90" s="1688"/>
      <c r="F90" s="1735"/>
      <c r="G90" s="1558"/>
      <c r="H90" s="1559"/>
      <c r="I90" s="876"/>
      <c r="J90" s="426" t="s">
        <v>16</v>
      </c>
      <c r="K90" s="424"/>
      <c r="L90" s="430"/>
      <c r="M90" s="424"/>
      <c r="N90" s="425"/>
      <c r="O90" s="427">
        <f>SUM(O88:O89)</f>
        <v>286.8</v>
      </c>
      <c r="P90" s="430"/>
      <c r="Q90" s="940"/>
      <c r="R90" s="432">
        <f>SUM(R88:R89)</f>
        <v>286.8</v>
      </c>
      <c r="S90" s="424"/>
      <c r="T90" s="430"/>
      <c r="U90" s="424"/>
      <c r="V90" s="425"/>
      <c r="W90" s="428"/>
      <c r="X90" s="424"/>
      <c r="Y90" s="1537"/>
      <c r="Z90" s="1025"/>
      <c r="AA90" s="730"/>
      <c r="AB90" s="1293"/>
      <c r="AD90" s="123"/>
    </row>
    <row r="91" spans="1:34" ht="18" customHeight="1" x14ac:dyDescent="0.2">
      <c r="A91" s="661"/>
      <c r="B91" s="662"/>
      <c r="C91" s="19"/>
      <c r="D91" s="188" t="s">
        <v>11</v>
      </c>
      <c r="E91" s="1550" t="s">
        <v>265</v>
      </c>
      <c r="F91" s="1735"/>
      <c r="G91" s="1558"/>
      <c r="H91" s="1559"/>
      <c r="I91" s="876"/>
      <c r="J91" s="108" t="s">
        <v>12</v>
      </c>
      <c r="K91" s="173"/>
      <c r="L91" s="165"/>
      <c r="M91" s="173"/>
      <c r="N91" s="782"/>
      <c r="O91" s="247">
        <f>P91+R91</f>
        <v>350</v>
      </c>
      <c r="P91" s="367"/>
      <c r="Q91" s="164"/>
      <c r="R91" s="59">
        <v>350</v>
      </c>
      <c r="S91" s="402"/>
      <c r="T91" s="386"/>
      <c r="U91" s="402"/>
      <c r="V91" s="387"/>
      <c r="W91" s="219"/>
      <c r="X91" s="59"/>
      <c r="Y91" s="1772" t="s">
        <v>218</v>
      </c>
      <c r="Z91" s="779">
        <v>1</v>
      </c>
      <c r="AA91" s="1024"/>
      <c r="AB91" s="934"/>
      <c r="AD91" s="123"/>
    </row>
    <row r="92" spans="1:34" ht="18" customHeight="1" x14ac:dyDescent="0.2">
      <c r="A92" s="661"/>
      <c r="B92" s="662"/>
      <c r="C92" s="19"/>
      <c r="D92" s="189"/>
      <c r="E92" s="1450"/>
      <c r="F92" s="1735"/>
      <c r="G92" s="1558"/>
      <c r="H92" s="1559"/>
      <c r="I92" s="876"/>
      <c r="J92" s="637"/>
      <c r="K92" s="170"/>
      <c r="L92" s="158"/>
      <c r="M92" s="170"/>
      <c r="N92" s="171"/>
      <c r="O92" s="146"/>
      <c r="P92" s="158"/>
      <c r="Q92" s="157"/>
      <c r="R92" s="60"/>
      <c r="S92" s="906"/>
      <c r="T92" s="395"/>
      <c r="U92" s="416"/>
      <c r="V92" s="409"/>
      <c r="W92" s="176"/>
      <c r="X92" s="60"/>
      <c r="Y92" s="1536"/>
      <c r="Z92" s="336"/>
      <c r="AA92" s="1251"/>
      <c r="AB92" s="931"/>
      <c r="AH92" s="123"/>
    </row>
    <row r="93" spans="1:34" ht="18" customHeight="1" x14ac:dyDescent="0.2">
      <c r="A93" s="29"/>
      <c r="B93" s="32"/>
      <c r="C93" s="44"/>
      <c r="D93" s="193"/>
      <c r="E93" s="1688"/>
      <c r="F93" s="1735"/>
      <c r="G93" s="1558"/>
      <c r="H93" s="1559"/>
      <c r="I93" s="876"/>
      <c r="J93" s="426" t="s">
        <v>16</v>
      </c>
      <c r="K93" s="424"/>
      <c r="L93" s="430"/>
      <c r="M93" s="424"/>
      <c r="N93" s="425"/>
      <c r="O93" s="427">
        <f>SUM(O91:O92)</f>
        <v>350</v>
      </c>
      <c r="P93" s="430"/>
      <c r="Q93" s="940"/>
      <c r="R93" s="432">
        <f>SUM(R91:R92)</f>
        <v>350</v>
      </c>
      <c r="S93" s="424"/>
      <c r="T93" s="430"/>
      <c r="U93" s="424"/>
      <c r="V93" s="425"/>
      <c r="W93" s="428"/>
      <c r="X93" s="424"/>
      <c r="Y93" s="1537"/>
      <c r="Z93" s="1025"/>
      <c r="AA93" s="730"/>
      <c r="AB93" s="1293"/>
      <c r="AD93" s="123"/>
    </row>
    <row r="94" spans="1:34" ht="28.5" customHeight="1" x14ac:dyDescent="0.2">
      <c r="A94" s="661"/>
      <c r="B94" s="662"/>
      <c r="C94" s="19"/>
      <c r="D94" s="188" t="s">
        <v>13</v>
      </c>
      <c r="E94" s="1550" t="s">
        <v>198</v>
      </c>
      <c r="F94" s="141"/>
      <c r="G94" s="143"/>
      <c r="H94" s="594"/>
      <c r="I94" s="876"/>
      <c r="J94" s="111" t="s">
        <v>12</v>
      </c>
      <c r="K94" s="709"/>
      <c r="L94" s="367"/>
      <c r="M94" s="709"/>
      <c r="N94" s="691"/>
      <c r="O94" s="247"/>
      <c r="P94" s="165"/>
      <c r="Q94" s="164"/>
      <c r="R94" s="59"/>
      <c r="S94" s="402"/>
      <c r="T94" s="386"/>
      <c r="U94" s="402"/>
      <c r="V94" s="387"/>
      <c r="W94" s="219">
        <v>108.9</v>
      </c>
      <c r="X94" s="173"/>
      <c r="Y94" s="1772" t="s">
        <v>226</v>
      </c>
      <c r="Z94" s="1774"/>
      <c r="AA94" s="1758">
        <v>100</v>
      </c>
      <c r="AB94" s="1760"/>
      <c r="AD94" s="123"/>
    </row>
    <row r="95" spans="1:34" x14ac:dyDescent="0.2">
      <c r="A95" s="964"/>
      <c r="B95" s="947"/>
      <c r="C95" s="970"/>
      <c r="D95" s="193"/>
      <c r="E95" s="1688"/>
      <c r="F95" s="766"/>
      <c r="G95" s="965"/>
      <c r="H95" s="982"/>
      <c r="I95" s="877"/>
      <c r="J95" s="426" t="s">
        <v>16</v>
      </c>
      <c r="K95" s="424"/>
      <c r="L95" s="430"/>
      <c r="M95" s="424"/>
      <c r="N95" s="425"/>
      <c r="O95" s="427"/>
      <c r="P95" s="430"/>
      <c r="Q95" s="940"/>
      <c r="R95" s="432"/>
      <c r="S95" s="424"/>
      <c r="T95" s="430"/>
      <c r="U95" s="424"/>
      <c r="V95" s="425"/>
      <c r="W95" s="428">
        <f>SUM(W94)</f>
        <v>108.9</v>
      </c>
      <c r="X95" s="432"/>
      <c r="Y95" s="1537"/>
      <c r="Z95" s="1775"/>
      <c r="AA95" s="1759"/>
      <c r="AB95" s="1761"/>
      <c r="AD95" s="123"/>
    </row>
    <row r="96" spans="1:34" ht="17.25" customHeight="1" x14ac:dyDescent="0.2">
      <c r="A96" s="661"/>
      <c r="B96" s="662"/>
      <c r="C96" s="19"/>
      <c r="D96" s="189" t="s">
        <v>41</v>
      </c>
      <c r="E96" s="1538" t="s">
        <v>168</v>
      </c>
      <c r="F96" s="141"/>
      <c r="G96" s="143"/>
      <c r="H96" s="594"/>
      <c r="I96" s="876"/>
      <c r="J96" s="98" t="s">
        <v>12</v>
      </c>
      <c r="K96" s="774">
        <f>L96+N96</f>
        <v>10</v>
      </c>
      <c r="L96" s="611">
        <v>10</v>
      </c>
      <c r="M96" s="774"/>
      <c r="N96" s="726"/>
      <c r="O96" s="146"/>
      <c r="P96" s="158"/>
      <c r="Q96" s="157"/>
      <c r="R96" s="60"/>
      <c r="S96" s="416"/>
      <c r="T96" s="379"/>
      <c r="U96" s="416"/>
      <c r="V96" s="409"/>
      <c r="W96" s="176"/>
      <c r="X96" s="170"/>
      <c r="Y96" s="1536"/>
      <c r="Z96" s="73"/>
      <c r="AA96" s="82"/>
      <c r="AB96" s="81"/>
    </row>
    <row r="97" spans="1:30" x14ac:dyDescent="0.2">
      <c r="A97" s="661"/>
      <c r="B97" s="662"/>
      <c r="C97" s="44"/>
      <c r="D97" s="190"/>
      <c r="E97" s="1731"/>
      <c r="F97" s="141"/>
      <c r="G97" s="143"/>
      <c r="H97" s="594"/>
      <c r="I97" s="876"/>
      <c r="J97" s="426" t="s">
        <v>16</v>
      </c>
      <c r="K97" s="424">
        <f>L97+N97</f>
        <v>10</v>
      </c>
      <c r="L97" s="430">
        <f>SUM(L96:L96)</f>
        <v>10</v>
      </c>
      <c r="M97" s="424"/>
      <c r="N97" s="425"/>
      <c r="O97" s="427"/>
      <c r="P97" s="430"/>
      <c r="Q97" s="940"/>
      <c r="R97" s="432"/>
      <c r="S97" s="424"/>
      <c r="T97" s="430"/>
      <c r="U97" s="424"/>
      <c r="V97" s="425"/>
      <c r="W97" s="428"/>
      <c r="X97" s="432"/>
      <c r="Y97" s="1537"/>
      <c r="Z97" s="73"/>
      <c r="AA97" s="82"/>
      <c r="AB97" s="81"/>
    </row>
    <row r="98" spans="1:30" ht="27" customHeight="1" x14ac:dyDescent="0.2">
      <c r="A98" s="661"/>
      <c r="B98" s="662"/>
      <c r="C98" s="19"/>
      <c r="D98" s="188" t="s">
        <v>57</v>
      </c>
      <c r="E98" s="1730" t="s">
        <v>118</v>
      </c>
      <c r="F98" s="141"/>
      <c r="G98" s="143"/>
      <c r="H98" s="594"/>
      <c r="I98" s="876"/>
      <c r="J98" s="108" t="s">
        <v>12</v>
      </c>
      <c r="K98" s="709">
        <f>L98+N98</f>
        <v>58.9</v>
      </c>
      <c r="L98" s="367">
        <v>58.9</v>
      </c>
      <c r="M98" s="709"/>
      <c r="N98" s="691"/>
      <c r="O98" s="247"/>
      <c r="P98" s="165"/>
      <c r="Q98" s="164"/>
      <c r="R98" s="59"/>
      <c r="S98" s="402"/>
      <c r="T98" s="386"/>
      <c r="U98" s="402"/>
      <c r="V98" s="387"/>
      <c r="W98" s="219"/>
      <c r="X98" s="173"/>
      <c r="Y98" s="1772"/>
      <c r="Z98" s="874"/>
      <c r="AA98" s="1292"/>
      <c r="AB98" s="934"/>
    </row>
    <row r="99" spans="1:30" ht="14.25" customHeight="1" x14ac:dyDescent="0.2">
      <c r="A99" s="661"/>
      <c r="B99" s="662"/>
      <c r="C99" s="44"/>
      <c r="D99" s="190"/>
      <c r="E99" s="1538"/>
      <c r="F99" s="141"/>
      <c r="G99" s="143"/>
      <c r="H99" s="594"/>
      <c r="I99" s="877"/>
      <c r="J99" s="426" t="s">
        <v>16</v>
      </c>
      <c r="K99" s="424">
        <f>L99+N99</f>
        <v>58.9</v>
      </c>
      <c r="L99" s="430">
        <f>SUM(L98:L98)</f>
        <v>58.9</v>
      </c>
      <c r="M99" s="424"/>
      <c r="N99" s="425"/>
      <c r="O99" s="427"/>
      <c r="P99" s="430"/>
      <c r="Q99" s="940"/>
      <c r="R99" s="432"/>
      <c r="S99" s="424"/>
      <c r="T99" s="430"/>
      <c r="U99" s="424"/>
      <c r="V99" s="425"/>
      <c r="W99" s="428"/>
      <c r="X99" s="432"/>
      <c r="Y99" s="1537"/>
      <c r="Z99" s="73"/>
      <c r="AA99" s="82"/>
      <c r="AB99" s="81"/>
    </row>
    <row r="100" spans="1:30" ht="13.5" thickBot="1" x14ac:dyDescent="0.25">
      <c r="A100" s="24"/>
      <c r="B100" s="14"/>
      <c r="C100" s="45"/>
      <c r="D100" s="196"/>
      <c r="E100" s="191"/>
      <c r="F100" s="191"/>
      <c r="G100" s="191"/>
      <c r="H100" s="191"/>
      <c r="I100" s="192"/>
      <c r="J100" s="131" t="s">
        <v>16</v>
      </c>
      <c r="K100" s="132">
        <f>K87+K99+K97+K95+K93+K90</f>
        <v>68.900000000000006</v>
      </c>
      <c r="L100" s="152">
        <f>L87+L99+L97+L95+L93+L90</f>
        <v>68.900000000000006</v>
      </c>
      <c r="M100" s="132">
        <f t="shared" ref="M100:X100" si="10">M87+M99+M97+M95+M93+M90</f>
        <v>0</v>
      </c>
      <c r="N100" s="368">
        <f t="shared" si="10"/>
        <v>0</v>
      </c>
      <c r="O100" s="973">
        <f>O87+O99+O97+O95+O93+O90</f>
        <v>656.8</v>
      </c>
      <c r="P100" s="132">
        <f>P87+P99+P97+P95+P93+P90</f>
        <v>20</v>
      </c>
      <c r="Q100" s="152">
        <f t="shared" si="10"/>
        <v>0</v>
      </c>
      <c r="R100" s="974">
        <f t="shared" si="10"/>
        <v>636.79999999999995</v>
      </c>
      <c r="S100" s="132">
        <f t="shared" si="10"/>
        <v>0</v>
      </c>
      <c r="T100" s="132">
        <f t="shared" si="10"/>
        <v>0</v>
      </c>
      <c r="U100" s="132">
        <f t="shared" si="10"/>
        <v>0</v>
      </c>
      <c r="V100" s="132">
        <f t="shared" si="10"/>
        <v>0</v>
      </c>
      <c r="W100" s="972">
        <f t="shared" si="10"/>
        <v>108.9</v>
      </c>
      <c r="X100" s="132">
        <f t="shared" si="10"/>
        <v>0</v>
      </c>
      <c r="Y100" s="151"/>
      <c r="Z100" s="1026"/>
      <c r="AA100" s="1022"/>
      <c r="AB100" s="1023"/>
    </row>
    <row r="101" spans="1:30" ht="13.5" thickBot="1" x14ac:dyDescent="0.25">
      <c r="A101" s="30" t="s">
        <v>9</v>
      </c>
      <c r="B101" s="33" t="s">
        <v>10</v>
      </c>
      <c r="C101" s="1701" t="s">
        <v>15</v>
      </c>
      <c r="D101" s="1529"/>
      <c r="E101" s="1529"/>
      <c r="F101" s="1529"/>
      <c r="G101" s="1529"/>
      <c r="H101" s="1529"/>
      <c r="I101" s="1529"/>
      <c r="J101" s="1530"/>
      <c r="K101" s="17">
        <f>L101+N101</f>
        <v>9515.4</v>
      </c>
      <c r="L101" s="15">
        <f>L100+L84+L65</f>
        <v>9438.9</v>
      </c>
      <c r="M101" s="15">
        <f t="shared" ref="M101:N101" si="11">M100+M84+M65</f>
        <v>4869.0999999999995</v>
      </c>
      <c r="N101" s="15">
        <f t="shared" si="11"/>
        <v>76.5</v>
      </c>
      <c r="O101" s="20">
        <f>O100+O84+O65</f>
        <v>11702.000000000004</v>
      </c>
      <c r="P101" s="15">
        <f>P100+P84+P65</f>
        <v>10911.400000000003</v>
      </c>
      <c r="Q101" s="17">
        <f t="shared" ref="Q101:X101" si="12">Q100+Q84+Q65</f>
        <v>5454.3</v>
      </c>
      <c r="R101" s="938">
        <f t="shared" si="12"/>
        <v>790.59999999999991</v>
      </c>
      <c r="S101" s="20">
        <f t="shared" si="12"/>
        <v>22.7</v>
      </c>
      <c r="T101" s="20">
        <f t="shared" si="12"/>
        <v>22.7</v>
      </c>
      <c r="U101" s="20">
        <f t="shared" si="12"/>
        <v>0</v>
      </c>
      <c r="V101" s="20">
        <f t="shared" si="12"/>
        <v>0</v>
      </c>
      <c r="W101" s="20">
        <f>W100+W84+W65</f>
        <v>10681.300000000001</v>
      </c>
      <c r="X101" s="20">
        <f t="shared" si="12"/>
        <v>10523.900000000001</v>
      </c>
      <c r="Y101" s="1485"/>
      <c r="Z101" s="1486"/>
      <c r="AA101" s="1486"/>
      <c r="AB101" s="1487"/>
    </row>
    <row r="102" spans="1:30" ht="13.5" customHeight="1" thickBot="1" x14ac:dyDescent="0.25">
      <c r="A102" s="18" t="s">
        <v>9</v>
      </c>
      <c r="B102" s="179" t="s">
        <v>11</v>
      </c>
      <c r="C102" s="1608" t="s">
        <v>161</v>
      </c>
      <c r="D102" s="1523"/>
      <c r="E102" s="1523"/>
      <c r="F102" s="1523"/>
      <c r="G102" s="1523"/>
      <c r="H102" s="1523"/>
      <c r="I102" s="1523"/>
      <c r="J102" s="1523"/>
      <c r="K102" s="1523"/>
      <c r="L102" s="1523"/>
      <c r="M102" s="1523"/>
      <c r="N102" s="1523"/>
      <c r="O102" s="1523"/>
      <c r="P102" s="1523"/>
      <c r="Q102" s="1523"/>
      <c r="R102" s="1523"/>
      <c r="S102" s="1523"/>
      <c r="T102" s="1523"/>
      <c r="U102" s="1523"/>
      <c r="V102" s="1523"/>
      <c r="W102" s="1523"/>
      <c r="X102" s="1523"/>
      <c r="Y102" s="1523"/>
      <c r="Z102" s="1523"/>
      <c r="AA102" s="1523"/>
      <c r="AB102" s="1524"/>
    </row>
    <row r="103" spans="1:30" ht="40.5" customHeight="1" x14ac:dyDescent="0.2">
      <c r="A103" s="21" t="s">
        <v>9</v>
      </c>
      <c r="B103" s="27" t="s">
        <v>11</v>
      </c>
      <c r="C103" s="22" t="s">
        <v>9</v>
      </c>
      <c r="D103" s="810"/>
      <c r="E103" s="553" t="s">
        <v>82</v>
      </c>
      <c r="F103" s="1318"/>
      <c r="G103" s="1262" t="s">
        <v>14</v>
      </c>
      <c r="H103" s="1264">
        <v>2</v>
      </c>
      <c r="I103" s="1289" t="s">
        <v>133</v>
      </c>
      <c r="J103" s="559"/>
      <c r="K103" s="811"/>
      <c r="L103" s="784"/>
      <c r="M103" s="686"/>
      <c r="N103" s="812"/>
      <c r="O103" s="92"/>
      <c r="P103" s="186"/>
      <c r="Q103" s="57"/>
      <c r="R103" s="96"/>
      <c r="S103" s="380"/>
      <c r="T103" s="429"/>
      <c r="U103" s="381"/>
      <c r="V103" s="429"/>
      <c r="W103" s="62"/>
      <c r="X103" s="62"/>
      <c r="Y103" s="284"/>
      <c r="Z103" s="115"/>
      <c r="AA103" s="116"/>
      <c r="AB103" s="117"/>
    </row>
    <row r="104" spans="1:30" ht="41.25" customHeight="1" x14ac:dyDescent="0.2">
      <c r="A104" s="661"/>
      <c r="B104" s="662"/>
      <c r="C104" s="19"/>
      <c r="D104" s="664" t="s">
        <v>9</v>
      </c>
      <c r="E104" s="813" t="s">
        <v>120</v>
      </c>
      <c r="F104" s="1313" t="s">
        <v>87</v>
      </c>
      <c r="G104" s="1263"/>
      <c r="H104" s="1265"/>
      <c r="I104" s="1290"/>
      <c r="J104" s="791" t="s">
        <v>12</v>
      </c>
      <c r="K104" s="795">
        <f>L104+N104</f>
        <v>10</v>
      </c>
      <c r="L104" s="788">
        <v>10</v>
      </c>
      <c r="M104" s="789"/>
      <c r="N104" s="796"/>
      <c r="O104" s="562">
        <f>P104+R104</f>
        <v>10</v>
      </c>
      <c r="P104" s="561">
        <v>10</v>
      </c>
      <c r="Q104" s="562"/>
      <c r="R104" s="563"/>
      <c r="S104" s="564">
        <f>T104+V104</f>
        <v>0</v>
      </c>
      <c r="T104" s="565">
        <v>0</v>
      </c>
      <c r="U104" s="566"/>
      <c r="V104" s="565"/>
      <c r="W104" s="567">
        <v>30</v>
      </c>
      <c r="X104" s="567">
        <v>40</v>
      </c>
      <c r="Y104" s="814" t="s">
        <v>253</v>
      </c>
      <c r="Z104" s="288">
        <v>1</v>
      </c>
      <c r="AA104" s="289">
        <v>1</v>
      </c>
      <c r="AB104" s="290">
        <v>1</v>
      </c>
      <c r="AC104" s="1138"/>
    </row>
    <row r="105" spans="1:30" ht="16.5" customHeight="1" x14ac:dyDescent="0.2">
      <c r="A105" s="661"/>
      <c r="B105" s="662"/>
      <c r="C105" s="19"/>
      <c r="D105" s="1295" t="s">
        <v>10</v>
      </c>
      <c r="E105" s="1769" t="s">
        <v>200</v>
      </c>
      <c r="F105" s="1770" t="s">
        <v>88</v>
      </c>
      <c r="G105" s="1263"/>
      <c r="H105" s="1265"/>
      <c r="I105" s="1290"/>
      <c r="J105" s="790" t="s">
        <v>12</v>
      </c>
      <c r="K105" s="793"/>
      <c r="L105" s="786"/>
      <c r="M105" s="787"/>
      <c r="N105" s="794"/>
      <c r="O105" s="287">
        <f>P105+R105</f>
        <v>50</v>
      </c>
      <c r="P105" s="286">
        <v>50</v>
      </c>
      <c r="Q105" s="287"/>
      <c r="R105" s="798"/>
      <c r="S105" s="799"/>
      <c r="T105" s="435"/>
      <c r="U105" s="436"/>
      <c r="V105" s="800"/>
      <c r="W105" s="827">
        <v>50</v>
      </c>
      <c r="X105" s="827">
        <v>60</v>
      </c>
      <c r="Y105" s="829" t="s">
        <v>84</v>
      </c>
      <c r="Z105" s="830"/>
      <c r="AA105" s="831">
        <v>1</v>
      </c>
      <c r="AB105" s="832">
        <v>1</v>
      </c>
    </row>
    <row r="106" spans="1:30" ht="28.5" customHeight="1" x14ac:dyDescent="0.2">
      <c r="A106" s="661"/>
      <c r="B106" s="662"/>
      <c r="C106" s="19"/>
      <c r="D106" s="130"/>
      <c r="E106" s="1702"/>
      <c r="F106" s="1771"/>
      <c r="G106" s="1263"/>
      <c r="H106" s="1265"/>
      <c r="I106" s="1290"/>
      <c r="J106" s="791"/>
      <c r="K106" s="795"/>
      <c r="L106" s="788"/>
      <c r="M106" s="789"/>
      <c r="N106" s="796"/>
      <c r="O106" s="562"/>
      <c r="P106" s="561"/>
      <c r="Q106" s="562"/>
      <c r="R106" s="575"/>
      <c r="S106" s="801"/>
      <c r="T106" s="565"/>
      <c r="U106" s="566"/>
      <c r="V106" s="802"/>
      <c r="W106" s="828"/>
      <c r="X106" s="828"/>
      <c r="Y106" s="833" t="s">
        <v>274</v>
      </c>
      <c r="Z106" s="834"/>
      <c r="AA106" s="835"/>
      <c r="AB106" s="836">
        <v>1</v>
      </c>
    </row>
    <row r="107" spans="1:30" ht="15" customHeight="1" x14ac:dyDescent="0.2">
      <c r="A107" s="661"/>
      <c r="B107" s="662"/>
      <c r="C107" s="19"/>
      <c r="D107" s="1"/>
      <c r="E107" s="1702"/>
      <c r="F107" s="1771"/>
      <c r="G107" s="1263"/>
      <c r="H107" s="1265"/>
      <c r="I107" s="1290"/>
      <c r="J107" s="1"/>
      <c r="K107" s="75"/>
      <c r="L107" s="185"/>
      <c r="M107" s="123"/>
      <c r="N107" s="582"/>
      <c r="O107" s="879"/>
      <c r="P107" s="123"/>
      <c r="Q107" s="185"/>
      <c r="R107" s="123"/>
      <c r="S107" s="806"/>
      <c r="T107" s="880"/>
      <c r="U107" s="807"/>
      <c r="V107" s="881"/>
      <c r="W107" s="837"/>
      <c r="X107" s="837"/>
      <c r="Y107" s="833" t="s">
        <v>201</v>
      </c>
      <c r="Z107" s="834">
        <v>1</v>
      </c>
      <c r="AA107" s="835">
        <v>1</v>
      </c>
      <c r="AB107" s="836">
        <v>1</v>
      </c>
      <c r="AD107" s="123"/>
    </row>
    <row r="108" spans="1:30" ht="29.25" customHeight="1" x14ac:dyDescent="0.2">
      <c r="A108" s="661"/>
      <c r="B108" s="662"/>
      <c r="C108" s="19"/>
      <c r="D108" s="1"/>
      <c r="E108" s="1297"/>
      <c r="F108" s="1771"/>
      <c r="G108" s="1263"/>
      <c r="H108" s="1265"/>
      <c r="I108" s="1290"/>
      <c r="J108" s="1"/>
      <c r="K108" s="75"/>
      <c r="L108" s="803"/>
      <c r="M108" s="123"/>
      <c r="N108" s="805"/>
      <c r="O108" s="804"/>
      <c r="P108" s="1"/>
      <c r="Q108" s="803"/>
      <c r="R108" s="1"/>
      <c r="S108" s="806"/>
      <c r="T108" s="808"/>
      <c r="U108" s="807"/>
      <c r="V108" s="809"/>
      <c r="W108" s="837"/>
      <c r="X108" s="837"/>
      <c r="Y108" s="833" t="s">
        <v>273</v>
      </c>
      <c r="Z108" s="834"/>
      <c r="AA108" s="835">
        <v>1</v>
      </c>
      <c r="AB108" s="836">
        <v>1</v>
      </c>
    </row>
    <row r="109" spans="1:30" ht="52.5" customHeight="1" x14ac:dyDescent="0.2">
      <c r="A109" s="661"/>
      <c r="B109" s="662"/>
      <c r="C109" s="19"/>
      <c r="D109" s="815" t="s">
        <v>11</v>
      </c>
      <c r="E109" s="1051" t="s">
        <v>85</v>
      </c>
      <c r="F109" s="1771"/>
      <c r="G109" s="1263"/>
      <c r="H109" s="1265"/>
      <c r="I109" s="1290"/>
      <c r="J109" s="706" t="s">
        <v>12</v>
      </c>
      <c r="K109" s="816"/>
      <c r="L109" s="817"/>
      <c r="M109" s="818"/>
      <c r="N109" s="819"/>
      <c r="O109" s="285"/>
      <c r="P109" s="283"/>
      <c r="Q109" s="285"/>
      <c r="R109" s="820"/>
      <c r="S109" s="821"/>
      <c r="T109" s="433"/>
      <c r="U109" s="434"/>
      <c r="V109" s="822"/>
      <c r="W109" s="823">
        <v>20</v>
      </c>
      <c r="X109" s="823">
        <v>40</v>
      </c>
      <c r="Y109" s="896" t="s">
        <v>256</v>
      </c>
      <c r="Z109" s="824"/>
      <c r="AA109" s="825">
        <v>1</v>
      </c>
      <c r="AB109" s="826">
        <v>2</v>
      </c>
      <c r="AD109" s="123"/>
    </row>
    <row r="110" spans="1:30" ht="38.25" customHeight="1" x14ac:dyDescent="0.2">
      <c r="A110" s="661"/>
      <c r="B110" s="662"/>
      <c r="C110" s="19"/>
      <c r="D110" s="1776" t="s">
        <v>13</v>
      </c>
      <c r="E110" s="1769" t="s">
        <v>85</v>
      </c>
      <c r="F110" s="1771"/>
      <c r="G110" s="1263"/>
      <c r="H110" s="1265"/>
      <c r="I110" s="1290"/>
      <c r="J110" s="706" t="s">
        <v>12</v>
      </c>
      <c r="K110" s="816"/>
      <c r="L110" s="817"/>
      <c r="M110" s="818"/>
      <c r="N110" s="819"/>
      <c r="O110" s="285"/>
      <c r="P110" s="283"/>
      <c r="Q110" s="285"/>
      <c r="R110" s="820"/>
      <c r="S110" s="821"/>
      <c r="T110" s="433"/>
      <c r="U110" s="434"/>
      <c r="V110" s="822"/>
      <c r="W110" s="823">
        <v>20</v>
      </c>
      <c r="X110" s="823">
        <v>40</v>
      </c>
      <c r="Y110" s="895" t="s">
        <v>256</v>
      </c>
      <c r="Z110" s="579"/>
      <c r="AA110" s="289">
        <v>1</v>
      </c>
      <c r="AB110" s="290">
        <v>2</v>
      </c>
    </row>
    <row r="111" spans="1:30" ht="16.5" customHeight="1" thickBot="1" x14ac:dyDescent="0.25">
      <c r="A111" s="661"/>
      <c r="B111" s="662"/>
      <c r="C111" s="44"/>
      <c r="D111" s="1777"/>
      <c r="E111" s="1704"/>
      <c r="F111" s="1771"/>
      <c r="G111" s="1263"/>
      <c r="H111" s="502"/>
      <c r="I111" s="1291"/>
      <c r="J111" s="792" t="s">
        <v>16</v>
      </c>
      <c r="K111" s="437">
        <f t="shared" ref="K111:O111" si="13">SUM(K104:K106)</f>
        <v>10</v>
      </c>
      <c r="L111" s="438">
        <f t="shared" si="13"/>
        <v>10</v>
      </c>
      <c r="M111" s="439">
        <f t="shared" si="13"/>
        <v>0</v>
      </c>
      <c r="N111" s="797">
        <f t="shared" si="13"/>
        <v>0</v>
      </c>
      <c r="O111" s="438">
        <f t="shared" si="13"/>
        <v>60</v>
      </c>
      <c r="P111" s="439">
        <f>SUM(P104:P106)</f>
        <v>60</v>
      </c>
      <c r="Q111" s="438"/>
      <c r="R111" s="453"/>
      <c r="S111" s="437">
        <f>SUM(S104:S106)</f>
        <v>0</v>
      </c>
      <c r="T111" s="438">
        <f>SUM(T104:T106)</f>
        <v>0</v>
      </c>
      <c r="U111" s="439">
        <f>SUM(U104:U106)</f>
        <v>0</v>
      </c>
      <c r="V111" s="797">
        <f>SUM(V104:V106)</f>
        <v>0</v>
      </c>
      <c r="W111" s="454">
        <f>SUM(W104:W110)</f>
        <v>120</v>
      </c>
      <c r="X111" s="454">
        <f>SUM(X104:X110)</f>
        <v>180</v>
      </c>
      <c r="Y111" s="1"/>
      <c r="Z111" s="1027"/>
      <c r="AA111" s="1028"/>
      <c r="AB111" s="1029"/>
    </row>
    <row r="112" spans="1:30" ht="53.25" customHeight="1" x14ac:dyDescent="0.2">
      <c r="A112" s="21" t="s">
        <v>9</v>
      </c>
      <c r="B112" s="27" t="s">
        <v>11</v>
      </c>
      <c r="C112" s="22" t="s">
        <v>10</v>
      </c>
      <c r="D112" s="810"/>
      <c r="E112" s="1052" t="s">
        <v>93</v>
      </c>
      <c r="F112" s="186"/>
      <c r="G112" s="1616" t="s">
        <v>14</v>
      </c>
      <c r="H112" s="1613">
        <v>2</v>
      </c>
      <c r="I112" s="1753" t="s">
        <v>133</v>
      </c>
      <c r="J112" s="183"/>
      <c r="K112" s="850"/>
      <c r="L112" s="851"/>
      <c r="M112" s="852"/>
      <c r="N112" s="851"/>
      <c r="O112" s="242"/>
      <c r="P112" s="243"/>
      <c r="Q112" s="244"/>
      <c r="R112" s="845"/>
      <c r="S112" s="846"/>
      <c r="T112" s="441"/>
      <c r="U112" s="442"/>
      <c r="V112" s="847"/>
      <c r="W112" s="246"/>
      <c r="X112" s="246"/>
      <c r="Y112" s="284"/>
      <c r="Z112" s="115"/>
      <c r="AA112" s="116"/>
      <c r="AB112" s="117"/>
    </row>
    <row r="113" spans="1:49" ht="42" customHeight="1" x14ac:dyDescent="0.2">
      <c r="A113" s="25"/>
      <c r="B113" s="28"/>
      <c r="C113" s="19"/>
      <c r="D113" s="680" t="s">
        <v>9</v>
      </c>
      <c r="E113" s="229" t="s">
        <v>202</v>
      </c>
      <c r="F113" s="1319" t="s">
        <v>114</v>
      </c>
      <c r="G113" s="1617"/>
      <c r="H113" s="1614"/>
      <c r="I113" s="1754"/>
      <c r="J113" s="210" t="s">
        <v>12</v>
      </c>
      <c r="K113" s="853"/>
      <c r="L113" s="818"/>
      <c r="M113" s="818"/>
      <c r="N113" s="854"/>
      <c r="O113" s="738"/>
      <c r="P113" s="516"/>
      <c r="Q113" s="159"/>
      <c r="R113" s="773"/>
      <c r="S113" s="840"/>
      <c r="T113" s="841"/>
      <c r="U113" s="841"/>
      <c r="V113" s="842"/>
      <c r="W113" s="692">
        <v>20</v>
      </c>
      <c r="X113" s="838">
        <v>30</v>
      </c>
      <c r="Y113" s="679" t="s">
        <v>244</v>
      </c>
      <c r="Z113" s="777"/>
      <c r="AA113" s="724">
        <v>2</v>
      </c>
      <c r="AB113" s="839">
        <v>3</v>
      </c>
      <c r="AC113" s="1325"/>
      <c r="AD113" s="123"/>
    </row>
    <row r="114" spans="1:49" ht="23.25" customHeight="1" x14ac:dyDescent="0.2">
      <c r="A114" s="661"/>
      <c r="B114" s="662"/>
      <c r="C114" s="19"/>
      <c r="D114" s="1295" t="s">
        <v>10</v>
      </c>
      <c r="E114" s="1732" t="s">
        <v>203</v>
      </c>
      <c r="F114" s="1756" t="s">
        <v>95</v>
      </c>
      <c r="G114" s="1617"/>
      <c r="H114" s="1614"/>
      <c r="I114" s="1754"/>
      <c r="J114" s="111" t="s">
        <v>12</v>
      </c>
      <c r="K114" s="853"/>
      <c r="L114" s="817"/>
      <c r="M114" s="818"/>
      <c r="N114" s="817"/>
      <c r="O114" s="732"/>
      <c r="P114" s="373"/>
      <c r="Q114" s="159"/>
      <c r="R114" s="773"/>
      <c r="S114" s="848"/>
      <c r="T114" s="843"/>
      <c r="U114" s="844"/>
      <c r="V114" s="849"/>
      <c r="W114" s="520">
        <v>10</v>
      </c>
      <c r="X114" s="520">
        <v>40</v>
      </c>
      <c r="Y114" s="1752" t="s">
        <v>204</v>
      </c>
      <c r="Z114" s="586"/>
      <c r="AA114" s="584">
        <v>1</v>
      </c>
      <c r="AB114" s="585">
        <v>1</v>
      </c>
      <c r="AC114" s="1325"/>
    </row>
    <row r="115" spans="1:49" ht="17.25" customHeight="1" thickBot="1" x14ac:dyDescent="0.25">
      <c r="A115" s="24"/>
      <c r="B115" s="14"/>
      <c r="C115" s="45"/>
      <c r="D115" s="184"/>
      <c r="E115" s="1466"/>
      <c r="F115" s="1757"/>
      <c r="G115" s="1618"/>
      <c r="H115" s="1615"/>
      <c r="I115" s="1755"/>
      <c r="J115" s="400" t="s">
        <v>16</v>
      </c>
      <c r="K115" s="971"/>
      <c r="L115" s="438"/>
      <c r="M115" s="439"/>
      <c r="N115" s="438"/>
      <c r="O115" s="1273"/>
      <c r="P115" s="1274"/>
      <c r="Q115" s="1274"/>
      <c r="R115" s="390"/>
      <c r="S115" s="460"/>
      <c r="T115" s="1274"/>
      <c r="U115" s="1274"/>
      <c r="V115" s="398"/>
      <c r="W115" s="460">
        <f>SUM(W112:W114)</f>
        <v>30</v>
      </c>
      <c r="X115" s="460">
        <f>SUM(X112:X114)</f>
        <v>70</v>
      </c>
      <c r="Y115" s="1652"/>
      <c r="Z115" s="293"/>
      <c r="AA115" s="1255"/>
      <c r="AB115" s="1256"/>
      <c r="AC115" s="1325"/>
    </row>
    <row r="116" spans="1:49" ht="28.5" customHeight="1" x14ac:dyDescent="0.2">
      <c r="A116" s="21" t="s">
        <v>9</v>
      </c>
      <c r="B116" s="27" t="s">
        <v>11</v>
      </c>
      <c r="C116" s="22" t="s">
        <v>11</v>
      </c>
      <c r="D116" s="199"/>
      <c r="E116" s="182" t="s">
        <v>100</v>
      </c>
      <c r="F116" s="1741" t="s">
        <v>104</v>
      </c>
      <c r="G116" s="1544" t="s">
        <v>14</v>
      </c>
      <c r="H116" s="1519" t="s">
        <v>35</v>
      </c>
      <c r="I116" s="1749" t="s">
        <v>133</v>
      </c>
      <c r="J116" s="200"/>
      <c r="K116" s="855"/>
      <c r="L116" s="856"/>
      <c r="M116" s="857"/>
      <c r="N116" s="856"/>
      <c r="O116" s="93"/>
      <c r="P116" s="248"/>
      <c r="Q116" s="248"/>
      <c r="R116" s="249"/>
      <c r="S116" s="446"/>
      <c r="T116" s="447"/>
      <c r="U116" s="448"/>
      <c r="V116" s="447"/>
      <c r="W116" s="935"/>
      <c r="X116" s="936"/>
      <c r="Y116" s="937"/>
      <c r="Z116" s="291"/>
      <c r="AA116" s="266"/>
      <c r="AB116" s="292"/>
    </row>
    <row r="117" spans="1:49" ht="17.25" customHeight="1" x14ac:dyDescent="0.2">
      <c r="A117" s="661"/>
      <c r="B117" s="662"/>
      <c r="C117" s="19"/>
      <c r="D117" s="815" t="s">
        <v>9</v>
      </c>
      <c r="E117" s="1281" t="s">
        <v>102</v>
      </c>
      <c r="F117" s="1735"/>
      <c r="G117" s="1545"/>
      <c r="H117" s="1559"/>
      <c r="I117" s="1750"/>
      <c r="J117" s="125" t="s">
        <v>12</v>
      </c>
      <c r="K117" s="743">
        <f>L117+N117</f>
        <v>5</v>
      </c>
      <c r="L117" s="776">
        <v>5</v>
      </c>
      <c r="M117" s="744"/>
      <c r="N117" s="776"/>
      <c r="O117" s="1258"/>
      <c r="P117" s="1259"/>
      <c r="Q117" s="351"/>
      <c r="R117" s="352"/>
      <c r="S117" s="419">
        <f>T117+V117</f>
        <v>0</v>
      </c>
      <c r="T117" s="417">
        <v>0</v>
      </c>
      <c r="U117" s="420"/>
      <c r="V117" s="417"/>
      <c r="W117" s="120">
        <v>15</v>
      </c>
      <c r="X117" s="692">
        <v>20</v>
      </c>
      <c r="Y117" s="861" t="s">
        <v>272</v>
      </c>
      <c r="Z117" s="586"/>
      <c r="AA117" s="584">
        <v>3</v>
      </c>
      <c r="AB117" s="585">
        <v>4</v>
      </c>
    </row>
    <row r="118" spans="1:49" ht="15.75" customHeight="1" x14ac:dyDescent="0.2">
      <c r="A118" s="661"/>
      <c r="B118" s="662"/>
      <c r="C118" s="19"/>
      <c r="D118" s="1295" t="s">
        <v>10</v>
      </c>
      <c r="E118" s="1732" t="s">
        <v>101</v>
      </c>
      <c r="F118" s="1735"/>
      <c r="G118" s="1545"/>
      <c r="H118" s="1559"/>
      <c r="I118" s="1750"/>
      <c r="J118" s="111" t="s">
        <v>12</v>
      </c>
      <c r="K118" s="688"/>
      <c r="L118" s="775"/>
      <c r="M118" s="682"/>
      <c r="N118" s="775"/>
      <c r="O118" s="1258"/>
      <c r="P118" s="1259"/>
      <c r="Q118" s="1259"/>
      <c r="R118" s="1260"/>
      <c r="S118" s="383"/>
      <c r="T118" s="423"/>
      <c r="U118" s="378"/>
      <c r="V118" s="423"/>
      <c r="W118" s="120">
        <v>10</v>
      </c>
      <c r="X118" s="67">
        <v>15</v>
      </c>
      <c r="Y118" s="1752" t="s">
        <v>271</v>
      </c>
      <c r="Z118" s="862"/>
      <c r="AA118" s="863">
        <v>2</v>
      </c>
      <c r="AB118" s="864">
        <v>3</v>
      </c>
    </row>
    <row r="119" spans="1:49" ht="13.5" thickBot="1" x14ac:dyDescent="0.25">
      <c r="A119" s="24"/>
      <c r="B119" s="14"/>
      <c r="C119" s="45"/>
      <c r="D119" s="184"/>
      <c r="E119" s="1466"/>
      <c r="F119" s="1742"/>
      <c r="G119" s="1654"/>
      <c r="H119" s="1520"/>
      <c r="I119" s="1751"/>
      <c r="J119" s="400" t="s">
        <v>16</v>
      </c>
      <c r="K119" s="389">
        <f t="shared" ref="K119:L119" si="14">SUM(K117:K118)</f>
        <v>5</v>
      </c>
      <c r="L119" s="1274">
        <f t="shared" si="14"/>
        <v>5</v>
      </c>
      <c r="M119" s="1274"/>
      <c r="N119" s="389"/>
      <c r="O119" s="1273"/>
      <c r="P119" s="1274"/>
      <c r="Q119" s="1274"/>
      <c r="R119" s="1275"/>
      <c r="S119" s="389">
        <f t="shared" ref="S119:T119" si="15">SUM(S117:S118)</f>
        <v>0</v>
      </c>
      <c r="T119" s="1274">
        <f t="shared" si="15"/>
        <v>0</v>
      </c>
      <c r="U119" s="1274"/>
      <c r="V119" s="389"/>
      <c r="W119" s="460">
        <f>SUM(W116:W118)</f>
        <v>25</v>
      </c>
      <c r="X119" s="399">
        <f>SUM(X116:X118)</f>
        <v>35</v>
      </c>
      <c r="Y119" s="1652"/>
      <c r="Z119" s="1254"/>
      <c r="AA119" s="1255"/>
      <c r="AB119" s="1256"/>
      <c r="AD119" s="123"/>
    </row>
    <row r="120" spans="1:49" ht="39.75" customHeight="1" x14ac:dyDescent="0.2">
      <c r="A120" s="21" t="s">
        <v>9</v>
      </c>
      <c r="B120" s="27" t="s">
        <v>11</v>
      </c>
      <c r="C120" s="22" t="s">
        <v>13</v>
      </c>
      <c r="D120" s="199"/>
      <c r="E120" s="1465" t="s">
        <v>205</v>
      </c>
      <c r="F120" s="1768" t="s">
        <v>98</v>
      </c>
      <c r="G120" s="1655" t="s">
        <v>14</v>
      </c>
      <c r="H120" s="1661" t="s">
        <v>35</v>
      </c>
      <c r="I120" s="1739" t="s">
        <v>133</v>
      </c>
      <c r="J120" s="200" t="s">
        <v>12</v>
      </c>
      <c r="K120" s="858">
        <f>L120+N120</f>
        <v>20.100000000000001</v>
      </c>
      <c r="L120" s="859">
        <v>20.100000000000001</v>
      </c>
      <c r="M120" s="860"/>
      <c r="N120" s="859"/>
      <c r="O120" s="347">
        <f>P120+R120</f>
        <v>40</v>
      </c>
      <c r="P120" s="348">
        <v>40</v>
      </c>
      <c r="Q120" s="349"/>
      <c r="R120" s="350"/>
      <c r="S120" s="449">
        <f>T120+V120</f>
        <v>0</v>
      </c>
      <c r="T120" s="450">
        <v>0</v>
      </c>
      <c r="U120" s="451"/>
      <c r="V120" s="450"/>
      <c r="W120" s="64">
        <v>40</v>
      </c>
      <c r="X120" s="64">
        <v>40</v>
      </c>
      <c r="Y120" s="759" t="s">
        <v>259</v>
      </c>
      <c r="Z120" s="721">
        <v>4</v>
      </c>
      <c r="AA120" s="266">
        <v>10</v>
      </c>
      <c r="AB120" s="292">
        <v>10</v>
      </c>
      <c r="AC120" s="1325"/>
    </row>
    <row r="121" spans="1:49" ht="13.5" thickBot="1" x14ac:dyDescent="0.25">
      <c r="A121" s="24"/>
      <c r="B121" s="14"/>
      <c r="C121" s="45"/>
      <c r="D121" s="184"/>
      <c r="E121" s="1466"/>
      <c r="F121" s="1757"/>
      <c r="G121" s="1656"/>
      <c r="H121" s="1662"/>
      <c r="I121" s="1740"/>
      <c r="J121" s="400" t="s">
        <v>16</v>
      </c>
      <c r="K121" s="437">
        <f>L121+N121</f>
        <v>20.100000000000001</v>
      </c>
      <c r="L121" s="438">
        <f>SUM(L120)</f>
        <v>20.100000000000001</v>
      </c>
      <c r="M121" s="439"/>
      <c r="N121" s="438"/>
      <c r="O121" s="452">
        <f>O120</f>
        <v>40</v>
      </c>
      <c r="P121" s="439">
        <f t="shared" ref="P121" si="16">P120</f>
        <v>40</v>
      </c>
      <c r="Q121" s="438"/>
      <c r="R121" s="453"/>
      <c r="S121" s="437">
        <f>T121+V121</f>
        <v>0</v>
      </c>
      <c r="T121" s="438">
        <f>SUM(T120)</f>
        <v>0</v>
      </c>
      <c r="U121" s="439"/>
      <c r="V121" s="438"/>
      <c r="W121" s="460">
        <f t="shared" ref="W121:X121" si="17">W120</f>
        <v>40</v>
      </c>
      <c r="X121" s="399">
        <f t="shared" si="17"/>
        <v>40</v>
      </c>
      <c r="Y121" s="865"/>
      <c r="Z121" s="1254"/>
      <c r="AA121" s="1255"/>
      <c r="AB121" s="1256"/>
      <c r="AC121" s="1325"/>
    </row>
    <row r="122" spans="1:49" ht="14.25" customHeight="1" thickBot="1" x14ac:dyDescent="0.25">
      <c r="A122" s="30" t="s">
        <v>9</v>
      </c>
      <c r="B122" s="33" t="s">
        <v>11</v>
      </c>
      <c r="C122" s="1701" t="s">
        <v>15</v>
      </c>
      <c r="D122" s="1529"/>
      <c r="E122" s="1529"/>
      <c r="F122" s="1529"/>
      <c r="G122" s="1529"/>
      <c r="H122" s="1529"/>
      <c r="I122" s="1529"/>
      <c r="J122" s="1530"/>
      <c r="K122" s="209">
        <f>K121+K115+K111+K119</f>
        <v>35.1</v>
      </c>
      <c r="L122" s="203">
        <f>L121+L115+L111+L119</f>
        <v>35.1</v>
      </c>
      <c r="M122" s="208"/>
      <c r="N122" s="203"/>
      <c r="O122" s="198">
        <f t="shared" ref="O122:T122" si="18">O121+O115+O111+O119</f>
        <v>100</v>
      </c>
      <c r="P122" s="208">
        <f>P121+P115+P111+P119</f>
        <v>100</v>
      </c>
      <c r="Q122" s="203">
        <f t="shared" si="18"/>
        <v>0</v>
      </c>
      <c r="R122" s="207">
        <f t="shared" si="18"/>
        <v>0</v>
      </c>
      <c r="S122" s="209">
        <f t="shared" si="18"/>
        <v>0</v>
      </c>
      <c r="T122" s="203">
        <f t="shared" si="18"/>
        <v>0</v>
      </c>
      <c r="U122" s="208"/>
      <c r="V122" s="203"/>
      <c r="W122" s="198">
        <f>W121+W115+W111+W119</f>
        <v>215</v>
      </c>
      <c r="X122" s="198">
        <f>X121+X115+X111+X119</f>
        <v>325</v>
      </c>
      <c r="Y122" s="1485"/>
      <c r="Z122" s="1486"/>
      <c r="AA122" s="1486"/>
      <c r="AB122" s="1487"/>
    </row>
    <row r="123" spans="1:49" ht="14.25" customHeight="1" thickBot="1" x14ac:dyDescent="0.25">
      <c r="A123" s="13" t="s">
        <v>9</v>
      </c>
      <c r="B123" s="1719" t="s">
        <v>17</v>
      </c>
      <c r="C123" s="1562"/>
      <c r="D123" s="1562"/>
      <c r="E123" s="1562"/>
      <c r="F123" s="1562"/>
      <c r="G123" s="1562"/>
      <c r="H123" s="1562"/>
      <c r="I123" s="1562"/>
      <c r="J123" s="1563"/>
      <c r="K123" s="205">
        <f>K101+K30+K122</f>
        <v>10904.300000000001</v>
      </c>
      <c r="L123" s="204">
        <f>L101+L30+L122</f>
        <v>10827.800000000001</v>
      </c>
      <c r="M123" s="206">
        <f>M101+M30+M122</f>
        <v>4869.0999999999995</v>
      </c>
      <c r="N123" s="204">
        <f>N101+N30+N122</f>
        <v>76.5</v>
      </c>
      <c r="O123" s="153">
        <f>O122+O101+O30</f>
        <v>13985.300000000003</v>
      </c>
      <c r="P123" s="206">
        <f>P122+P101+P30</f>
        <v>13194.700000000004</v>
      </c>
      <c r="Q123" s="204">
        <f>Q122+Q101+Q30</f>
        <v>5454.3</v>
      </c>
      <c r="R123" s="153">
        <f>R122+R101+R30</f>
        <v>790.59999999999991</v>
      </c>
      <c r="S123" s="205">
        <f t="shared" ref="S123:X123" si="19">S101+S30+S122</f>
        <v>22.7</v>
      </c>
      <c r="T123" s="204">
        <f t="shared" si="19"/>
        <v>22.7</v>
      </c>
      <c r="U123" s="206">
        <f t="shared" si="19"/>
        <v>0</v>
      </c>
      <c r="V123" s="204">
        <f t="shared" si="19"/>
        <v>0</v>
      </c>
      <c r="W123" s="153">
        <f t="shared" si="19"/>
        <v>13426.5</v>
      </c>
      <c r="X123" s="153">
        <f t="shared" si="19"/>
        <v>13569.100000000002</v>
      </c>
      <c r="Y123" s="1610"/>
      <c r="Z123" s="1611"/>
      <c r="AA123" s="1611"/>
      <c r="AB123" s="1612"/>
    </row>
    <row r="124" spans="1:49" ht="14.25" customHeight="1" thickBot="1" x14ac:dyDescent="0.25">
      <c r="A124" s="31" t="s">
        <v>14</v>
      </c>
      <c r="B124" s="1720" t="s">
        <v>99</v>
      </c>
      <c r="C124" s="1579"/>
      <c r="D124" s="1579"/>
      <c r="E124" s="1579"/>
      <c r="F124" s="1579"/>
      <c r="G124" s="1579"/>
      <c r="H124" s="1579"/>
      <c r="I124" s="1579"/>
      <c r="J124" s="1580"/>
      <c r="K124" s="308">
        <f t="shared" ref="K124:N124" si="20">K123</f>
        <v>10904.300000000001</v>
      </c>
      <c r="L124" s="309">
        <f>L123</f>
        <v>10827.800000000001</v>
      </c>
      <c r="M124" s="305">
        <f t="shared" si="20"/>
        <v>4869.0999999999995</v>
      </c>
      <c r="N124" s="306">
        <f t="shared" si="20"/>
        <v>76.5</v>
      </c>
      <c r="O124" s="304">
        <f t="shared" ref="O124:W124" si="21">O123</f>
        <v>13985.300000000003</v>
      </c>
      <c r="P124" s="305">
        <f t="shared" si="21"/>
        <v>13194.700000000004</v>
      </c>
      <c r="Q124" s="307">
        <f t="shared" si="21"/>
        <v>5454.3</v>
      </c>
      <c r="R124" s="304">
        <f t="shared" si="21"/>
        <v>790.59999999999991</v>
      </c>
      <c r="S124" s="308">
        <f t="shared" si="21"/>
        <v>22.7</v>
      </c>
      <c r="T124" s="309">
        <f t="shared" si="21"/>
        <v>22.7</v>
      </c>
      <c r="U124" s="305">
        <f t="shared" si="21"/>
        <v>0</v>
      </c>
      <c r="V124" s="306">
        <f t="shared" si="21"/>
        <v>0</v>
      </c>
      <c r="W124" s="310">
        <f t="shared" si="21"/>
        <v>13426.5</v>
      </c>
      <c r="X124" s="307">
        <f>X123</f>
        <v>13569.100000000002</v>
      </c>
      <c r="Y124" s="1667"/>
      <c r="Z124" s="1668"/>
      <c r="AA124" s="1668"/>
      <c r="AB124" s="1669"/>
    </row>
    <row r="125" spans="1:49" s="87" customFormat="1" ht="26.25" customHeight="1" x14ac:dyDescent="0.2">
      <c r="A125" s="1778" t="s">
        <v>270</v>
      </c>
      <c r="B125" s="1778"/>
      <c r="C125" s="1778"/>
      <c r="D125" s="1778"/>
      <c r="E125" s="1778"/>
      <c r="F125" s="1778"/>
      <c r="G125" s="1778"/>
      <c r="H125" s="1778"/>
      <c r="I125" s="1778"/>
      <c r="J125" s="1778"/>
      <c r="K125" s="1778"/>
      <c r="L125" s="1778"/>
      <c r="M125" s="1778"/>
      <c r="N125" s="1778"/>
      <c r="O125" s="1778"/>
      <c r="P125" s="1778"/>
      <c r="Q125" s="1778"/>
      <c r="R125" s="1778"/>
      <c r="S125" s="1778"/>
      <c r="T125" s="1778"/>
      <c r="U125" s="1778"/>
      <c r="V125" s="1778"/>
      <c r="W125" s="1778"/>
      <c r="X125" s="1778"/>
      <c r="Y125" s="1778"/>
      <c r="Z125" s="1778"/>
      <c r="AA125" s="1778"/>
      <c r="AB125" s="1778"/>
      <c r="AC125" s="132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</row>
    <row r="126" spans="1:49" ht="18.75" customHeight="1" x14ac:dyDescent="0.2">
      <c r="A126" s="1764" t="s">
        <v>188</v>
      </c>
      <c r="B126" s="1764"/>
      <c r="C126" s="1764"/>
      <c r="D126" s="1764"/>
      <c r="E126" s="1764"/>
      <c r="F126" s="1764"/>
      <c r="G126" s="1764"/>
      <c r="H126" s="1764"/>
      <c r="I126" s="1764"/>
      <c r="J126" s="1764"/>
      <c r="K126" s="1764"/>
      <c r="L126" s="1764"/>
      <c r="M126" s="1764"/>
      <c r="N126" s="1764"/>
      <c r="O126" s="1764"/>
      <c r="P126" s="1764"/>
      <c r="Q126" s="1764"/>
      <c r="R126" s="1764"/>
      <c r="S126" s="1764"/>
      <c r="T126" s="1764"/>
      <c r="U126" s="1764"/>
      <c r="V126" s="1764"/>
      <c r="W126" s="1764"/>
      <c r="X126" s="1764"/>
      <c r="Y126" s="1764"/>
      <c r="Z126" s="1764"/>
      <c r="AA126" s="1764"/>
      <c r="AB126" s="1764"/>
    </row>
    <row r="127" spans="1:49" ht="15.75" customHeight="1" thickBot="1" x14ac:dyDescent="0.25">
      <c r="A127" s="1712" t="s">
        <v>21</v>
      </c>
      <c r="B127" s="1712"/>
      <c r="C127" s="1712"/>
      <c r="D127" s="1712"/>
      <c r="E127" s="1712"/>
      <c r="F127" s="1712"/>
      <c r="G127" s="1712"/>
      <c r="H127" s="1712"/>
      <c r="I127" s="1712"/>
      <c r="J127" s="1712"/>
      <c r="K127" s="1712"/>
      <c r="L127" s="1712"/>
      <c r="M127" s="1712"/>
      <c r="N127" s="1712"/>
      <c r="O127" s="1712"/>
      <c r="P127" s="1712"/>
      <c r="Q127" s="1712"/>
      <c r="R127" s="1712"/>
      <c r="S127" s="1712"/>
      <c r="T127" s="1712"/>
      <c r="U127" s="1712"/>
      <c r="V127" s="1712"/>
      <c r="W127" s="1712"/>
      <c r="X127" s="1712"/>
      <c r="Y127" s="311"/>
      <c r="Z127" s="1030"/>
      <c r="AA127" s="1030"/>
      <c r="AB127" s="1030"/>
    </row>
    <row r="128" spans="1:49" ht="30.75" customHeight="1" x14ac:dyDescent="0.2">
      <c r="A128" s="1765" t="s">
        <v>19</v>
      </c>
      <c r="B128" s="1766"/>
      <c r="C128" s="1766"/>
      <c r="D128" s="1766"/>
      <c r="E128" s="1766"/>
      <c r="F128" s="1766"/>
      <c r="G128" s="1766"/>
      <c r="H128" s="1766"/>
      <c r="I128" s="1766"/>
      <c r="J128" s="1767"/>
      <c r="K128" s="1591" t="s">
        <v>206</v>
      </c>
      <c r="L128" s="1592"/>
      <c r="M128" s="1592"/>
      <c r="N128" s="1593"/>
      <c r="O128" s="1591" t="s">
        <v>184</v>
      </c>
      <c r="P128" s="1592"/>
      <c r="Q128" s="1592"/>
      <c r="R128" s="1593"/>
      <c r="S128" s="1591" t="s">
        <v>207</v>
      </c>
      <c r="T128" s="1592"/>
      <c r="U128" s="1592"/>
      <c r="V128" s="1593"/>
      <c r="W128" s="121" t="s">
        <v>107</v>
      </c>
      <c r="X128" s="122" t="s">
        <v>208</v>
      </c>
      <c r="Y128" s="70"/>
      <c r="Z128" s="1601"/>
      <c r="AA128" s="1601"/>
      <c r="AB128" s="1601"/>
    </row>
    <row r="129" spans="1:29" x14ac:dyDescent="0.2">
      <c r="A129" s="1709" t="s">
        <v>32</v>
      </c>
      <c r="B129" s="1710"/>
      <c r="C129" s="1710"/>
      <c r="D129" s="1710"/>
      <c r="E129" s="1710"/>
      <c r="F129" s="1710"/>
      <c r="G129" s="1710"/>
      <c r="H129" s="1710"/>
      <c r="I129" s="1710"/>
      <c r="J129" s="1711"/>
      <c r="K129" s="1594">
        <f>SUM(K130:N133)</f>
        <v>10484.6</v>
      </c>
      <c r="L129" s="1595"/>
      <c r="M129" s="1595"/>
      <c r="N129" s="1596"/>
      <c r="O129" s="1594">
        <f>SUM(O130:R133)</f>
        <v>13137.2</v>
      </c>
      <c r="P129" s="1595"/>
      <c r="Q129" s="1595"/>
      <c r="R129" s="1596"/>
      <c r="S129" s="1594">
        <f>SUM(S130:V133)</f>
        <v>22.7</v>
      </c>
      <c r="T129" s="1595"/>
      <c r="U129" s="1595"/>
      <c r="V129" s="1596"/>
      <c r="W129" s="53">
        <f>SUM(W130:W134)</f>
        <v>12848.8</v>
      </c>
      <c r="X129" s="54">
        <f>SUM(X130:X134)</f>
        <v>12375.2</v>
      </c>
      <c r="Y129" s="71"/>
      <c r="Z129" s="1599"/>
      <c r="AA129" s="1599"/>
      <c r="AB129" s="1599"/>
    </row>
    <row r="130" spans="1:29" x14ac:dyDescent="0.2">
      <c r="A130" s="1581" t="s">
        <v>22</v>
      </c>
      <c r="B130" s="1582"/>
      <c r="C130" s="1582"/>
      <c r="D130" s="1582"/>
      <c r="E130" s="1582"/>
      <c r="F130" s="1582"/>
      <c r="G130" s="1582"/>
      <c r="H130" s="1582"/>
      <c r="I130" s="1582"/>
      <c r="J130" s="1583"/>
      <c r="K130" s="1512">
        <f>SUMIF(J13:J120,"sb",K13:K120)</f>
        <v>8792.3000000000011</v>
      </c>
      <c r="L130" s="1513"/>
      <c r="M130" s="1513"/>
      <c r="N130" s="1514"/>
      <c r="O130" s="1512">
        <f>SUMIF(J13:J120,J13,O13:O120)-O39-P53</f>
        <v>11491.1</v>
      </c>
      <c r="P130" s="1513"/>
      <c r="Q130" s="1513"/>
      <c r="R130" s="1514"/>
      <c r="S130" s="1512">
        <f>SUMIF(J13:J120,"sb",S13:S120)</f>
        <v>22.7</v>
      </c>
      <c r="T130" s="1513"/>
      <c r="U130" s="1513"/>
      <c r="V130" s="1514"/>
      <c r="W130" s="1271">
        <f>SUMIF(J13:J120,J13,W13:W120)</f>
        <v>11022.3</v>
      </c>
      <c r="X130" s="67">
        <f>SUMIF(J13:J120,J13,X13:X120)</f>
        <v>10359.5</v>
      </c>
      <c r="Y130" s="1439"/>
      <c r="Z130" s="1600"/>
      <c r="AA130" s="1600"/>
      <c r="AB130" s="1600"/>
    </row>
    <row r="131" spans="1:29" x14ac:dyDescent="0.2">
      <c r="A131" s="1581" t="s">
        <v>117</v>
      </c>
      <c r="B131" s="1582"/>
      <c r="C131" s="1582"/>
      <c r="D131" s="1582"/>
      <c r="E131" s="1582"/>
      <c r="F131" s="1582"/>
      <c r="G131" s="1582"/>
      <c r="H131" s="1582"/>
      <c r="I131" s="1582"/>
      <c r="J131" s="1583"/>
      <c r="K131" s="1573">
        <f>SUMIF(J13:J120,"sb(vr)",K13:K120)</f>
        <v>459</v>
      </c>
      <c r="L131" s="1574"/>
      <c r="M131" s="1574"/>
      <c r="N131" s="1575"/>
      <c r="O131" s="1573">
        <f>SUMIF(J13:J120,"sb(vr)",O13:O120)</f>
        <v>464.1</v>
      </c>
      <c r="P131" s="1574"/>
      <c r="Q131" s="1574"/>
      <c r="R131" s="1575"/>
      <c r="S131" s="1573">
        <f>SUMIF(J13:J120,"sb(vr)",S13:S120)</f>
        <v>0</v>
      </c>
      <c r="T131" s="1574"/>
      <c r="U131" s="1574"/>
      <c r="V131" s="1575"/>
      <c r="W131" s="1271">
        <f>SUMIF(J13:J120,"sb(vr)",W13:W120)</f>
        <v>528</v>
      </c>
      <c r="X131" s="67">
        <f>SUMIF(J13:J120,"sb(vr)",X13:X120)</f>
        <v>528</v>
      </c>
      <c r="Y131" s="783"/>
      <c r="Z131" s="1272"/>
      <c r="AA131" s="1272"/>
      <c r="AB131" s="1272"/>
    </row>
    <row r="132" spans="1:29" ht="17.25" customHeight="1" x14ac:dyDescent="0.2">
      <c r="A132" s="1721" t="s">
        <v>31</v>
      </c>
      <c r="B132" s="1722"/>
      <c r="C132" s="1722"/>
      <c r="D132" s="1722"/>
      <c r="E132" s="1722"/>
      <c r="F132" s="1722"/>
      <c r="G132" s="1722"/>
      <c r="H132" s="1722"/>
      <c r="I132" s="1722"/>
      <c r="J132" s="1723"/>
      <c r="K132" s="1567">
        <f>SUMIF(J13:J120,"sb(sp)",K13:K120)</f>
        <v>1154.4000000000001</v>
      </c>
      <c r="L132" s="1568"/>
      <c r="M132" s="1568"/>
      <c r="N132" s="1569"/>
      <c r="O132" s="1567">
        <f>SUMIF(J13:J120,J35,O13:O120)-O40</f>
        <v>1182</v>
      </c>
      <c r="P132" s="1568"/>
      <c r="Q132" s="1568"/>
      <c r="R132" s="1569"/>
      <c r="S132" s="1567">
        <f>SUMIF(J13:J120,"sb(sp)",S13:S120)</f>
        <v>0</v>
      </c>
      <c r="T132" s="1568"/>
      <c r="U132" s="1568"/>
      <c r="V132" s="1569"/>
      <c r="W132" s="670">
        <f>SUMIF(J13:J120,J35,W13:W120)</f>
        <v>1298.5</v>
      </c>
      <c r="X132" s="68">
        <f>SUMIF(J13:J120,J35,X13:X120)</f>
        <v>1298.5</v>
      </c>
      <c r="Y132" s="1443"/>
      <c r="Z132" s="1600"/>
      <c r="AA132" s="1600"/>
      <c r="AB132" s="1600"/>
    </row>
    <row r="133" spans="1:29" s="8" customFormat="1" ht="15.75" customHeight="1" x14ac:dyDescent="0.2">
      <c r="A133" s="1716" t="s">
        <v>71</v>
      </c>
      <c r="B133" s="1717"/>
      <c r="C133" s="1717"/>
      <c r="D133" s="1717"/>
      <c r="E133" s="1717"/>
      <c r="F133" s="1717"/>
      <c r="G133" s="1717"/>
      <c r="H133" s="1717"/>
      <c r="I133" s="1717"/>
      <c r="J133" s="1718"/>
      <c r="K133" s="1727">
        <f>SUMIF(J13:J120,"SB(l)",K13:K120)</f>
        <v>78.900000000000006</v>
      </c>
      <c r="L133" s="1728"/>
      <c r="M133" s="1728"/>
      <c r="N133" s="1729"/>
      <c r="O133" s="1727"/>
      <c r="P133" s="1728"/>
      <c r="Q133" s="1728"/>
      <c r="R133" s="1729"/>
      <c r="S133" s="1727"/>
      <c r="T133" s="1728"/>
      <c r="U133" s="1728"/>
      <c r="V133" s="1729"/>
      <c r="W133" s="1284"/>
      <c r="X133" s="875"/>
      <c r="Y133" s="169"/>
      <c r="Z133" s="1272"/>
      <c r="AA133" s="1272"/>
      <c r="AB133" s="1272"/>
      <c r="AC133" s="1327"/>
    </row>
    <row r="134" spans="1:29" s="8" customFormat="1" ht="15.75" customHeight="1" x14ac:dyDescent="0.2">
      <c r="A134" s="1716" t="s">
        <v>212</v>
      </c>
      <c r="B134" s="1717"/>
      <c r="C134" s="1717"/>
      <c r="D134" s="1717"/>
      <c r="E134" s="1717"/>
      <c r="F134" s="1717"/>
      <c r="G134" s="1717"/>
      <c r="H134" s="1717"/>
      <c r="I134" s="1717"/>
      <c r="J134" s="1718"/>
      <c r="K134" s="1727"/>
      <c r="L134" s="1728"/>
      <c r="M134" s="1728"/>
      <c r="N134" s="1729"/>
      <c r="O134" s="1727">
        <f>SUMIF(J13:J120,"SB(P)",O13:O120)</f>
        <v>0</v>
      </c>
      <c r="P134" s="1728"/>
      <c r="Q134" s="1728"/>
      <c r="R134" s="1729"/>
      <c r="S134" s="1727">
        <f>SUMIF(J13:J120,"SB(P)",S13:S120)</f>
        <v>0</v>
      </c>
      <c r="T134" s="1728"/>
      <c r="U134" s="1728"/>
      <c r="V134" s="1729"/>
      <c r="W134" s="1284">
        <f>SUMIF(J13:J120,"SB(P)",W13:W120)</f>
        <v>0</v>
      </c>
      <c r="X134" s="1284">
        <f>SUMIF(J13:J120,"SB(P)",X13:X120)</f>
        <v>189.2</v>
      </c>
      <c r="Y134" s="169"/>
      <c r="Z134" s="1272"/>
      <c r="AA134" s="1272"/>
      <c r="AB134" s="1272"/>
      <c r="AC134" s="1327"/>
    </row>
    <row r="135" spans="1:29" ht="13.5" customHeight="1" x14ac:dyDescent="0.2">
      <c r="A135" s="1709" t="s">
        <v>33</v>
      </c>
      <c r="B135" s="1710"/>
      <c r="C135" s="1710"/>
      <c r="D135" s="1710"/>
      <c r="E135" s="1710"/>
      <c r="F135" s="1710"/>
      <c r="G135" s="1710"/>
      <c r="H135" s="1710"/>
      <c r="I135" s="1710"/>
      <c r="J135" s="1711"/>
      <c r="K135" s="1564">
        <f>SUM(K136:N137)</f>
        <v>419.7</v>
      </c>
      <c r="L135" s="1565"/>
      <c r="M135" s="1565"/>
      <c r="N135" s="1566"/>
      <c r="O135" s="1564">
        <f>SUM(O136:R137)</f>
        <v>848.09999999999991</v>
      </c>
      <c r="P135" s="1565"/>
      <c r="Q135" s="1565"/>
      <c r="R135" s="1566"/>
      <c r="S135" s="1564">
        <f>SUM(S136:V137)</f>
        <v>0</v>
      </c>
      <c r="T135" s="1565"/>
      <c r="U135" s="1565"/>
      <c r="V135" s="1566"/>
      <c r="W135" s="58">
        <f>SUM(W136:W137)</f>
        <v>577.70000000000005</v>
      </c>
      <c r="X135" s="69">
        <f>SUM(X136:X137)</f>
        <v>1193.9000000000001</v>
      </c>
      <c r="Y135" s="71"/>
      <c r="Z135" s="1599"/>
      <c r="AA135" s="1599"/>
      <c r="AB135" s="1599"/>
    </row>
    <row r="136" spans="1:29" x14ac:dyDescent="0.2">
      <c r="A136" s="1581" t="s">
        <v>23</v>
      </c>
      <c r="B136" s="1582"/>
      <c r="C136" s="1582"/>
      <c r="D136" s="1582"/>
      <c r="E136" s="1582"/>
      <c r="F136" s="1582"/>
      <c r="G136" s="1582"/>
      <c r="H136" s="1582"/>
      <c r="I136" s="1582"/>
      <c r="J136" s="1583"/>
      <c r="K136" s="1512">
        <f>SUMIF(J13:J120,"es",K13:K120)</f>
        <v>228.7</v>
      </c>
      <c r="L136" s="1513"/>
      <c r="M136" s="1513"/>
      <c r="N136" s="1514"/>
      <c r="O136" s="1512">
        <f>SUMIF(J13:J120,"es",O13:O120)</f>
        <v>651.79999999999995</v>
      </c>
      <c r="P136" s="1513"/>
      <c r="Q136" s="1513"/>
      <c r="R136" s="1514"/>
      <c r="S136" s="1512">
        <f>SUMIF(J13:J120,"es",S13:S120)</f>
        <v>0</v>
      </c>
      <c r="T136" s="1513"/>
      <c r="U136" s="1513"/>
      <c r="V136" s="1514"/>
      <c r="W136" s="1271">
        <f>SUMIF(J13:J120,J52,W13:W120)</f>
        <v>357.7</v>
      </c>
      <c r="X136" s="67">
        <f>SUMIF(J13:J120,"es",X13:X120)</f>
        <v>1025.9000000000001</v>
      </c>
      <c r="Y136" s="169"/>
      <c r="Z136" s="1600"/>
      <c r="AA136" s="1600"/>
      <c r="AB136" s="1600"/>
    </row>
    <row r="137" spans="1:29" x14ac:dyDescent="0.2">
      <c r="A137" s="1581" t="s">
        <v>24</v>
      </c>
      <c r="B137" s="1582"/>
      <c r="C137" s="1582"/>
      <c r="D137" s="1582"/>
      <c r="E137" s="1582"/>
      <c r="F137" s="1582"/>
      <c r="G137" s="1582"/>
      <c r="H137" s="1582"/>
      <c r="I137" s="1582"/>
      <c r="J137" s="1583"/>
      <c r="K137" s="1512">
        <f>SUMIF(J13:J120,"lrvb",K13:K120)</f>
        <v>191</v>
      </c>
      <c r="L137" s="1513"/>
      <c r="M137" s="1513"/>
      <c r="N137" s="1514"/>
      <c r="O137" s="1512">
        <f>SUMIF(J13:J120,"lrvb",O13:O120)</f>
        <v>196.3</v>
      </c>
      <c r="P137" s="1513"/>
      <c r="Q137" s="1513"/>
      <c r="R137" s="1514"/>
      <c r="S137" s="1512">
        <f>SUMIF(J13:J120,"lrvb",S13:S120)</f>
        <v>0</v>
      </c>
      <c r="T137" s="1513"/>
      <c r="U137" s="1513"/>
      <c r="V137" s="1514"/>
      <c r="W137" s="1271">
        <f>SUMIF(J13:J120,"lrvb",W13:W120)</f>
        <v>220</v>
      </c>
      <c r="X137" s="67">
        <f>SUMIF(J13:J120,"lrvb",X13:X120)</f>
        <v>168</v>
      </c>
      <c r="Y137" s="169"/>
      <c r="Z137" s="1600"/>
      <c r="AA137" s="1600"/>
      <c r="AB137" s="1600"/>
    </row>
    <row r="138" spans="1:29" ht="13.5" thickBot="1" x14ac:dyDescent="0.25">
      <c r="A138" s="1706" t="s">
        <v>16</v>
      </c>
      <c r="B138" s="1707"/>
      <c r="C138" s="1707"/>
      <c r="D138" s="1707"/>
      <c r="E138" s="1707"/>
      <c r="F138" s="1707"/>
      <c r="G138" s="1707"/>
      <c r="H138" s="1707"/>
      <c r="I138" s="1707"/>
      <c r="J138" s="1708"/>
      <c r="K138" s="1602">
        <f>K135+K129</f>
        <v>10904.300000000001</v>
      </c>
      <c r="L138" s="1603"/>
      <c r="M138" s="1603"/>
      <c r="N138" s="1604"/>
      <c r="O138" s="1602">
        <f>O135+O129</f>
        <v>13985.300000000001</v>
      </c>
      <c r="P138" s="1603"/>
      <c r="Q138" s="1603"/>
      <c r="R138" s="1604"/>
      <c r="S138" s="1602">
        <f>S135+S129</f>
        <v>22.7</v>
      </c>
      <c r="T138" s="1603"/>
      <c r="U138" s="1603"/>
      <c r="V138" s="1604"/>
      <c r="W138" s="398">
        <f>W135+W129</f>
        <v>13426.5</v>
      </c>
      <c r="X138" s="399">
        <f>X135+X129</f>
        <v>13569.1</v>
      </c>
      <c r="Y138" s="71"/>
      <c r="Z138" s="1599"/>
      <c r="AA138" s="1599"/>
      <c r="AB138" s="1599"/>
    </row>
    <row r="139" spans="1:29" x14ac:dyDescent="0.2">
      <c r="A139" s="47"/>
      <c r="B139" s="47"/>
      <c r="C139" s="47"/>
      <c r="D139" s="47"/>
      <c r="E139" s="47"/>
      <c r="L139" s="154"/>
      <c r="P139" s="154"/>
      <c r="T139" s="154"/>
      <c r="W139" s="154"/>
      <c r="X139" s="154"/>
      <c r="Y139" s="72"/>
      <c r="Z139" s="1600"/>
      <c r="AA139" s="1600"/>
      <c r="AB139" s="1600"/>
    </row>
    <row r="140" spans="1:29" x14ac:dyDescent="0.2">
      <c r="K140" s="7"/>
      <c r="L140" s="154"/>
      <c r="O140" s="7"/>
      <c r="P140" s="1763"/>
      <c r="Q140" s="1763"/>
      <c r="S140" s="154"/>
      <c r="T140" s="154"/>
      <c r="W140" s="154"/>
      <c r="X140" s="154"/>
      <c r="Z140" s="1597"/>
      <c r="AA140" s="1597"/>
      <c r="AB140" s="1597"/>
    </row>
    <row r="141" spans="1:29" x14ac:dyDescent="0.2">
      <c r="P141" s="154"/>
      <c r="T141" s="154"/>
      <c r="Y141" s="10"/>
      <c r="Z141" s="1031"/>
      <c r="AA141" s="1031"/>
      <c r="AB141" s="1031"/>
    </row>
    <row r="142" spans="1:2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783"/>
      <c r="Q142" s="1"/>
      <c r="R142" s="1"/>
      <c r="S142" s="1"/>
      <c r="T142" s="1"/>
      <c r="U142" s="1"/>
      <c r="V142" s="1"/>
      <c r="W142" s="1"/>
      <c r="X142" s="1"/>
      <c r="Y142" s="51"/>
      <c r="Z142" s="1032"/>
      <c r="AA142" s="1032"/>
      <c r="AB142" s="1032"/>
    </row>
    <row r="143" spans="1:2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032"/>
      <c r="AA143" s="1032"/>
      <c r="AB143" s="1032"/>
    </row>
    <row r="144" spans="1:2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032"/>
      <c r="AA144" s="1032"/>
      <c r="AB144" s="1032"/>
    </row>
    <row r="145" spans="1:2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032"/>
      <c r="AA145" s="1032"/>
      <c r="AB145" s="1032"/>
    </row>
  </sheetData>
  <mergeCells count="206">
    <mergeCell ref="A1:AB1"/>
    <mergeCell ref="A2:AB2"/>
    <mergeCell ref="A3:AB3"/>
    <mergeCell ref="AA4:AB4"/>
    <mergeCell ref="A5:A7"/>
    <mergeCell ref="B5:B7"/>
    <mergeCell ref="C5:C7"/>
    <mergeCell ref="D5:D7"/>
    <mergeCell ref="E5:E7"/>
    <mergeCell ref="F5:F7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K5:N5"/>
    <mergeCell ref="O5:R5"/>
    <mergeCell ref="B10:AB10"/>
    <mergeCell ref="C11:AB11"/>
    <mergeCell ref="I12:I18"/>
    <mergeCell ref="S6:S7"/>
    <mergeCell ref="T6:U6"/>
    <mergeCell ref="V6:V7"/>
    <mergeCell ref="Y6:Y7"/>
    <mergeCell ref="Z6:AB6"/>
    <mergeCell ref="A8:AB8"/>
    <mergeCell ref="G5:G7"/>
    <mergeCell ref="H5:H7"/>
    <mergeCell ref="I5:I7"/>
    <mergeCell ref="J5:J7"/>
    <mergeCell ref="E17:E18"/>
    <mergeCell ref="A9:AB9"/>
    <mergeCell ref="Y17:Y18"/>
    <mergeCell ref="E25:E26"/>
    <mergeCell ref="Y21:Y22"/>
    <mergeCell ref="Z21:Z22"/>
    <mergeCell ref="AA21:AA22"/>
    <mergeCell ref="AB21:AB22"/>
    <mergeCell ref="E19:E20"/>
    <mergeCell ref="F19:F20"/>
    <mergeCell ref="G19:G20"/>
    <mergeCell ref="H19:H20"/>
    <mergeCell ref="I19:I20"/>
    <mergeCell ref="E21:E22"/>
    <mergeCell ref="F21:F22"/>
    <mergeCell ref="G21:G22"/>
    <mergeCell ref="H21:H22"/>
    <mergeCell ref="I21:I22"/>
    <mergeCell ref="I23:I25"/>
    <mergeCell ref="Y86:Y87"/>
    <mergeCell ref="G88:G90"/>
    <mergeCell ref="D110:D111"/>
    <mergeCell ref="A125:AB125"/>
    <mergeCell ref="C30:J30"/>
    <mergeCell ref="Y30:AB30"/>
    <mergeCell ref="C31:AB31"/>
    <mergeCell ref="E32:E33"/>
    <mergeCell ref="E34:E36"/>
    <mergeCell ref="E37:E38"/>
    <mergeCell ref="E41:E43"/>
    <mergeCell ref="E44:E46"/>
    <mergeCell ref="I32:I36"/>
    <mergeCell ref="Y70:Y71"/>
    <mergeCell ref="F67:F68"/>
    <mergeCell ref="E77:E79"/>
    <mergeCell ref="F77:F79"/>
    <mergeCell ref="H77:H79"/>
    <mergeCell ref="I77:I79"/>
    <mergeCell ref="F70:F71"/>
    <mergeCell ref="E73:E76"/>
    <mergeCell ref="I73:I76"/>
    <mergeCell ref="Y73:Y76"/>
    <mergeCell ref="Y77:Y79"/>
    <mergeCell ref="K130:N130"/>
    <mergeCell ref="Z132:AB132"/>
    <mergeCell ref="O133:R133"/>
    <mergeCell ref="E120:E121"/>
    <mergeCell ref="F120:F121"/>
    <mergeCell ref="G120:G121"/>
    <mergeCell ref="H120:H121"/>
    <mergeCell ref="I85:I87"/>
    <mergeCell ref="E105:E107"/>
    <mergeCell ref="F105:F111"/>
    <mergeCell ref="E110:E111"/>
    <mergeCell ref="Y101:AB101"/>
    <mergeCell ref="Y91:Y93"/>
    <mergeCell ref="G91:G93"/>
    <mergeCell ref="H91:H93"/>
    <mergeCell ref="C101:J101"/>
    <mergeCell ref="C102:AB102"/>
    <mergeCell ref="O130:R130"/>
    <mergeCell ref="S130:V130"/>
    <mergeCell ref="Z130:AB130"/>
    <mergeCell ref="A130:J130"/>
    <mergeCell ref="Y96:Y97"/>
    <mergeCell ref="E98:E99"/>
    <mergeCell ref="Y98:Y99"/>
    <mergeCell ref="K128:N128"/>
    <mergeCell ref="O128:R128"/>
    <mergeCell ref="S128:V128"/>
    <mergeCell ref="Z128:AB128"/>
    <mergeCell ref="A129:J129"/>
    <mergeCell ref="K129:N129"/>
    <mergeCell ref="O129:R129"/>
    <mergeCell ref="S129:V129"/>
    <mergeCell ref="Z129:AB129"/>
    <mergeCell ref="A138:J138"/>
    <mergeCell ref="A137:J137"/>
    <mergeCell ref="P140:Q140"/>
    <mergeCell ref="A136:J136"/>
    <mergeCell ref="A135:J135"/>
    <mergeCell ref="O135:R135"/>
    <mergeCell ref="S135:V135"/>
    <mergeCell ref="Z135:AB135"/>
    <mergeCell ref="K132:N132"/>
    <mergeCell ref="Z140:AB140"/>
    <mergeCell ref="K138:N138"/>
    <mergeCell ref="O138:R138"/>
    <mergeCell ref="S138:V138"/>
    <mergeCell ref="Z138:AB138"/>
    <mergeCell ref="Z139:AB139"/>
    <mergeCell ref="K136:N136"/>
    <mergeCell ref="O136:R136"/>
    <mergeCell ref="S136:V136"/>
    <mergeCell ref="Z136:AB136"/>
    <mergeCell ref="K137:N137"/>
    <mergeCell ref="O137:R137"/>
    <mergeCell ref="S137:V137"/>
    <mergeCell ref="Z137:AB137"/>
    <mergeCell ref="Z60:Z61"/>
    <mergeCell ref="AA60:AA61"/>
    <mergeCell ref="AB60:AB61"/>
    <mergeCell ref="G116:G119"/>
    <mergeCell ref="H116:H119"/>
    <mergeCell ref="I116:I119"/>
    <mergeCell ref="E118:E119"/>
    <mergeCell ref="Y118:Y119"/>
    <mergeCell ref="Y124:AB124"/>
    <mergeCell ref="G112:G115"/>
    <mergeCell ref="H112:H115"/>
    <mergeCell ref="I112:I115"/>
    <mergeCell ref="E114:E115"/>
    <mergeCell ref="F114:F115"/>
    <mergeCell ref="Y114:Y115"/>
    <mergeCell ref="AA94:AA95"/>
    <mergeCell ref="AB94:AB95"/>
    <mergeCell ref="B124:J124"/>
    <mergeCell ref="E88:E90"/>
    <mergeCell ref="F88:F90"/>
    <mergeCell ref="E96:E97"/>
    <mergeCell ref="Y80:Y81"/>
    <mergeCell ref="Y82:Y83"/>
    <mergeCell ref="E80:E83"/>
    <mergeCell ref="Y53:Y55"/>
    <mergeCell ref="E53:E55"/>
    <mergeCell ref="E51:E52"/>
    <mergeCell ref="F57:F59"/>
    <mergeCell ref="Y58:Y59"/>
    <mergeCell ref="Y60:Y61"/>
    <mergeCell ref="H88:H90"/>
    <mergeCell ref="I120:I121"/>
    <mergeCell ref="C122:J122"/>
    <mergeCell ref="F116:F119"/>
    <mergeCell ref="Y122:AB122"/>
    <mergeCell ref="F80:F83"/>
    <mergeCell ref="H80:H83"/>
    <mergeCell ref="I80:I83"/>
    <mergeCell ref="Z86:Z87"/>
    <mergeCell ref="AA86:AA87"/>
    <mergeCell ref="AB86:AB87"/>
    <mergeCell ref="E91:E93"/>
    <mergeCell ref="F91:F93"/>
    <mergeCell ref="Y89:Y90"/>
    <mergeCell ref="E94:E95"/>
    <mergeCell ref="Y94:Y95"/>
    <mergeCell ref="Z94:Z95"/>
    <mergeCell ref="E86:E87"/>
    <mergeCell ref="S134:V134"/>
    <mergeCell ref="K135:N135"/>
    <mergeCell ref="S133:V133"/>
    <mergeCell ref="A132:J132"/>
    <mergeCell ref="A133:J133"/>
    <mergeCell ref="E70:E72"/>
    <mergeCell ref="E60:E61"/>
    <mergeCell ref="E64:E65"/>
    <mergeCell ref="E39:E40"/>
    <mergeCell ref="O132:R132"/>
    <mergeCell ref="S132:V132"/>
    <mergeCell ref="K133:N133"/>
    <mergeCell ref="A134:J134"/>
    <mergeCell ref="K134:N134"/>
    <mergeCell ref="O134:R134"/>
    <mergeCell ref="A126:AB126"/>
    <mergeCell ref="A127:X127"/>
    <mergeCell ref="B123:J123"/>
    <mergeCell ref="Y123:AB123"/>
    <mergeCell ref="A131:J131"/>
    <mergeCell ref="K131:N131"/>
    <mergeCell ref="O131:R131"/>
    <mergeCell ref="S131:V131"/>
    <mergeCell ref="A128:J128"/>
  </mergeCells>
  <printOptions horizontalCentered="1"/>
  <pageMargins left="0" right="0" top="0" bottom="0" header="0.31496062992125984" footer="0.31496062992125984"/>
  <pageSetup paperSize="9" scale="83" fitToHeight="0" orientation="landscape" r:id="rId1"/>
  <rowBreaks count="5" manualBreakCount="5">
    <brk id="27" max="27" man="1"/>
    <brk id="47" max="27" man="1"/>
    <brk id="68" max="27" man="1"/>
    <brk id="95" max="27" man="1"/>
    <brk id="115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ColWidth="9.140625" defaultRowHeight="15.75" x14ac:dyDescent="0.25"/>
  <cols>
    <col min="1" max="1" width="22.7109375" style="126" customWidth="1"/>
    <col min="2" max="2" width="60.7109375" style="126" customWidth="1"/>
    <col min="3" max="16384" width="9.140625" style="126"/>
  </cols>
  <sheetData>
    <row r="1" spans="1:2" x14ac:dyDescent="0.25">
      <c r="A1" s="1787" t="s">
        <v>58</v>
      </c>
      <c r="B1" s="1787"/>
    </row>
    <row r="2" spans="1:2" ht="31.5" x14ac:dyDescent="0.25">
      <c r="A2" s="127" t="s">
        <v>5</v>
      </c>
      <c r="B2" s="128" t="s">
        <v>59</v>
      </c>
    </row>
    <row r="3" spans="1:2" x14ac:dyDescent="0.25">
      <c r="A3" s="127">
        <v>1</v>
      </c>
      <c r="B3" s="128" t="s">
        <v>60</v>
      </c>
    </row>
    <row r="4" spans="1:2" x14ac:dyDescent="0.25">
      <c r="A4" s="127">
        <v>2</v>
      </c>
      <c r="B4" s="128" t="s">
        <v>61</v>
      </c>
    </row>
    <row r="5" spans="1:2" x14ac:dyDescent="0.25">
      <c r="A5" s="127">
        <v>3</v>
      </c>
      <c r="B5" s="128" t="s">
        <v>62</v>
      </c>
    </row>
    <row r="6" spans="1:2" x14ac:dyDescent="0.25">
      <c r="A6" s="127">
        <v>4</v>
      </c>
      <c r="B6" s="128" t="s">
        <v>63</v>
      </c>
    </row>
    <row r="7" spans="1:2" x14ac:dyDescent="0.25">
      <c r="A7" s="127">
        <v>5</v>
      </c>
      <c r="B7" s="128" t="s">
        <v>64</v>
      </c>
    </row>
    <row r="8" spans="1:2" x14ac:dyDescent="0.25">
      <c r="A8" s="127">
        <v>6</v>
      </c>
      <c r="B8" s="128" t="s">
        <v>65</v>
      </c>
    </row>
    <row r="9" spans="1:2" ht="15.75" customHeight="1" x14ac:dyDescent="0.25"/>
    <row r="10" spans="1:2" ht="15.75" customHeight="1" x14ac:dyDescent="0.25">
      <c r="A10" s="1788" t="s">
        <v>66</v>
      </c>
      <c r="B10" s="1788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5"/>
  <sheetViews>
    <sheetView zoomScaleNormal="100" workbookViewId="0">
      <selection sqref="A1:Q1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6" customWidth="1"/>
    <col min="6" max="6" width="2.7109375" style="41" customWidth="1"/>
    <col min="7" max="7" width="8.5703125" style="6" customWidth="1"/>
    <col min="8" max="8" width="9.85546875" style="4" customWidth="1"/>
    <col min="9" max="11" width="9.140625" style="4" hidden="1" customWidth="1"/>
    <col min="12" max="13" width="9.140625" style="4" customWidth="1"/>
    <col min="14" max="14" width="24.7109375" style="50" customWidth="1"/>
    <col min="15" max="17" width="4.5703125" style="41" customWidth="1"/>
    <col min="18" max="16384" width="9.140625" style="1"/>
  </cols>
  <sheetData>
    <row r="1" spans="1:21" s="11" customFormat="1" x14ac:dyDescent="0.2">
      <c r="A1" s="1620" t="s">
        <v>182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</row>
    <row r="2" spans="1:21" s="11" customFormat="1" x14ac:dyDescent="0.2">
      <c r="A2" s="1630" t="s">
        <v>69</v>
      </c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  <c r="Q2" s="1631"/>
    </row>
    <row r="3" spans="1:21" s="11" customFormat="1" x14ac:dyDescent="0.2">
      <c r="A3" s="1620" t="s">
        <v>175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</row>
    <row r="4" spans="1:21" s="11" customFormat="1" ht="13.5" thickBot="1" x14ac:dyDescent="0.25">
      <c r="A4" s="8"/>
      <c r="B4" s="8"/>
      <c r="C4" s="8"/>
      <c r="D4" s="8"/>
      <c r="E4" s="1219"/>
      <c r="F4" s="42"/>
      <c r="G4" s="6"/>
      <c r="H4" s="8"/>
      <c r="I4" s="8"/>
      <c r="J4" s="8"/>
      <c r="K4" s="8"/>
      <c r="L4" s="8"/>
      <c r="M4" s="8"/>
      <c r="N4" s="48"/>
      <c r="O4" s="42"/>
      <c r="P4" s="1624" t="s">
        <v>0</v>
      </c>
      <c r="Q4" s="1624"/>
    </row>
    <row r="5" spans="1:21" s="11" customFormat="1" ht="13.5" thickBot="1" x14ac:dyDescent="0.25">
      <c r="A5" s="1632" t="s">
        <v>1</v>
      </c>
      <c r="B5" s="1635" t="s">
        <v>2</v>
      </c>
      <c r="C5" s="1635" t="s">
        <v>3</v>
      </c>
      <c r="D5" s="1501" t="s">
        <v>25</v>
      </c>
      <c r="E5" s="1639" t="s">
        <v>4</v>
      </c>
      <c r="F5" s="1642" t="s">
        <v>5</v>
      </c>
      <c r="G5" s="1457" t="s">
        <v>6</v>
      </c>
      <c r="H5" s="1793" t="s">
        <v>185</v>
      </c>
      <c r="I5" s="1794"/>
      <c r="J5" s="1794"/>
      <c r="K5" s="1795"/>
      <c r="L5" s="1457" t="s">
        <v>77</v>
      </c>
      <c r="M5" s="1457" t="s">
        <v>186</v>
      </c>
      <c r="N5" s="1509" t="s">
        <v>176</v>
      </c>
      <c r="O5" s="1510"/>
      <c r="P5" s="1510"/>
      <c r="Q5" s="1511"/>
    </row>
    <row r="6" spans="1:21" s="11" customFormat="1" x14ac:dyDescent="0.2">
      <c r="A6" s="1633"/>
      <c r="B6" s="1636"/>
      <c r="C6" s="1636"/>
      <c r="D6" s="1502"/>
      <c r="E6" s="1640"/>
      <c r="F6" s="1643"/>
      <c r="G6" s="1458"/>
      <c r="H6" s="1796"/>
      <c r="I6" s="1797"/>
      <c r="J6" s="1797"/>
      <c r="K6" s="1798"/>
      <c r="L6" s="1458"/>
      <c r="M6" s="1458"/>
      <c r="N6" s="1649" t="s">
        <v>25</v>
      </c>
      <c r="O6" s="1460" t="s">
        <v>243</v>
      </c>
      <c r="P6" s="1461"/>
      <c r="Q6" s="1462"/>
    </row>
    <row r="7" spans="1:21" s="11" customFormat="1" ht="79.5" customHeight="1" thickBot="1" x14ac:dyDescent="0.25">
      <c r="A7" s="1634"/>
      <c r="B7" s="1637"/>
      <c r="C7" s="1637"/>
      <c r="D7" s="1503"/>
      <c r="E7" s="1641"/>
      <c r="F7" s="1644"/>
      <c r="G7" s="1459"/>
      <c r="H7" s="1799"/>
      <c r="I7" s="1800"/>
      <c r="J7" s="1800"/>
      <c r="K7" s="1801"/>
      <c r="L7" s="1459"/>
      <c r="M7" s="1459"/>
      <c r="N7" s="1650"/>
      <c r="O7" s="85" t="s">
        <v>53</v>
      </c>
      <c r="P7" s="83" t="s">
        <v>78</v>
      </c>
      <c r="Q7" s="84" t="s">
        <v>187</v>
      </c>
    </row>
    <row r="8" spans="1:21" ht="24.75" customHeight="1" x14ac:dyDescent="0.2">
      <c r="A8" s="1646" t="s">
        <v>30</v>
      </c>
      <c r="B8" s="1647"/>
      <c r="C8" s="1647"/>
      <c r="D8" s="1647"/>
      <c r="E8" s="1647"/>
      <c r="F8" s="1647"/>
      <c r="G8" s="1647"/>
      <c r="H8" s="1647"/>
      <c r="I8" s="1647"/>
      <c r="J8" s="1647"/>
      <c r="K8" s="1647"/>
      <c r="L8" s="1647"/>
      <c r="M8" s="1647"/>
      <c r="N8" s="1647"/>
      <c r="O8" s="1647"/>
      <c r="P8" s="1647"/>
      <c r="Q8" s="1648"/>
    </row>
    <row r="9" spans="1:21" ht="13.5" thickBot="1" x14ac:dyDescent="0.25">
      <c r="A9" s="1627" t="s">
        <v>34</v>
      </c>
      <c r="B9" s="1628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9"/>
    </row>
    <row r="10" spans="1:21" ht="13.5" thickBot="1" x14ac:dyDescent="0.25">
      <c r="A10" s="13" t="s">
        <v>9</v>
      </c>
      <c r="B10" s="1463" t="s">
        <v>128</v>
      </c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4"/>
    </row>
    <row r="11" spans="1:21" ht="13.5" thickBot="1" x14ac:dyDescent="0.25">
      <c r="A11" s="13" t="s">
        <v>9</v>
      </c>
      <c r="B11" s="14" t="s">
        <v>9</v>
      </c>
      <c r="C11" s="1454" t="s">
        <v>40</v>
      </c>
      <c r="D11" s="1454"/>
      <c r="E11" s="1454"/>
      <c r="F11" s="1454"/>
      <c r="G11" s="1454"/>
      <c r="H11" s="1454"/>
      <c r="I11" s="1454"/>
      <c r="J11" s="1454"/>
      <c r="K11" s="1454"/>
      <c r="L11" s="1454"/>
      <c r="M11" s="1454"/>
      <c r="N11" s="1454"/>
      <c r="O11" s="1455"/>
      <c r="P11" s="1455"/>
      <c r="Q11" s="1456"/>
    </row>
    <row r="12" spans="1:21" ht="25.5" x14ac:dyDescent="0.2">
      <c r="A12" s="23" t="s">
        <v>9</v>
      </c>
      <c r="B12" s="26" t="s">
        <v>9</v>
      </c>
      <c r="C12" s="22" t="s">
        <v>9</v>
      </c>
      <c r="D12" s="177" t="s">
        <v>44</v>
      </c>
      <c r="E12" s="1676" t="s">
        <v>234</v>
      </c>
      <c r="F12" s="1208" t="s">
        <v>35</v>
      </c>
      <c r="G12" s="113" t="s">
        <v>12</v>
      </c>
      <c r="H12" s="1073">
        <f>I12+K12</f>
        <v>770</v>
      </c>
      <c r="I12" s="156">
        <v>770</v>
      </c>
      <c r="J12" s="156"/>
      <c r="K12" s="96"/>
      <c r="L12" s="62">
        <v>840</v>
      </c>
      <c r="M12" s="57">
        <v>1030</v>
      </c>
      <c r="N12" s="175" t="s">
        <v>244</v>
      </c>
      <c r="O12" s="78">
        <v>58</v>
      </c>
      <c r="P12" s="80">
        <v>58</v>
      </c>
      <c r="Q12" s="77">
        <v>58</v>
      </c>
      <c r="U12" s="123"/>
    </row>
    <row r="13" spans="1:21" ht="25.5" x14ac:dyDescent="0.2">
      <c r="A13" s="25"/>
      <c r="B13" s="28"/>
      <c r="C13" s="19"/>
      <c r="D13" s="1213" t="s">
        <v>166</v>
      </c>
      <c r="E13" s="1677"/>
      <c r="F13" s="354"/>
      <c r="G13" s="211"/>
      <c r="H13" s="537"/>
      <c r="I13" s="228"/>
      <c r="J13" s="228"/>
      <c r="K13" s="533"/>
      <c r="L13" s="589"/>
      <c r="M13" s="590"/>
      <c r="N13" s="675" t="s">
        <v>245</v>
      </c>
      <c r="O13" s="1047">
        <v>2</v>
      </c>
      <c r="P13" s="677">
        <v>3</v>
      </c>
      <c r="Q13" s="678">
        <v>3</v>
      </c>
    </row>
    <row r="14" spans="1:21" ht="16.5" customHeight="1" x14ac:dyDescent="0.2">
      <c r="A14" s="25"/>
      <c r="B14" s="28"/>
      <c r="C14" s="19"/>
      <c r="D14" s="141" t="s">
        <v>79</v>
      </c>
      <c r="E14" s="181"/>
      <c r="F14" s="354"/>
      <c r="G14" s="211"/>
      <c r="H14" s="537"/>
      <c r="I14" s="158"/>
      <c r="J14" s="158"/>
      <c r="K14" s="241"/>
      <c r="L14" s="176"/>
      <c r="M14" s="170"/>
      <c r="N14" s="876"/>
      <c r="O14" s="1130"/>
      <c r="P14" s="1132"/>
      <c r="Q14" s="1090"/>
      <c r="S14" s="123"/>
    </row>
    <row r="15" spans="1:21" ht="51" x14ac:dyDescent="0.2">
      <c r="A15" s="25"/>
      <c r="B15" s="28"/>
      <c r="C15" s="19"/>
      <c r="D15" s="1040" t="s">
        <v>289</v>
      </c>
      <c r="E15" s="181"/>
      <c r="F15" s="354"/>
      <c r="G15" s="211"/>
      <c r="H15" s="537"/>
      <c r="I15" s="158"/>
      <c r="J15" s="158"/>
      <c r="K15" s="241"/>
      <c r="L15" s="176"/>
      <c r="M15" s="170"/>
      <c r="N15" s="88"/>
      <c r="O15" s="1129"/>
      <c r="P15" s="140"/>
      <c r="Q15" s="252"/>
      <c r="S15" s="123"/>
    </row>
    <row r="16" spans="1:21" ht="38.25" x14ac:dyDescent="0.2">
      <c r="A16" s="25"/>
      <c r="B16" s="28"/>
      <c r="C16" s="19"/>
      <c r="D16" s="1191" t="s">
        <v>227</v>
      </c>
      <c r="E16" s="181"/>
      <c r="F16" s="354"/>
      <c r="G16" s="211"/>
      <c r="H16" s="537"/>
      <c r="I16" s="611"/>
      <c r="J16" s="158"/>
      <c r="K16" s="241"/>
      <c r="L16" s="176"/>
      <c r="M16" s="170"/>
      <c r="N16" s="88"/>
      <c r="O16" s="1129"/>
      <c r="P16" s="140"/>
      <c r="Q16" s="252"/>
      <c r="S16" s="123"/>
    </row>
    <row r="17" spans="1:24" x14ac:dyDescent="0.2">
      <c r="A17" s="25"/>
      <c r="B17" s="28"/>
      <c r="C17" s="19"/>
      <c r="D17" s="1450" t="s">
        <v>189</v>
      </c>
      <c r="E17" s="181"/>
      <c r="F17" s="354"/>
      <c r="G17" s="527"/>
      <c r="H17" s="1075"/>
      <c r="I17" s="744"/>
      <c r="J17" s="167"/>
      <c r="K17" s="119"/>
      <c r="L17" s="925"/>
      <c r="M17" s="222"/>
      <c r="N17" s="1536"/>
      <c r="O17" s="1129"/>
      <c r="P17" s="140"/>
      <c r="Q17" s="252"/>
      <c r="S17" s="123"/>
    </row>
    <row r="18" spans="1:24" ht="13.5" thickBot="1" x14ac:dyDescent="0.25">
      <c r="A18" s="25"/>
      <c r="B18" s="28"/>
      <c r="C18" s="19"/>
      <c r="D18" s="1451"/>
      <c r="E18" s="1192"/>
      <c r="F18" s="355"/>
      <c r="G18" s="397" t="s">
        <v>16</v>
      </c>
      <c r="H18" s="1216">
        <f>SUM(H12:H17)</f>
        <v>770</v>
      </c>
      <c r="I18" s="1216">
        <f>SUM(I12:I17)</f>
        <v>770</v>
      </c>
      <c r="J18" s="1216">
        <f t="shared" ref="J18:M18" si="0">SUM(J12:J17)</f>
        <v>0</v>
      </c>
      <c r="K18" s="1216">
        <f t="shared" si="0"/>
        <v>0</v>
      </c>
      <c r="L18" s="1216">
        <f t="shared" si="0"/>
        <v>840</v>
      </c>
      <c r="M18" s="1216">
        <f t="shared" si="0"/>
        <v>1030</v>
      </c>
      <c r="N18" s="1645"/>
      <c r="O18" s="1131"/>
      <c r="P18" s="362"/>
      <c r="Q18" s="1007"/>
      <c r="S18" s="123"/>
    </row>
    <row r="19" spans="1:24" x14ac:dyDescent="0.2">
      <c r="A19" s="23" t="s">
        <v>9</v>
      </c>
      <c r="B19" s="26" t="s">
        <v>9</v>
      </c>
      <c r="C19" s="22" t="s">
        <v>10</v>
      </c>
      <c r="D19" s="1678" t="s">
        <v>80</v>
      </c>
      <c r="E19" s="1515"/>
      <c r="F19" s="1519" t="s">
        <v>35</v>
      </c>
      <c r="G19" s="94" t="s">
        <v>12</v>
      </c>
      <c r="H19" s="1073">
        <f t="shared" ref="H19:H24" si="1">I19+K19</f>
        <v>500</v>
      </c>
      <c r="I19" s="686">
        <v>500</v>
      </c>
      <c r="J19" s="156"/>
      <c r="K19" s="96"/>
      <c r="L19" s="62">
        <v>600</v>
      </c>
      <c r="M19" s="57">
        <v>600</v>
      </c>
      <c r="N19" s="213" t="s">
        <v>246</v>
      </c>
      <c r="O19" s="1220">
        <v>4</v>
      </c>
      <c r="P19" s="1221">
        <v>5</v>
      </c>
      <c r="Q19" s="1205">
        <v>5</v>
      </c>
    </row>
    <row r="20" spans="1:24" ht="13.5" thickBot="1" x14ac:dyDescent="0.25">
      <c r="A20" s="25"/>
      <c r="B20" s="28"/>
      <c r="C20" s="19"/>
      <c r="D20" s="1451"/>
      <c r="E20" s="1516"/>
      <c r="F20" s="1520"/>
      <c r="G20" s="397" t="s">
        <v>16</v>
      </c>
      <c r="H20" s="1216">
        <f t="shared" si="1"/>
        <v>500</v>
      </c>
      <c r="I20" s="1217">
        <f>SUM(I19:I19)</f>
        <v>500</v>
      </c>
      <c r="J20" s="1217"/>
      <c r="K20" s="1218"/>
      <c r="L20" s="399">
        <f>SUM(L19:L19)</f>
        <v>600</v>
      </c>
      <c r="M20" s="389">
        <f>SUM(M19:M19)</f>
        <v>600</v>
      </c>
      <c r="N20" s="363"/>
      <c r="O20" s="178"/>
      <c r="P20" s="362"/>
      <c r="Q20" s="360"/>
      <c r="S20" s="123"/>
    </row>
    <row r="21" spans="1:24" x14ac:dyDescent="0.2">
      <c r="A21" s="23" t="s">
        <v>9</v>
      </c>
      <c r="B21" s="26" t="s">
        <v>9</v>
      </c>
      <c r="C21" s="22" t="s">
        <v>11</v>
      </c>
      <c r="D21" s="1465" t="s">
        <v>73</v>
      </c>
      <c r="E21" s="1515"/>
      <c r="F21" s="1519" t="s">
        <v>35</v>
      </c>
      <c r="G21" s="94" t="s">
        <v>12</v>
      </c>
      <c r="H21" s="1073">
        <f t="shared" si="1"/>
        <v>31.2</v>
      </c>
      <c r="I21" s="156">
        <v>31.2</v>
      </c>
      <c r="J21" s="156"/>
      <c r="K21" s="96"/>
      <c r="L21" s="64">
        <v>31.2</v>
      </c>
      <c r="M21" s="693">
        <v>31.2</v>
      </c>
      <c r="N21" s="1621" t="s">
        <v>247</v>
      </c>
      <c r="O21" s="1623">
        <v>6</v>
      </c>
      <c r="P21" s="1625">
        <v>6</v>
      </c>
      <c r="Q21" s="1490">
        <v>6</v>
      </c>
    </row>
    <row r="22" spans="1:24" ht="13.5" thickBot="1" x14ac:dyDescent="0.25">
      <c r="A22" s="25"/>
      <c r="B22" s="28"/>
      <c r="C22" s="19"/>
      <c r="D22" s="1466"/>
      <c r="E22" s="1516"/>
      <c r="F22" s="1520"/>
      <c r="G22" s="397" t="s">
        <v>16</v>
      </c>
      <c r="H22" s="1216">
        <f t="shared" si="1"/>
        <v>31.2</v>
      </c>
      <c r="I22" s="1217">
        <f>SUM(I21:I21)</f>
        <v>31.2</v>
      </c>
      <c r="J22" s="1217"/>
      <c r="K22" s="1218"/>
      <c r="L22" s="399">
        <f>SUM(L21:L21)</f>
        <v>31.2</v>
      </c>
      <c r="M22" s="389">
        <f>SUM(M21:M21)</f>
        <v>31.2</v>
      </c>
      <c r="N22" s="1622"/>
      <c r="O22" s="1624"/>
      <c r="P22" s="1626"/>
      <c r="Q22" s="1491"/>
    </row>
    <row r="23" spans="1:24" ht="25.5" x14ac:dyDescent="0.2">
      <c r="A23" s="37" t="s">
        <v>9</v>
      </c>
      <c r="B23" s="26" t="s">
        <v>9</v>
      </c>
      <c r="C23" s="22" t="s">
        <v>13</v>
      </c>
      <c r="D23" s="99" t="s">
        <v>127</v>
      </c>
      <c r="E23" s="320"/>
      <c r="F23" s="361" t="s">
        <v>35</v>
      </c>
      <c r="G23" s="344" t="s">
        <v>116</v>
      </c>
      <c r="H23" s="1087">
        <f t="shared" si="1"/>
        <v>464.1</v>
      </c>
      <c r="I23" s="688">
        <v>464.1</v>
      </c>
      <c r="J23" s="1206"/>
      <c r="K23" s="1207"/>
      <c r="L23" s="120">
        <v>528</v>
      </c>
      <c r="M23" s="64">
        <v>528</v>
      </c>
      <c r="N23" s="1228" t="s">
        <v>248</v>
      </c>
      <c r="O23" s="778">
        <v>16</v>
      </c>
      <c r="P23" s="1196">
        <v>16</v>
      </c>
      <c r="Q23" s="1198">
        <v>16</v>
      </c>
      <c r="V23" s="123"/>
    </row>
    <row r="24" spans="1:24" ht="38.25" x14ac:dyDescent="0.2">
      <c r="A24" s="38"/>
      <c r="B24" s="28"/>
      <c r="C24" s="19"/>
      <c r="D24" s="1050" t="s">
        <v>261</v>
      </c>
      <c r="E24" s="321"/>
      <c r="F24" s="1212"/>
      <c r="G24" s="866" t="s">
        <v>12</v>
      </c>
      <c r="H24" s="1097">
        <f t="shared" si="1"/>
        <v>418</v>
      </c>
      <c r="I24" s="1096">
        <v>418</v>
      </c>
      <c r="J24" s="162"/>
      <c r="K24" s="869"/>
      <c r="L24" s="124">
        <v>531</v>
      </c>
      <c r="M24" s="66">
        <v>531</v>
      </c>
      <c r="N24" s="1228" t="s">
        <v>249</v>
      </c>
      <c r="O24" s="778">
        <v>16</v>
      </c>
      <c r="P24" s="1196">
        <v>16</v>
      </c>
      <c r="Q24" s="1198">
        <v>16</v>
      </c>
      <c r="S24" s="139"/>
      <c r="X24" s="123"/>
    </row>
    <row r="25" spans="1:24" x14ac:dyDescent="0.2">
      <c r="A25" s="38"/>
      <c r="B25" s="662"/>
      <c r="C25" s="19"/>
      <c r="D25" s="1557" t="s">
        <v>190</v>
      </c>
      <c r="E25" s="321"/>
      <c r="F25" s="326"/>
      <c r="G25" s="110"/>
      <c r="H25" s="1098"/>
      <c r="I25" s="160"/>
      <c r="J25" s="161"/>
      <c r="K25" s="105"/>
      <c r="L25" s="905"/>
      <c r="M25" s="65"/>
      <c r="N25" s="1488" t="s">
        <v>250</v>
      </c>
      <c r="O25" s="1133" t="s">
        <v>50</v>
      </c>
      <c r="P25" s="1200" t="s">
        <v>50</v>
      </c>
      <c r="Q25" s="264" t="s">
        <v>50</v>
      </c>
      <c r="S25" s="783"/>
      <c r="T25" s="783"/>
      <c r="U25" s="783"/>
      <c r="V25" s="783"/>
    </row>
    <row r="26" spans="1:24" ht="28.5" customHeight="1" x14ac:dyDescent="0.2">
      <c r="A26" s="38"/>
      <c r="B26" s="662"/>
      <c r="C26" s="19"/>
      <c r="D26" s="1557"/>
      <c r="E26" s="321"/>
      <c r="F26" s="326"/>
      <c r="G26" s="110"/>
      <c r="H26" s="1098"/>
      <c r="I26" s="160"/>
      <c r="J26" s="161"/>
      <c r="K26" s="105"/>
      <c r="L26" s="905"/>
      <c r="M26" s="65"/>
      <c r="N26" s="1489"/>
      <c r="O26" s="1134"/>
      <c r="P26" s="1201"/>
      <c r="Q26" s="1124"/>
    </row>
    <row r="27" spans="1:24" x14ac:dyDescent="0.2">
      <c r="A27" s="25"/>
      <c r="B27" s="28"/>
      <c r="C27" s="19"/>
      <c r="D27" s="1450" t="s">
        <v>126</v>
      </c>
      <c r="E27" s="1035"/>
      <c r="F27" s="1037"/>
      <c r="G27" s="1039"/>
      <c r="H27" s="1099"/>
      <c r="I27" s="353"/>
      <c r="J27" s="611"/>
      <c r="K27" s="1041"/>
      <c r="L27" s="1136"/>
      <c r="M27" s="589"/>
      <c r="N27" s="1193"/>
      <c r="O27" s="336"/>
      <c r="P27" s="1197"/>
      <c r="Q27" s="1199"/>
    </row>
    <row r="28" spans="1:24" ht="13.5" thickBot="1" x14ac:dyDescent="0.25">
      <c r="A28" s="39"/>
      <c r="B28" s="14"/>
      <c r="C28" s="36"/>
      <c r="D28" s="1451"/>
      <c r="E28" s="322"/>
      <c r="F28" s="327"/>
      <c r="G28" s="400" t="s">
        <v>16</v>
      </c>
      <c r="H28" s="399">
        <f>SUM(H23:H27)</f>
        <v>882.1</v>
      </c>
      <c r="I28" s="388">
        <f>SUM(I23:I27)</f>
        <v>882.1</v>
      </c>
      <c r="J28" s="388">
        <f>SUM(J24:J27)</f>
        <v>0</v>
      </c>
      <c r="K28" s="398">
        <f>SUM(K24:K27)</f>
        <v>0</v>
      </c>
      <c r="L28" s="389">
        <f>SUM(L23:L27)</f>
        <v>1059</v>
      </c>
      <c r="M28" s="399">
        <f>SUM(M23:M27)</f>
        <v>1059</v>
      </c>
      <c r="N28" s="885"/>
      <c r="O28" s="591"/>
      <c r="P28" s="886"/>
      <c r="Q28" s="1135"/>
      <c r="S28" s="123"/>
    </row>
    <row r="29" spans="1:24" ht="13.5" thickBot="1" x14ac:dyDescent="0.25">
      <c r="A29" s="24" t="s">
        <v>9</v>
      </c>
      <c r="B29" s="34" t="s">
        <v>9</v>
      </c>
      <c r="C29" s="1527" t="s">
        <v>15</v>
      </c>
      <c r="D29" s="1528"/>
      <c r="E29" s="1528"/>
      <c r="F29" s="1529"/>
      <c r="G29" s="1530"/>
      <c r="H29" s="197">
        <f>I29+K29</f>
        <v>2183.3000000000002</v>
      </c>
      <c r="I29" s="17">
        <f>I28+I22+I20+I18</f>
        <v>2183.3000000000002</v>
      </c>
      <c r="J29" s="15">
        <f>J28+J22+J20+J18</f>
        <v>0</v>
      </c>
      <c r="K29" s="370">
        <f>K28+K22+K20+K18</f>
        <v>0</v>
      </c>
      <c r="L29" s="16">
        <f>L28+L22+L20+L18</f>
        <v>2530.1999999999998</v>
      </c>
      <c r="M29" s="17">
        <f>M28+M22+M20+M18</f>
        <v>2720.2</v>
      </c>
      <c r="N29" s="1485"/>
      <c r="O29" s="1486"/>
      <c r="P29" s="1486"/>
      <c r="Q29" s="1487"/>
    </row>
    <row r="30" spans="1:24" ht="13.5" thickBot="1" x14ac:dyDescent="0.25">
      <c r="A30" s="21" t="s">
        <v>9</v>
      </c>
      <c r="B30" s="27" t="s">
        <v>10</v>
      </c>
      <c r="C30" s="1521" t="s">
        <v>96</v>
      </c>
      <c r="D30" s="1522"/>
      <c r="E30" s="1522"/>
      <c r="F30" s="1522"/>
      <c r="G30" s="1523"/>
      <c r="H30" s="1523"/>
      <c r="I30" s="1523"/>
      <c r="J30" s="1523"/>
      <c r="K30" s="1523"/>
      <c r="L30" s="1523"/>
      <c r="M30" s="1523"/>
      <c r="N30" s="1523"/>
      <c r="O30" s="1523"/>
      <c r="P30" s="1523"/>
      <c r="Q30" s="1524"/>
    </row>
    <row r="31" spans="1:24" ht="25.5" x14ac:dyDescent="0.2">
      <c r="A31" s="21" t="s">
        <v>9</v>
      </c>
      <c r="B31" s="27" t="s">
        <v>10</v>
      </c>
      <c r="C31" s="22" t="s">
        <v>9</v>
      </c>
      <c r="D31" s="1679" t="s">
        <v>67</v>
      </c>
      <c r="E31" s="1680"/>
      <c r="F31" s="334">
        <v>2</v>
      </c>
      <c r="G31" s="214" t="s">
        <v>12</v>
      </c>
      <c r="H31" s="1125">
        <v>9318.9</v>
      </c>
      <c r="I31" s="1126">
        <f>9254.9-270.7</f>
        <v>8984.1999999999989</v>
      </c>
      <c r="J31" s="987">
        <f>5426</f>
        <v>5426</v>
      </c>
      <c r="K31" s="1127">
        <v>26</v>
      </c>
      <c r="L31" s="1328">
        <v>8646.2000000000007</v>
      </c>
      <c r="M31" s="63">
        <v>7792.3</v>
      </c>
      <c r="N31" s="631" t="s">
        <v>248</v>
      </c>
      <c r="O31" s="257">
        <v>1214</v>
      </c>
      <c r="P31" s="258" t="s">
        <v>235</v>
      </c>
      <c r="Q31" s="259" t="s">
        <v>235</v>
      </c>
      <c r="R31" s="783"/>
      <c r="S31" s="783"/>
      <c r="T31" s="783"/>
      <c r="U31" s="783"/>
      <c r="V31" s="1137"/>
      <c r="W31" s="783"/>
    </row>
    <row r="32" spans="1:24" x14ac:dyDescent="0.2">
      <c r="A32" s="661"/>
      <c r="B32" s="662"/>
      <c r="C32" s="19"/>
      <c r="D32" s="1526"/>
      <c r="E32" s="1681"/>
      <c r="F32" s="335"/>
      <c r="G32" s="111" t="s">
        <v>28</v>
      </c>
      <c r="H32" s="911">
        <f>I32+K32</f>
        <v>1209.7</v>
      </c>
      <c r="I32" s="1206">
        <v>1164.2</v>
      </c>
      <c r="J32" s="1206">
        <v>16.600000000000001</v>
      </c>
      <c r="K32" s="910">
        <v>45.5</v>
      </c>
      <c r="L32" s="120">
        <v>1298.5</v>
      </c>
      <c r="M32" s="692">
        <v>1298.5</v>
      </c>
      <c r="N32" s="1141" t="s">
        <v>49</v>
      </c>
      <c r="O32" s="1142">
        <v>822.5</v>
      </c>
      <c r="P32" s="641" t="s">
        <v>236</v>
      </c>
      <c r="Q32" s="642" t="s">
        <v>237</v>
      </c>
      <c r="R32" s="1138"/>
      <c r="S32" s="1137"/>
      <c r="T32" s="1137"/>
      <c r="U32" s="783"/>
      <c r="V32" s="783"/>
      <c r="W32" s="783"/>
    </row>
    <row r="33" spans="1:25" ht="12.75" customHeight="1" x14ac:dyDescent="0.2">
      <c r="A33" s="661"/>
      <c r="B33" s="662"/>
      <c r="C33" s="19"/>
      <c r="D33" s="1557" t="s">
        <v>36</v>
      </c>
      <c r="E33" s="1681"/>
      <c r="F33" s="335"/>
      <c r="G33" s="111" t="s">
        <v>20</v>
      </c>
      <c r="H33" s="911">
        <f>I33+K33</f>
        <v>33.200000000000003</v>
      </c>
      <c r="I33" s="1206">
        <v>33.200000000000003</v>
      </c>
      <c r="J33" s="1206"/>
      <c r="K33" s="910"/>
      <c r="L33" s="120">
        <v>220</v>
      </c>
      <c r="M33" s="692">
        <v>168</v>
      </c>
      <c r="N33" s="1467" t="s">
        <v>277</v>
      </c>
      <c r="O33" s="1469">
        <v>2</v>
      </c>
      <c r="P33" s="1471">
        <v>1</v>
      </c>
      <c r="Q33" s="1473"/>
      <c r="R33" s="783"/>
      <c r="S33" s="783"/>
      <c r="T33" s="783"/>
      <c r="U33" s="783"/>
      <c r="V33" s="783"/>
      <c r="W33" s="783"/>
    </row>
    <row r="34" spans="1:25" ht="12.75" customHeight="1" x14ac:dyDescent="0.2">
      <c r="A34" s="661"/>
      <c r="B34" s="662"/>
      <c r="C34" s="19"/>
      <c r="D34" s="1557"/>
      <c r="E34" s="1681"/>
      <c r="F34" s="335"/>
      <c r="G34" s="215" t="s">
        <v>29</v>
      </c>
      <c r="H34" s="1139">
        <f>I34+K34</f>
        <v>651.79999999999995</v>
      </c>
      <c r="I34" s="636">
        <v>651.79999999999995</v>
      </c>
      <c r="J34" s="1122"/>
      <c r="K34" s="1123"/>
      <c r="L34" s="1329">
        <v>160</v>
      </c>
      <c r="M34" s="66"/>
      <c r="N34" s="1468"/>
      <c r="O34" s="1470"/>
      <c r="P34" s="1472"/>
      <c r="Q34" s="1474"/>
      <c r="R34" s="1138"/>
      <c r="S34" s="1137"/>
      <c r="T34" s="1137"/>
      <c r="U34" s="1137"/>
      <c r="V34" s="783"/>
      <c r="W34" s="783"/>
    </row>
    <row r="35" spans="1:25" ht="12.75" customHeight="1" x14ac:dyDescent="0.2">
      <c r="A35" s="661"/>
      <c r="B35" s="662"/>
      <c r="C35" s="35"/>
      <c r="D35" s="1557"/>
      <c r="E35" s="1681"/>
      <c r="F35" s="335"/>
      <c r="G35" s="215"/>
      <c r="H35" s="1139"/>
      <c r="I35" s="636"/>
      <c r="J35" s="1122"/>
      <c r="K35" s="1123"/>
      <c r="L35" s="1329"/>
      <c r="M35" s="1140"/>
      <c r="N35" s="1468"/>
      <c r="O35" s="1470"/>
      <c r="P35" s="1472"/>
      <c r="Q35" s="1474"/>
      <c r="R35" s="783"/>
      <c r="S35" s="783"/>
      <c r="T35" s="783"/>
      <c r="U35" s="783"/>
      <c r="V35" s="783"/>
      <c r="W35" s="783"/>
    </row>
    <row r="36" spans="1:25" ht="27.75" customHeight="1" x14ac:dyDescent="0.2">
      <c r="A36" s="38"/>
      <c r="B36" s="28"/>
      <c r="C36" s="19"/>
      <c r="D36" s="1557" t="s">
        <v>195</v>
      </c>
      <c r="E36" s="1681"/>
      <c r="F36" s="335"/>
      <c r="G36" s="211"/>
      <c r="H36" s="537"/>
      <c r="I36" s="228"/>
      <c r="J36" s="636"/>
      <c r="K36" s="268"/>
      <c r="L36" s="1330"/>
      <c r="M36" s="269"/>
      <c r="N36" s="1468"/>
      <c r="O36" s="1470"/>
      <c r="P36" s="1472"/>
      <c r="Q36" s="1474"/>
      <c r="R36" s="783"/>
      <c r="S36" s="783"/>
      <c r="T36" s="783"/>
      <c r="U36" s="783"/>
      <c r="V36" s="783"/>
      <c r="W36" s="783"/>
    </row>
    <row r="37" spans="1:25" ht="27.75" customHeight="1" x14ac:dyDescent="0.2">
      <c r="A37" s="38"/>
      <c r="B37" s="28"/>
      <c r="C37" s="19"/>
      <c r="D37" s="1557"/>
      <c r="E37" s="142"/>
      <c r="F37" s="335"/>
      <c r="G37" s="211"/>
      <c r="H37" s="537"/>
      <c r="I37" s="267"/>
      <c r="J37" s="267"/>
      <c r="K37" s="268"/>
      <c r="L37" s="1330"/>
      <c r="M37" s="269"/>
      <c r="N37" s="1193"/>
      <c r="O37" s="1195"/>
      <c r="P37" s="1197"/>
      <c r="Q37" s="282"/>
      <c r="R37" s="783"/>
      <c r="S37" s="783"/>
      <c r="T37" s="783"/>
      <c r="U37" s="783"/>
      <c r="V37" s="783"/>
      <c r="W37" s="783"/>
    </row>
    <row r="38" spans="1:25" ht="28.5" customHeight="1" x14ac:dyDescent="0.2">
      <c r="A38" s="38"/>
      <c r="B38" s="28"/>
      <c r="C38" s="19"/>
      <c r="D38" s="1557" t="s">
        <v>291</v>
      </c>
      <c r="E38" s="142"/>
      <c r="F38" s="335"/>
      <c r="G38" s="1143"/>
      <c r="H38" s="537"/>
      <c r="I38" s="611"/>
      <c r="J38" s="267"/>
      <c r="K38" s="268"/>
      <c r="L38" s="1330"/>
      <c r="M38" s="269"/>
      <c r="N38" s="1144"/>
      <c r="O38" s="1195"/>
      <c r="P38" s="1197"/>
      <c r="Q38" s="282"/>
    </row>
    <row r="39" spans="1:25" ht="42.75" customHeight="1" x14ac:dyDescent="0.2">
      <c r="A39" s="38"/>
      <c r="B39" s="28"/>
      <c r="C39" s="19"/>
      <c r="D39" s="1557"/>
      <c r="E39" s="142"/>
      <c r="F39" s="335"/>
      <c r="G39" s="1039"/>
      <c r="H39" s="537"/>
      <c r="I39" s="611"/>
      <c r="J39" s="267"/>
      <c r="K39" s="268"/>
      <c r="L39" s="1330"/>
      <c r="M39" s="269"/>
      <c r="N39" s="1144"/>
      <c r="O39" s="1195"/>
      <c r="P39" s="1197"/>
      <c r="Q39" s="282"/>
    </row>
    <row r="40" spans="1:25" ht="12.75" customHeight="1" x14ac:dyDescent="0.2">
      <c r="A40" s="38"/>
      <c r="B40" s="28"/>
      <c r="C40" s="19"/>
      <c r="D40" s="1538" t="s">
        <v>37</v>
      </c>
      <c r="E40" s="142"/>
      <c r="F40" s="335"/>
      <c r="G40" s="211"/>
      <c r="H40" s="537"/>
      <c r="I40" s="267"/>
      <c r="J40" s="267"/>
      <c r="K40" s="268"/>
      <c r="L40" s="1792"/>
      <c r="M40" s="269"/>
      <c r="N40" s="1193"/>
      <c r="O40" s="1195"/>
      <c r="P40" s="1197"/>
      <c r="Q40" s="282"/>
    </row>
    <row r="41" spans="1:25" ht="12.75" customHeight="1" x14ac:dyDescent="0.2">
      <c r="A41" s="38"/>
      <c r="B41" s="28"/>
      <c r="C41" s="19"/>
      <c r="D41" s="1538"/>
      <c r="E41" s="142"/>
      <c r="F41" s="335"/>
      <c r="G41" s="215"/>
      <c r="H41" s="537"/>
      <c r="I41" s="267"/>
      <c r="J41" s="267"/>
      <c r="K41" s="268"/>
      <c r="L41" s="1792"/>
      <c r="M41" s="269"/>
      <c r="N41" s="1193"/>
      <c r="O41" s="1195"/>
      <c r="P41" s="1197"/>
      <c r="Q41" s="282"/>
    </row>
    <row r="42" spans="1:25" ht="12.75" customHeight="1" x14ac:dyDescent="0.2">
      <c r="A42" s="38"/>
      <c r="B42" s="28"/>
      <c r="C42" s="19"/>
      <c r="D42" s="1538"/>
      <c r="E42" s="142"/>
      <c r="F42" s="335"/>
      <c r="G42" s="215"/>
      <c r="H42" s="537"/>
      <c r="I42" s="1145"/>
      <c r="J42" s="1145"/>
      <c r="K42" s="1146"/>
      <c r="L42" s="1331"/>
      <c r="M42" s="1147"/>
      <c r="N42" s="1193"/>
      <c r="O42" s="1195"/>
      <c r="P42" s="1197"/>
      <c r="Q42" s="282"/>
    </row>
    <row r="43" spans="1:25" ht="12.75" customHeight="1" x14ac:dyDescent="0.2">
      <c r="A43" s="661"/>
      <c r="B43" s="662"/>
      <c r="C43" s="40"/>
      <c r="D43" s="1557" t="s">
        <v>262</v>
      </c>
      <c r="E43" s="142"/>
      <c r="F43" s="335"/>
      <c r="G43" s="98"/>
      <c r="H43" s="537"/>
      <c r="I43" s="228"/>
      <c r="J43" s="228"/>
      <c r="K43" s="533"/>
      <c r="L43" s="905"/>
      <c r="M43" s="65"/>
      <c r="N43" s="1193"/>
      <c r="O43" s="1195"/>
      <c r="P43" s="1197"/>
      <c r="Q43" s="1199"/>
    </row>
    <row r="44" spans="1:25" ht="12.75" customHeight="1" x14ac:dyDescent="0.2">
      <c r="A44" s="661"/>
      <c r="B44" s="662"/>
      <c r="C44" s="40"/>
      <c r="D44" s="1557"/>
      <c r="E44" s="142"/>
      <c r="F44" s="335"/>
      <c r="G44" s="98"/>
      <c r="H44" s="537"/>
      <c r="I44" s="228"/>
      <c r="J44" s="228"/>
      <c r="K44" s="533"/>
      <c r="L44" s="905"/>
      <c r="M44" s="65"/>
      <c r="N44" s="1193"/>
      <c r="O44" s="1195"/>
      <c r="P44" s="1197"/>
      <c r="Q44" s="1199"/>
      <c r="W44" s="123"/>
      <c r="Y44" s="123"/>
    </row>
    <row r="45" spans="1:25" ht="12.75" customHeight="1" x14ac:dyDescent="0.2">
      <c r="A45" s="661"/>
      <c r="B45" s="662"/>
      <c r="C45" s="19"/>
      <c r="D45" s="1557"/>
      <c r="E45" s="142"/>
      <c r="F45" s="335"/>
      <c r="G45" s="98"/>
      <c r="H45" s="537"/>
      <c r="I45" s="228"/>
      <c r="J45" s="228"/>
      <c r="K45" s="533"/>
      <c r="L45" s="905"/>
      <c r="M45" s="65"/>
      <c r="N45" s="1193"/>
      <c r="O45" s="1195"/>
      <c r="P45" s="1197"/>
      <c r="Q45" s="1199"/>
      <c r="S45" s="783"/>
      <c r="T45" s="783"/>
    </row>
    <row r="46" spans="1:25" ht="12.75" customHeight="1" x14ac:dyDescent="0.2">
      <c r="A46" s="25"/>
      <c r="B46" s="28"/>
      <c r="C46" s="19"/>
      <c r="D46" s="1557" t="s">
        <v>167</v>
      </c>
      <c r="E46" s="142"/>
      <c r="F46" s="335"/>
      <c r="G46" s="98"/>
      <c r="H46" s="537"/>
      <c r="I46" s="1148"/>
      <c r="J46" s="35"/>
      <c r="K46" s="533"/>
      <c r="L46" s="905"/>
      <c r="M46" s="65"/>
      <c r="N46" s="1229"/>
      <c r="O46" s="1195"/>
      <c r="P46" s="1197"/>
      <c r="Q46" s="1199"/>
    </row>
    <row r="47" spans="1:25" ht="12.75" customHeight="1" x14ac:dyDescent="0.2">
      <c r="A47" s="25"/>
      <c r="B47" s="28"/>
      <c r="C47" s="19"/>
      <c r="D47" s="1557"/>
      <c r="E47" s="142"/>
      <c r="F47" s="335"/>
      <c r="G47" s="98"/>
      <c r="H47" s="537"/>
      <c r="I47" s="228"/>
      <c r="J47" s="228"/>
      <c r="K47" s="533"/>
      <c r="L47" s="905"/>
      <c r="M47" s="65"/>
      <c r="N47" s="1229"/>
      <c r="O47" s="1195"/>
      <c r="P47" s="1197"/>
      <c r="Q47" s="1199"/>
      <c r="U47" s="123"/>
    </row>
    <row r="48" spans="1:25" ht="40.5" customHeight="1" x14ac:dyDescent="0.2">
      <c r="A48" s="25"/>
      <c r="B48" s="28"/>
      <c r="C48" s="19"/>
      <c r="D48" s="1557" t="s">
        <v>263</v>
      </c>
      <c r="E48" s="142"/>
      <c r="F48" s="335"/>
      <c r="G48" s="98"/>
      <c r="H48" s="537"/>
      <c r="I48" s="228"/>
      <c r="J48" s="228"/>
      <c r="K48" s="533"/>
      <c r="L48" s="905"/>
      <c r="M48" s="65"/>
      <c r="N48" s="1193"/>
      <c r="O48" s="1232"/>
      <c r="P48" s="1197"/>
      <c r="Q48" s="1090"/>
      <c r="S48" s="123"/>
      <c r="U48" s="123"/>
    </row>
    <row r="49" spans="1:23" ht="25.5" customHeight="1" x14ac:dyDescent="0.2">
      <c r="A49" s="1233"/>
      <c r="B49" s="1234"/>
      <c r="C49" s="887"/>
      <c r="D49" s="1683"/>
      <c r="E49" s="878"/>
      <c r="F49" s="891"/>
      <c r="G49" s="125"/>
      <c r="H49" s="1075"/>
      <c r="I49" s="744"/>
      <c r="J49" s="374"/>
      <c r="K49" s="375"/>
      <c r="L49" s="1190"/>
      <c r="M49" s="520"/>
      <c r="N49" s="760"/>
      <c r="O49" s="729"/>
      <c r="P49" s="730"/>
      <c r="Q49" s="761"/>
      <c r="R49" s="783"/>
      <c r="S49" s="783"/>
      <c r="U49" s="123"/>
    </row>
    <row r="50" spans="1:23" x14ac:dyDescent="0.2">
      <c r="A50" s="25"/>
      <c r="B50" s="28"/>
      <c r="C50" s="19"/>
      <c r="D50" s="1557" t="s">
        <v>293</v>
      </c>
      <c r="E50" s="142"/>
      <c r="F50" s="335"/>
      <c r="G50" s="1039"/>
      <c r="H50" s="550"/>
      <c r="I50" s="611"/>
      <c r="J50" s="228"/>
      <c r="K50" s="533"/>
      <c r="L50" s="905"/>
      <c r="M50" s="65"/>
      <c r="N50" s="1682"/>
      <c r="O50" s="1195"/>
      <c r="P50" s="1197"/>
      <c r="Q50" s="282"/>
      <c r="U50" s="123"/>
    </row>
    <row r="51" spans="1:23" x14ac:dyDescent="0.2">
      <c r="A51" s="25"/>
      <c r="B51" s="28"/>
      <c r="C51" s="19"/>
      <c r="D51" s="1557"/>
      <c r="E51" s="142"/>
      <c r="F51" s="335"/>
      <c r="G51" s="1039"/>
      <c r="H51" s="550"/>
      <c r="I51" s="611"/>
      <c r="J51" s="228"/>
      <c r="K51" s="533"/>
      <c r="L51" s="905"/>
      <c r="M51" s="65"/>
      <c r="N51" s="1682"/>
      <c r="O51" s="1195"/>
      <c r="P51" s="1197"/>
      <c r="Q51" s="282"/>
      <c r="U51" s="123"/>
    </row>
    <row r="52" spans="1:23" ht="26.25" customHeight="1" x14ac:dyDescent="0.2">
      <c r="A52" s="25"/>
      <c r="B52" s="28"/>
      <c r="C52" s="19"/>
      <c r="D52" s="1557"/>
      <c r="E52" s="1684" t="s">
        <v>238</v>
      </c>
      <c r="F52" s="335"/>
      <c r="G52" s="1039"/>
      <c r="H52" s="537"/>
      <c r="I52" s="611"/>
      <c r="J52" s="228"/>
      <c r="K52" s="533"/>
      <c r="L52" s="905"/>
      <c r="M52" s="65"/>
      <c r="N52" s="1682"/>
      <c r="O52" s="1195"/>
      <c r="P52" s="1197"/>
      <c r="Q52" s="282"/>
    </row>
    <row r="53" spans="1:23" x14ac:dyDescent="0.2">
      <c r="A53" s="38"/>
      <c r="B53" s="28"/>
      <c r="C53" s="19"/>
      <c r="D53" s="1557" t="s">
        <v>115</v>
      </c>
      <c r="E53" s="1684"/>
      <c r="F53" s="335"/>
      <c r="G53" s="98"/>
      <c r="H53" s="537"/>
      <c r="I53" s="1148"/>
      <c r="J53" s="1148"/>
      <c r="K53" s="533"/>
      <c r="L53" s="905"/>
      <c r="M53" s="65"/>
      <c r="N53" s="1193"/>
      <c r="O53" s="1195"/>
      <c r="P53" s="1197"/>
      <c r="Q53" s="282"/>
      <c r="W53" s="123"/>
    </row>
    <row r="54" spans="1:23" x14ac:dyDescent="0.2">
      <c r="A54" s="38"/>
      <c r="B54" s="28"/>
      <c r="C54" s="19"/>
      <c r="D54" s="1557"/>
      <c r="E54" s="1684"/>
      <c r="F54" s="335"/>
      <c r="G54" s="98"/>
      <c r="H54" s="537"/>
      <c r="I54" s="228"/>
      <c r="J54" s="228"/>
      <c r="K54" s="533"/>
      <c r="L54" s="905"/>
      <c r="M54" s="65"/>
      <c r="N54" s="1193"/>
      <c r="O54" s="1195"/>
      <c r="P54" s="1197"/>
      <c r="Q54" s="282"/>
      <c r="S54" s="123"/>
      <c r="W54" s="123"/>
    </row>
    <row r="55" spans="1:23" x14ac:dyDescent="0.2">
      <c r="A55" s="38"/>
      <c r="B55" s="28"/>
      <c r="C55" s="19"/>
      <c r="D55" s="1557"/>
      <c r="E55" s="1684"/>
      <c r="F55" s="335"/>
      <c r="G55" s="215"/>
      <c r="H55" s="537"/>
      <c r="I55" s="228"/>
      <c r="J55" s="228"/>
      <c r="K55" s="533"/>
      <c r="L55" s="905"/>
      <c r="M55" s="65"/>
      <c r="N55" s="1222"/>
      <c r="O55" s="1195"/>
      <c r="P55" s="1197"/>
      <c r="Q55" s="282"/>
      <c r="S55" s="123"/>
    </row>
    <row r="56" spans="1:23" ht="12.75" customHeight="1" x14ac:dyDescent="0.2">
      <c r="A56" s="38"/>
      <c r="B56" s="28"/>
      <c r="C56" s="19"/>
      <c r="D56" s="1557" t="s">
        <v>39</v>
      </c>
      <c r="E56" s="1684"/>
      <c r="F56" s="335"/>
      <c r="G56" s="98"/>
      <c r="H56" s="537"/>
      <c r="I56" s="228"/>
      <c r="J56" s="228"/>
      <c r="K56" s="533"/>
      <c r="L56" s="905"/>
      <c r="M56" s="65"/>
      <c r="N56" s="1682"/>
      <c r="O56" s="1689"/>
      <c r="P56" s="1685"/>
      <c r="Q56" s="1687"/>
    </row>
    <row r="57" spans="1:23" x14ac:dyDescent="0.2">
      <c r="A57" s="38"/>
      <c r="B57" s="28"/>
      <c r="C57" s="19"/>
      <c r="D57" s="1557"/>
      <c r="E57" s="142"/>
      <c r="F57" s="335"/>
      <c r="G57" s="98"/>
      <c r="H57" s="537"/>
      <c r="I57" s="228"/>
      <c r="J57" s="228"/>
      <c r="K57" s="533"/>
      <c r="L57" s="905"/>
      <c r="M57" s="65"/>
      <c r="N57" s="1682"/>
      <c r="O57" s="1689"/>
      <c r="P57" s="1685"/>
      <c r="Q57" s="1687"/>
    </row>
    <row r="58" spans="1:23" x14ac:dyDescent="0.2">
      <c r="A58" s="38"/>
      <c r="B58" s="28"/>
      <c r="C58" s="19"/>
      <c r="D58" s="1557"/>
      <c r="E58" s="142"/>
      <c r="F58" s="335"/>
      <c r="G58" s="98"/>
      <c r="H58" s="537"/>
      <c r="I58" s="536"/>
      <c r="J58" s="536"/>
      <c r="K58" s="590"/>
      <c r="L58" s="905"/>
      <c r="M58" s="65"/>
      <c r="N58" s="1320"/>
      <c r="O58" s="1322"/>
      <c r="P58" s="1323"/>
      <c r="Q58" s="1321"/>
    </row>
    <row r="59" spans="1:23" ht="19.5" customHeight="1" x14ac:dyDescent="0.2">
      <c r="A59" s="38"/>
      <c r="B59" s="28"/>
      <c r="C59" s="19"/>
      <c r="D59" s="1557" t="s">
        <v>223</v>
      </c>
      <c r="E59" s="142"/>
      <c r="F59" s="335"/>
      <c r="G59" s="98"/>
      <c r="H59" s="537"/>
      <c r="I59" s="536"/>
      <c r="J59" s="536"/>
      <c r="K59" s="590"/>
      <c r="L59" s="905"/>
      <c r="M59" s="65"/>
      <c r="N59" s="1320" t="s">
        <v>224</v>
      </c>
      <c r="O59" s="1322">
        <v>7</v>
      </c>
      <c r="P59" s="1323">
        <v>7</v>
      </c>
      <c r="Q59" s="1321">
        <v>7</v>
      </c>
      <c r="S59" s="1332"/>
    </row>
    <row r="60" spans="1:23" ht="13.5" thickBot="1" x14ac:dyDescent="0.25">
      <c r="A60" s="38"/>
      <c r="B60" s="28"/>
      <c r="C60" s="19"/>
      <c r="D60" s="1466"/>
      <c r="E60" s="142"/>
      <c r="F60" s="335"/>
      <c r="G60" s="1151" t="s">
        <v>16</v>
      </c>
      <c r="H60" s="1216">
        <f>SUM(H31:H57)-270.7</f>
        <v>10942.9</v>
      </c>
      <c r="I60" s="1216">
        <f t="shared" ref="I60:M60" si="2">SUM(I31:I57)</f>
        <v>10833.4</v>
      </c>
      <c r="J60" s="1216">
        <f t="shared" si="2"/>
        <v>5442.6</v>
      </c>
      <c r="K60" s="1216">
        <f t="shared" si="2"/>
        <v>71.5</v>
      </c>
      <c r="L60" s="460">
        <f>SUM(L31:L57)</f>
        <v>10324.700000000001</v>
      </c>
      <c r="M60" s="399">
        <f t="shared" si="2"/>
        <v>9258.7999999999993</v>
      </c>
      <c r="N60" s="989"/>
      <c r="O60" s="1232"/>
      <c r="P60" s="1230"/>
      <c r="Q60" s="1231"/>
      <c r="S60" s="1332"/>
    </row>
    <row r="61" spans="1:23" ht="38.25" x14ac:dyDescent="0.2">
      <c r="A61" s="21" t="s">
        <v>9</v>
      </c>
      <c r="B61" s="27" t="s">
        <v>10</v>
      </c>
      <c r="C61" s="22" t="s">
        <v>10</v>
      </c>
      <c r="D61" s="665" t="s">
        <v>68</v>
      </c>
      <c r="E61" s="666"/>
      <c r="F61" s="1208"/>
      <c r="G61" s="113"/>
      <c r="H61" s="1073"/>
      <c r="I61" s="156"/>
      <c r="J61" s="156"/>
      <c r="K61" s="96"/>
      <c r="L61" s="62"/>
      <c r="M61" s="57"/>
      <c r="N61" s="920"/>
      <c r="O61" s="921"/>
      <c r="P61" s="116"/>
      <c r="Q61" s="117"/>
    </row>
    <row r="62" spans="1:23" ht="38.25" x14ac:dyDescent="0.2">
      <c r="A62" s="661"/>
      <c r="B62" s="662"/>
      <c r="C62" s="19"/>
      <c r="D62" s="337" t="s">
        <v>123</v>
      </c>
      <c r="E62" s="1150"/>
      <c r="F62" s="1214"/>
      <c r="G62" s="98"/>
      <c r="H62" s="550"/>
      <c r="I62" s="158"/>
      <c r="J62" s="170"/>
      <c r="K62" s="241"/>
      <c r="L62" s="176"/>
      <c r="M62" s="170"/>
      <c r="N62" s="922"/>
      <c r="O62" s="539"/>
      <c r="P62" s="82"/>
      <c r="Q62" s="81"/>
      <c r="S62" s="123"/>
    </row>
    <row r="63" spans="1:23" ht="25.5" x14ac:dyDescent="0.2">
      <c r="A63" s="661"/>
      <c r="B63" s="662"/>
      <c r="C63" s="19"/>
      <c r="D63" s="1550" t="s">
        <v>229</v>
      </c>
      <c r="E63" s="1684" t="s">
        <v>113</v>
      </c>
      <c r="F63" s="908" t="s">
        <v>35</v>
      </c>
      <c r="G63" s="111" t="s">
        <v>12</v>
      </c>
      <c r="H63" s="911">
        <f>I63+K63</f>
        <v>20</v>
      </c>
      <c r="I63" s="159">
        <v>20</v>
      </c>
      <c r="J63" s="773"/>
      <c r="K63" s="107"/>
      <c r="L63" s="674"/>
      <c r="M63" s="923"/>
      <c r="N63" s="1152" t="s">
        <v>252</v>
      </c>
      <c r="O63" s="1194">
        <v>1</v>
      </c>
      <c r="P63" s="1224"/>
      <c r="Q63" s="934"/>
    </row>
    <row r="64" spans="1:23" x14ac:dyDescent="0.2">
      <c r="A64" s="897"/>
      <c r="B64" s="662"/>
      <c r="C64" s="44"/>
      <c r="D64" s="1688"/>
      <c r="E64" s="1690"/>
      <c r="F64" s="966"/>
      <c r="G64" s="426" t="s">
        <v>16</v>
      </c>
      <c r="H64" s="427">
        <f>SUM(H63:H63)</f>
        <v>20</v>
      </c>
      <c r="I64" s="430">
        <f>SUM(I63:I63)</f>
        <v>20</v>
      </c>
      <c r="J64" s="424"/>
      <c r="K64" s="1160"/>
      <c r="L64" s="428"/>
      <c r="M64" s="424"/>
      <c r="N64" s="1161"/>
      <c r="O64" s="1162"/>
      <c r="P64" s="1225"/>
      <c r="Q64" s="1163"/>
      <c r="S64" s="123"/>
      <c r="V64" s="123"/>
    </row>
    <row r="65" spans="1:23" ht="60" x14ac:dyDescent="0.2">
      <c r="A65" s="897"/>
      <c r="B65" s="662"/>
      <c r="C65" s="44"/>
      <c r="D65" s="1550" t="s">
        <v>222</v>
      </c>
      <c r="E65" s="1033"/>
      <c r="F65" s="908" t="s">
        <v>210</v>
      </c>
      <c r="G65" s="901" t="s">
        <v>12</v>
      </c>
      <c r="H65" s="915">
        <f>I65+K65</f>
        <v>36.299999999999997</v>
      </c>
      <c r="I65" s="367"/>
      <c r="J65" s="709"/>
      <c r="K65" s="900">
        <v>36.299999999999997</v>
      </c>
      <c r="L65" s="926"/>
      <c r="M65" s="898"/>
      <c r="N65" s="1691" t="s">
        <v>214</v>
      </c>
      <c r="O65" s="927"/>
      <c r="P65" s="928">
        <v>1</v>
      </c>
      <c r="Q65" s="929" t="s">
        <v>215</v>
      </c>
      <c r="S65" s="123"/>
    </row>
    <row r="66" spans="1:23" x14ac:dyDescent="0.2">
      <c r="A66" s="897"/>
      <c r="B66" s="662"/>
      <c r="C66" s="44"/>
      <c r="D66" s="1450"/>
      <c r="E66" s="1"/>
      <c r="F66" s="1214"/>
      <c r="G66" s="901" t="s">
        <v>29</v>
      </c>
      <c r="H66" s="915"/>
      <c r="I66" s="367"/>
      <c r="J66" s="709"/>
      <c r="K66" s="900"/>
      <c r="L66" s="902">
        <v>148.69999999999999</v>
      </c>
      <c r="M66" s="709">
        <v>634.9</v>
      </c>
      <c r="N66" s="1692"/>
      <c r="O66" s="1017"/>
      <c r="P66" s="1018"/>
      <c r="Q66" s="930"/>
      <c r="S66" s="123"/>
    </row>
    <row r="67" spans="1:23" x14ac:dyDescent="0.2">
      <c r="A67" s="897"/>
      <c r="B67" s="662"/>
      <c r="C67" s="44"/>
      <c r="D67" s="1450"/>
      <c r="E67" s="1"/>
      <c r="F67" s="1214"/>
      <c r="G67" s="901" t="s">
        <v>213</v>
      </c>
      <c r="H67" s="915"/>
      <c r="I67" s="367"/>
      <c r="J67" s="709"/>
      <c r="K67" s="900"/>
      <c r="L67" s="902"/>
      <c r="M67" s="709">
        <v>120.2</v>
      </c>
      <c r="N67" s="1692"/>
      <c r="O67" s="1017"/>
      <c r="P67" s="1018"/>
      <c r="Q67" s="930">
        <v>30</v>
      </c>
      <c r="S67" s="123"/>
    </row>
    <row r="68" spans="1:23" x14ac:dyDescent="0.2">
      <c r="A68" s="897"/>
      <c r="B68" s="662"/>
      <c r="C68" s="44"/>
      <c r="D68" s="1688"/>
      <c r="E68" s="903"/>
      <c r="F68" s="1214"/>
      <c r="G68" s="412" t="s">
        <v>16</v>
      </c>
      <c r="H68" s="413">
        <f>SUM(H65)</f>
        <v>36.299999999999997</v>
      </c>
      <c r="I68" s="403"/>
      <c r="J68" s="411"/>
      <c r="K68" s="414">
        <f>SUM(K65)</f>
        <v>36.299999999999997</v>
      </c>
      <c r="L68" s="785">
        <f>SUM(L66:L67)</f>
        <v>148.69999999999999</v>
      </c>
      <c r="M68" s="411">
        <f>SUM(M66:M67)</f>
        <v>755.1</v>
      </c>
      <c r="N68" s="1693"/>
      <c r="O68" s="1017"/>
      <c r="P68" s="1019"/>
      <c r="Q68" s="930"/>
      <c r="S68" s="123"/>
    </row>
    <row r="69" spans="1:23" x14ac:dyDescent="0.2">
      <c r="A69" s="661"/>
      <c r="B69" s="662"/>
      <c r="C69" s="19"/>
      <c r="D69" s="1550" t="s">
        <v>269</v>
      </c>
      <c r="E69" s="1531"/>
      <c r="F69" s="1686"/>
      <c r="G69" s="108" t="s">
        <v>12</v>
      </c>
      <c r="H69" s="1074">
        <f>I69+K69</f>
        <v>15</v>
      </c>
      <c r="I69" s="165"/>
      <c r="J69" s="165"/>
      <c r="K69" s="218">
        <v>15</v>
      </c>
      <c r="L69" s="219">
        <v>50</v>
      </c>
      <c r="M69" s="59">
        <v>50</v>
      </c>
      <c r="N69" s="1691" t="s">
        <v>216</v>
      </c>
      <c r="O69" s="975"/>
      <c r="P69" s="976"/>
      <c r="Q69" s="977">
        <v>1</v>
      </c>
      <c r="S69" s="123"/>
    </row>
    <row r="70" spans="1:23" x14ac:dyDescent="0.2">
      <c r="A70" s="661"/>
      <c r="B70" s="662"/>
      <c r="C70" s="19"/>
      <c r="D70" s="1450"/>
      <c r="E70" s="1531"/>
      <c r="F70" s="1686"/>
      <c r="G70" s="98"/>
      <c r="H70" s="1076"/>
      <c r="I70" s="161"/>
      <c r="J70" s="170"/>
      <c r="K70" s="241"/>
      <c r="L70" s="176"/>
      <c r="M70" s="60"/>
      <c r="N70" s="1692"/>
      <c r="O70" s="1195"/>
      <c r="P70" s="1197"/>
      <c r="Q70" s="931"/>
      <c r="S70" s="123"/>
    </row>
    <row r="71" spans="1:23" ht="26.25" customHeight="1" x14ac:dyDescent="0.2">
      <c r="A71" s="29"/>
      <c r="B71" s="32"/>
      <c r="C71" s="44"/>
      <c r="D71" s="1450"/>
      <c r="E71" s="1531"/>
      <c r="F71" s="1686"/>
      <c r="G71" s="412" t="s">
        <v>16</v>
      </c>
      <c r="H71" s="413">
        <f>SUM(H69:H70)</f>
        <v>15</v>
      </c>
      <c r="I71" s="403"/>
      <c r="J71" s="411"/>
      <c r="K71" s="414">
        <f>SUM(K69:K70)</f>
        <v>15</v>
      </c>
      <c r="L71" s="785">
        <f>SUM(L69:L70)</f>
        <v>50</v>
      </c>
      <c r="M71" s="411">
        <f>SUM(M69:M70)</f>
        <v>50</v>
      </c>
      <c r="N71" s="1693"/>
      <c r="O71" s="1020"/>
      <c r="P71" s="730"/>
      <c r="Q71" s="1226"/>
      <c r="S71" s="123"/>
    </row>
    <row r="72" spans="1:23" x14ac:dyDescent="0.2">
      <c r="A72" s="661"/>
      <c r="B72" s="662"/>
      <c r="C72" s="19"/>
      <c r="D72" s="1698" t="s">
        <v>217</v>
      </c>
      <c r="E72" s="1531"/>
      <c r="F72" s="1686"/>
      <c r="G72" s="108" t="s">
        <v>12</v>
      </c>
      <c r="H72" s="1074">
        <f>I72+K72</f>
        <v>31</v>
      </c>
      <c r="I72" s="165"/>
      <c r="J72" s="165"/>
      <c r="K72" s="218">
        <v>31</v>
      </c>
      <c r="L72" s="219"/>
      <c r="M72" s="59"/>
      <c r="N72" s="1488" t="s">
        <v>220</v>
      </c>
      <c r="O72" s="927"/>
      <c r="P72" s="928">
        <v>1</v>
      </c>
      <c r="Q72" s="932"/>
      <c r="S72" s="123"/>
    </row>
    <row r="73" spans="1:23" x14ac:dyDescent="0.2">
      <c r="A73" s="661"/>
      <c r="B73" s="662"/>
      <c r="C73" s="19"/>
      <c r="D73" s="1699"/>
      <c r="E73" s="1531"/>
      <c r="F73" s="1686"/>
      <c r="G73" s="108" t="s">
        <v>29</v>
      </c>
      <c r="H73" s="1077"/>
      <c r="I73" s="162"/>
      <c r="J73" s="173"/>
      <c r="K73" s="218"/>
      <c r="L73" s="219">
        <v>49</v>
      </c>
      <c r="M73" s="59">
        <v>391</v>
      </c>
      <c r="N73" s="1489"/>
      <c r="O73" s="1195"/>
      <c r="P73" s="1197"/>
      <c r="Q73" s="931"/>
      <c r="R73" s="75"/>
    </row>
    <row r="74" spans="1:23" x14ac:dyDescent="0.2">
      <c r="A74" s="29"/>
      <c r="B74" s="32"/>
      <c r="C74" s="44"/>
      <c r="D74" s="1699"/>
      <c r="E74" s="1531"/>
      <c r="F74" s="1686"/>
      <c r="G74" s="907" t="s">
        <v>213</v>
      </c>
      <c r="H74" s="911"/>
      <c r="I74" s="159"/>
      <c r="J74" s="159"/>
      <c r="K74" s="107"/>
      <c r="L74" s="674"/>
      <c r="M74" s="923">
        <v>69</v>
      </c>
      <c r="N74" s="1488" t="s">
        <v>221</v>
      </c>
      <c r="O74" s="1194"/>
      <c r="P74" s="1196"/>
      <c r="Q74" s="934">
        <v>50</v>
      </c>
    </row>
    <row r="75" spans="1:23" x14ac:dyDescent="0.2">
      <c r="A75" s="29"/>
      <c r="B75" s="32"/>
      <c r="C75" s="44"/>
      <c r="D75" s="1699"/>
      <c r="E75" s="1532"/>
      <c r="F75" s="1686"/>
      <c r="G75" s="412" t="s">
        <v>16</v>
      </c>
      <c r="H75" s="413">
        <f>SUM(H72:H74)</f>
        <v>31</v>
      </c>
      <c r="I75" s="403"/>
      <c r="J75" s="411"/>
      <c r="K75" s="414">
        <f>SUM(K72:K74)</f>
        <v>31</v>
      </c>
      <c r="L75" s="785">
        <f>SUM(L72:L74)</f>
        <v>49</v>
      </c>
      <c r="M75" s="411">
        <f>SUM(M73:M74)</f>
        <v>460</v>
      </c>
      <c r="N75" s="1489"/>
      <c r="O75" s="1159"/>
      <c r="P75" s="1197"/>
      <c r="Q75" s="931"/>
      <c r="S75" s="123"/>
    </row>
    <row r="76" spans="1:23" ht="13.5" thickBot="1" x14ac:dyDescent="0.25">
      <c r="A76" s="668"/>
      <c r="B76" s="33"/>
      <c r="C76" s="45"/>
      <c r="D76" s="1700"/>
      <c r="E76" s="1695" t="s">
        <v>239</v>
      </c>
      <c r="F76" s="1696"/>
      <c r="G76" s="1697"/>
      <c r="H76" s="460">
        <f>H64+H71+H75+H68</f>
        <v>102.3</v>
      </c>
      <c r="I76" s="1217">
        <f>I64+I71+I75+I68</f>
        <v>20</v>
      </c>
      <c r="J76" s="388">
        <f t="shared" ref="J76:M76" si="3">J64+J71+J75+J68</f>
        <v>0</v>
      </c>
      <c r="K76" s="389">
        <f>K64+K71+K75+K68</f>
        <v>82.3</v>
      </c>
      <c r="L76" s="460">
        <f>L64+L71+L75+L68</f>
        <v>247.7</v>
      </c>
      <c r="M76" s="460">
        <f t="shared" si="3"/>
        <v>1265.0999999999999</v>
      </c>
      <c r="N76" s="1158"/>
      <c r="O76" s="1155"/>
      <c r="P76" s="1156"/>
      <c r="Q76" s="1157"/>
      <c r="S76" s="123"/>
    </row>
    <row r="77" spans="1:23" x14ac:dyDescent="0.2">
      <c r="A77" s="21" t="s">
        <v>9</v>
      </c>
      <c r="B77" s="27" t="s">
        <v>10</v>
      </c>
      <c r="C77" s="22" t="s">
        <v>11</v>
      </c>
      <c r="D77" s="1724" t="s">
        <v>56</v>
      </c>
      <c r="E77" s="1170"/>
      <c r="F77" s="1210">
        <v>6</v>
      </c>
      <c r="G77" s="113" t="s">
        <v>12</v>
      </c>
      <c r="H77" s="1164">
        <f>I77+K77</f>
        <v>493.7</v>
      </c>
      <c r="I77" s="1165">
        <v>20</v>
      </c>
      <c r="J77" s="155"/>
      <c r="K77" s="61">
        <v>473.7</v>
      </c>
      <c r="L77" s="62">
        <v>108.9</v>
      </c>
      <c r="M77" s="57"/>
      <c r="N77" s="1726" t="s">
        <v>288</v>
      </c>
      <c r="O77" s="115">
        <v>3</v>
      </c>
      <c r="P77" s="116">
        <v>1</v>
      </c>
      <c r="Q77" s="117"/>
      <c r="R77" s="783"/>
      <c r="S77" s="783"/>
      <c r="T77" s="783"/>
      <c r="U77" s="783"/>
    </row>
    <row r="78" spans="1:23" ht="26.25" customHeight="1" x14ac:dyDescent="0.2">
      <c r="A78" s="661"/>
      <c r="B78" s="662"/>
      <c r="C78" s="19"/>
      <c r="D78" s="1725"/>
      <c r="E78" s="1171"/>
      <c r="F78" s="1211"/>
      <c r="G78" s="108" t="s">
        <v>20</v>
      </c>
      <c r="H78" s="915">
        <f>I78+K78</f>
        <v>163.1</v>
      </c>
      <c r="I78" s="165"/>
      <c r="J78" s="164"/>
      <c r="K78" s="59">
        <v>163.1</v>
      </c>
      <c r="L78" s="219"/>
      <c r="M78" s="59"/>
      <c r="N78" s="1536"/>
      <c r="O78" s="540"/>
      <c r="P78" s="82"/>
      <c r="Q78" s="81"/>
      <c r="R78" s="783"/>
      <c r="S78" s="783"/>
      <c r="T78" s="783"/>
      <c r="U78" s="783"/>
    </row>
    <row r="79" spans="1:23" ht="38.25" x14ac:dyDescent="0.2">
      <c r="A79" s="661"/>
      <c r="B79" s="662"/>
      <c r="C79" s="19"/>
      <c r="D79" s="1191" t="s">
        <v>225</v>
      </c>
      <c r="E79" s="1171"/>
      <c r="F79" s="594"/>
      <c r="G79" s="637"/>
      <c r="H79" s="550"/>
      <c r="I79" s="158"/>
      <c r="J79" s="157"/>
      <c r="K79" s="60"/>
      <c r="L79" s="176"/>
      <c r="M79" s="170"/>
      <c r="N79" s="1209"/>
      <c r="O79" s="1166"/>
      <c r="P79" s="82"/>
      <c r="Q79" s="931"/>
    </row>
    <row r="80" spans="1:23" x14ac:dyDescent="0.2">
      <c r="A80" s="661"/>
      <c r="B80" s="662"/>
      <c r="C80" s="19"/>
      <c r="D80" s="1450" t="s">
        <v>199</v>
      </c>
      <c r="E80" s="1694"/>
      <c r="F80" s="1559"/>
      <c r="G80" s="98"/>
      <c r="H80" s="550"/>
      <c r="I80" s="158"/>
      <c r="J80" s="157"/>
      <c r="K80" s="60"/>
      <c r="L80" s="176"/>
      <c r="M80" s="60"/>
      <c r="N80" s="88"/>
      <c r="O80" s="1149"/>
      <c r="P80" s="1167"/>
      <c r="Q80" s="81"/>
      <c r="S80" s="123"/>
      <c r="W80" s="123"/>
    </row>
    <row r="81" spans="1:23" ht="53.25" customHeight="1" x14ac:dyDescent="0.2">
      <c r="A81" s="661"/>
      <c r="B81" s="662"/>
      <c r="C81" s="19"/>
      <c r="D81" s="1450"/>
      <c r="E81" s="1694"/>
      <c r="F81" s="1559"/>
      <c r="G81" s="637"/>
      <c r="H81" s="550"/>
      <c r="I81" s="158"/>
      <c r="J81" s="157"/>
      <c r="K81" s="60"/>
      <c r="L81" s="176"/>
      <c r="M81" s="60"/>
      <c r="N81" s="1209"/>
      <c r="O81" s="336"/>
      <c r="P81" s="1197"/>
      <c r="Q81" s="931"/>
      <c r="U81" s="123"/>
    </row>
    <row r="82" spans="1:23" x14ac:dyDescent="0.2">
      <c r="A82" s="661"/>
      <c r="B82" s="662"/>
      <c r="C82" s="19"/>
      <c r="D82" s="1450" t="s">
        <v>265</v>
      </c>
      <c r="E82" s="1694"/>
      <c r="F82" s="1559"/>
      <c r="G82" s="98"/>
      <c r="H82" s="550"/>
      <c r="I82" s="611"/>
      <c r="J82" s="157"/>
      <c r="K82" s="60"/>
      <c r="L82" s="176"/>
      <c r="M82" s="60"/>
      <c r="N82" s="1536"/>
      <c r="O82" s="1149"/>
      <c r="P82" s="1167"/>
      <c r="Q82" s="81"/>
      <c r="S82" s="123"/>
    </row>
    <row r="83" spans="1:23" ht="38.25" customHeight="1" x14ac:dyDescent="0.2">
      <c r="A83" s="661"/>
      <c r="B83" s="662"/>
      <c r="C83" s="19"/>
      <c r="D83" s="1450"/>
      <c r="E83" s="1694"/>
      <c r="F83" s="1559"/>
      <c r="G83" s="637"/>
      <c r="H83" s="550"/>
      <c r="I83" s="158"/>
      <c r="J83" s="157"/>
      <c r="K83" s="60"/>
      <c r="L83" s="176"/>
      <c r="M83" s="60"/>
      <c r="N83" s="1536"/>
      <c r="O83" s="336"/>
      <c r="P83" s="1197"/>
      <c r="Q83" s="931"/>
      <c r="S83" s="123"/>
      <c r="W83" s="123"/>
    </row>
    <row r="84" spans="1:23" ht="26.25" thickBot="1" x14ac:dyDescent="0.25">
      <c r="A84" s="24"/>
      <c r="B84" s="14"/>
      <c r="C84" s="45"/>
      <c r="D84" s="1191" t="s">
        <v>240</v>
      </c>
      <c r="E84" s="1172"/>
      <c r="F84" s="1173"/>
      <c r="G84" s="400" t="s">
        <v>16</v>
      </c>
      <c r="H84" s="1216">
        <f>SUM(H77:H83)</f>
        <v>656.8</v>
      </c>
      <c r="I84" s="1216">
        <f t="shared" ref="I84:L84" si="4">SUM(I77:I83)</f>
        <v>20</v>
      </c>
      <c r="J84" s="1216">
        <f t="shared" si="4"/>
        <v>0</v>
      </c>
      <c r="K84" s="1216">
        <f t="shared" si="4"/>
        <v>636.79999999999995</v>
      </c>
      <c r="L84" s="1216">
        <f t="shared" si="4"/>
        <v>108.9</v>
      </c>
      <c r="M84" s="1216"/>
      <c r="N84" s="1168"/>
      <c r="O84" s="1169"/>
      <c r="P84" s="1153"/>
      <c r="Q84" s="1154"/>
    </row>
    <row r="85" spans="1:23" ht="13.5" thickBot="1" x14ac:dyDescent="0.25">
      <c r="A85" s="30" t="s">
        <v>9</v>
      </c>
      <c r="B85" s="33" t="s">
        <v>10</v>
      </c>
      <c r="C85" s="1701" t="s">
        <v>15</v>
      </c>
      <c r="D85" s="1529"/>
      <c r="E85" s="1529"/>
      <c r="F85" s="1529"/>
      <c r="G85" s="1530"/>
      <c r="H85" s="20">
        <f>H84+H76+H60</f>
        <v>11702</v>
      </c>
      <c r="I85" s="20">
        <f t="shared" ref="I85:K85" si="5">I84+I76</f>
        <v>40</v>
      </c>
      <c r="J85" s="20">
        <f t="shared" si="5"/>
        <v>0</v>
      </c>
      <c r="K85" s="20">
        <f t="shared" si="5"/>
        <v>719.09999999999991</v>
      </c>
      <c r="L85" s="20">
        <f>L84+L76+L60</f>
        <v>10681.300000000001</v>
      </c>
      <c r="M85" s="20">
        <f>M84+M76+M60</f>
        <v>10523.9</v>
      </c>
      <c r="N85" s="1485"/>
      <c r="O85" s="1486"/>
      <c r="P85" s="1486"/>
      <c r="Q85" s="1487"/>
    </row>
    <row r="86" spans="1:23" ht="13.5" thickBot="1" x14ac:dyDescent="0.25">
      <c r="A86" s="18" t="s">
        <v>9</v>
      </c>
      <c r="B86" s="179" t="s">
        <v>11</v>
      </c>
      <c r="C86" s="1608" t="s">
        <v>161</v>
      </c>
      <c r="D86" s="1523"/>
      <c r="E86" s="1523"/>
      <c r="F86" s="1523"/>
      <c r="G86" s="1523"/>
      <c r="H86" s="1523"/>
      <c r="I86" s="1523"/>
      <c r="J86" s="1523"/>
      <c r="K86" s="1523"/>
      <c r="L86" s="1523"/>
      <c r="M86" s="1523"/>
      <c r="N86" s="1523"/>
      <c r="O86" s="1523"/>
      <c r="P86" s="1523"/>
      <c r="Q86" s="1524"/>
    </row>
    <row r="87" spans="1:23" ht="38.25" x14ac:dyDescent="0.2">
      <c r="A87" s="21" t="s">
        <v>9</v>
      </c>
      <c r="B87" s="27" t="s">
        <v>11</v>
      </c>
      <c r="C87" s="22" t="s">
        <v>9</v>
      </c>
      <c r="D87" s="553" t="s">
        <v>82</v>
      </c>
      <c r="E87" s="1676" t="s">
        <v>241</v>
      </c>
      <c r="F87" s="1210">
        <v>2</v>
      </c>
      <c r="G87" s="1174" t="s">
        <v>12</v>
      </c>
      <c r="H87" s="1175">
        <v>60</v>
      </c>
      <c r="I87" s="1176">
        <v>60</v>
      </c>
      <c r="J87" s="57"/>
      <c r="K87" s="96"/>
      <c r="L87" s="62">
        <v>120</v>
      </c>
      <c r="M87" s="62">
        <v>180</v>
      </c>
      <c r="N87" s="284"/>
      <c r="O87" s="115"/>
      <c r="P87" s="116"/>
      <c r="Q87" s="117"/>
    </row>
    <row r="88" spans="1:23" ht="51" x14ac:dyDescent="0.2">
      <c r="A88" s="661"/>
      <c r="B88" s="662"/>
      <c r="C88" s="19"/>
      <c r="D88" s="813" t="s">
        <v>120</v>
      </c>
      <c r="E88" s="1677"/>
      <c r="F88" s="1211"/>
      <c r="G88" s="791"/>
      <c r="H88" s="1086"/>
      <c r="I88" s="1081"/>
      <c r="J88" s="562"/>
      <c r="K88" s="563"/>
      <c r="L88" s="567"/>
      <c r="M88" s="567"/>
      <c r="N88" s="814" t="s">
        <v>253</v>
      </c>
      <c r="O88" s="288">
        <v>1</v>
      </c>
      <c r="P88" s="289">
        <v>1</v>
      </c>
      <c r="Q88" s="290">
        <v>1</v>
      </c>
      <c r="R88" s="75"/>
    </row>
    <row r="89" spans="1:23" ht="25.5" x14ac:dyDescent="0.2">
      <c r="A89" s="661"/>
      <c r="B89" s="662"/>
      <c r="C89" s="19"/>
      <c r="D89" s="1702" t="s">
        <v>200</v>
      </c>
      <c r="E89" s="1677"/>
      <c r="F89" s="1211"/>
      <c r="G89" s="791"/>
      <c r="H89" s="1086"/>
      <c r="I89" s="1081"/>
      <c r="J89" s="562"/>
      <c r="K89" s="575"/>
      <c r="L89" s="828"/>
      <c r="M89" s="828"/>
      <c r="N89" s="1181" t="s">
        <v>254</v>
      </c>
      <c r="O89" s="1178"/>
      <c r="P89" s="1179">
        <v>1</v>
      </c>
      <c r="Q89" s="1180">
        <v>1</v>
      </c>
    </row>
    <row r="90" spans="1:23" x14ac:dyDescent="0.2">
      <c r="A90" s="964"/>
      <c r="B90" s="947"/>
      <c r="C90" s="887"/>
      <c r="D90" s="1703"/>
      <c r="E90" s="1705"/>
      <c r="F90" s="1237"/>
      <c r="G90" s="1238"/>
      <c r="H90" s="1239"/>
      <c r="I90" s="1240"/>
      <c r="J90" s="803"/>
      <c r="K90" s="1240"/>
      <c r="L90" s="1241"/>
      <c r="M90" s="1241"/>
      <c r="N90" s="1242" t="s">
        <v>255</v>
      </c>
      <c r="O90" s="1243">
        <v>1</v>
      </c>
      <c r="P90" s="1244">
        <v>1</v>
      </c>
      <c r="Q90" s="1245">
        <v>1</v>
      </c>
      <c r="S90" s="123"/>
    </row>
    <row r="91" spans="1:23" ht="51" x14ac:dyDescent="0.2">
      <c r="A91" s="661"/>
      <c r="B91" s="662"/>
      <c r="C91" s="19"/>
      <c r="D91" s="1227" t="s">
        <v>266</v>
      </c>
      <c r="E91" s="1235"/>
      <c r="F91" s="1211"/>
      <c r="G91" s="791"/>
      <c r="H91" s="1086"/>
      <c r="I91" s="1081"/>
      <c r="J91" s="562"/>
      <c r="K91" s="575"/>
      <c r="L91" s="567"/>
      <c r="M91" s="567"/>
      <c r="N91" s="1182" t="s">
        <v>256</v>
      </c>
      <c r="O91" s="288"/>
      <c r="P91" s="289">
        <v>2</v>
      </c>
      <c r="Q91" s="290">
        <v>4</v>
      </c>
      <c r="S91" s="123"/>
    </row>
    <row r="92" spans="1:23" x14ac:dyDescent="0.2">
      <c r="A92" s="661"/>
      <c r="B92" s="662"/>
      <c r="C92" s="19"/>
      <c r="D92" s="1702" t="s">
        <v>85</v>
      </c>
      <c r="E92" s="1235"/>
      <c r="F92" s="1211"/>
      <c r="G92" s="1079"/>
      <c r="H92" s="1089"/>
      <c r="I92" s="1084"/>
      <c r="J92" s="349"/>
      <c r="K92" s="1177"/>
      <c r="L92" s="558"/>
      <c r="M92" s="558"/>
      <c r="N92" s="895"/>
      <c r="O92" s="579"/>
      <c r="P92" s="289"/>
      <c r="Q92" s="290"/>
    </row>
    <row r="93" spans="1:23" ht="40.5" customHeight="1" thickBot="1" x14ac:dyDescent="0.25">
      <c r="A93" s="661"/>
      <c r="B93" s="662"/>
      <c r="C93" s="44"/>
      <c r="D93" s="1704"/>
      <c r="E93" s="1236"/>
      <c r="F93" s="502"/>
      <c r="G93" s="792" t="s">
        <v>16</v>
      </c>
      <c r="H93" s="454">
        <f>SUM(H87:H89)</f>
        <v>60</v>
      </c>
      <c r="I93" s="971">
        <f>SUM(I87:I89)</f>
        <v>60</v>
      </c>
      <c r="J93" s="438"/>
      <c r="K93" s="453"/>
      <c r="L93" s="454">
        <f>SUM(L87:L92)</f>
        <v>120</v>
      </c>
      <c r="M93" s="454">
        <f>SUM(M87:M92)</f>
        <v>180</v>
      </c>
      <c r="N93" s="1"/>
      <c r="O93" s="1027"/>
      <c r="P93" s="1028"/>
      <c r="Q93" s="1029"/>
    </row>
    <row r="94" spans="1:23" ht="51" x14ac:dyDescent="0.2">
      <c r="A94" s="21" t="s">
        <v>9</v>
      </c>
      <c r="B94" s="27" t="s">
        <v>11</v>
      </c>
      <c r="C94" s="22" t="s">
        <v>10</v>
      </c>
      <c r="D94" s="1183" t="s">
        <v>93</v>
      </c>
      <c r="E94" s="581"/>
      <c r="F94" s="1613">
        <v>2</v>
      </c>
      <c r="G94" s="1174" t="s">
        <v>12</v>
      </c>
      <c r="H94" s="1184"/>
      <c r="I94" s="1082"/>
      <c r="J94" s="244"/>
      <c r="K94" s="845"/>
      <c r="L94" s="246">
        <v>30</v>
      </c>
      <c r="M94" s="246">
        <v>70</v>
      </c>
      <c r="N94" s="284"/>
      <c r="O94" s="115"/>
      <c r="P94" s="116"/>
      <c r="Q94" s="117"/>
    </row>
    <row r="95" spans="1:23" ht="38.25" x14ac:dyDescent="0.2">
      <c r="A95" s="25"/>
      <c r="B95" s="28"/>
      <c r="C95" s="19"/>
      <c r="D95" s="141" t="s">
        <v>202</v>
      </c>
      <c r="E95" s="1185" t="s">
        <v>114</v>
      </c>
      <c r="F95" s="1614"/>
      <c r="G95" s="524"/>
      <c r="H95" s="1099"/>
      <c r="I95" s="1186"/>
      <c r="J95" s="158"/>
      <c r="K95" s="171"/>
      <c r="L95" s="65"/>
      <c r="M95" s="1187"/>
      <c r="N95" s="88" t="s">
        <v>244</v>
      </c>
      <c r="O95" s="336"/>
      <c r="P95" s="1197">
        <v>2</v>
      </c>
      <c r="Q95" s="1231">
        <v>3</v>
      </c>
      <c r="R95" s="235"/>
      <c r="S95" s="123"/>
      <c r="U95" s="123"/>
    </row>
    <row r="96" spans="1:23" x14ac:dyDescent="0.2">
      <c r="A96" s="661"/>
      <c r="B96" s="662"/>
      <c r="C96" s="19"/>
      <c r="D96" s="1557" t="s">
        <v>203</v>
      </c>
      <c r="E96" s="1660" t="s">
        <v>95</v>
      </c>
      <c r="F96" s="1614"/>
      <c r="G96" s="1079"/>
      <c r="H96" s="1088"/>
      <c r="I96" s="1083"/>
      <c r="J96" s="167"/>
      <c r="K96" s="168"/>
      <c r="L96" s="520"/>
      <c r="M96" s="520"/>
      <c r="N96" s="1651" t="s">
        <v>257</v>
      </c>
      <c r="O96" s="586"/>
      <c r="P96" s="584">
        <v>1</v>
      </c>
      <c r="Q96" s="585">
        <v>1</v>
      </c>
      <c r="R96" s="235"/>
    </row>
    <row r="97" spans="1:19" ht="13.5" thickBot="1" x14ac:dyDescent="0.25">
      <c r="A97" s="24"/>
      <c r="B97" s="14"/>
      <c r="C97" s="45"/>
      <c r="D97" s="1466"/>
      <c r="E97" s="1561"/>
      <c r="F97" s="1615"/>
      <c r="G97" s="792" t="s">
        <v>16</v>
      </c>
      <c r="H97" s="399"/>
      <c r="I97" s="388"/>
      <c r="J97" s="1217"/>
      <c r="K97" s="390"/>
      <c r="L97" s="460">
        <f>SUM(L94:L96)</f>
        <v>30</v>
      </c>
      <c r="M97" s="460">
        <f>SUM(M94:M96)</f>
        <v>70</v>
      </c>
      <c r="N97" s="1652"/>
      <c r="O97" s="293"/>
      <c r="P97" s="1203"/>
      <c r="Q97" s="1204"/>
      <c r="R97" s="235"/>
    </row>
    <row r="98" spans="1:19" ht="25.5" x14ac:dyDescent="0.2">
      <c r="A98" s="21" t="s">
        <v>9</v>
      </c>
      <c r="B98" s="27" t="s">
        <v>11</v>
      </c>
      <c r="C98" s="22" t="s">
        <v>11</v>
      </c>
      <c r="D98" s="553" t="s">
        <v>100</v>
      </c>
      <c r="E98" s="1515" t="s">
        <v>104</v>
      </c>
      <c r="F98" s="1519" t="s">
        <v>35</v>
      </c>
      <c r="G98" s="1174" t="s">
        <v>12</v>
      </c>
      <c r="H98" s="1085"/>
      <c r="I98" s="1080"/>
      <c r="J98" s="186"/>
      <c r="K98" s="581"/>
      <c r="L98" s="1188">
        <v>25</v>
      </c>
      <c r="M98" s="1188">
        <v>35</v>
      </c>
      <c r="N98" s="937"/>
      <c r="O98" s="291"/>
      <c r="P98" s="266"/>
      <c r="Q98" s="292"/>
    </row>
    <row r="99" spans="1:19" x14ac:dyDescent="0.2">
      <c r="A99" s="661"/>
      <c r="B99" s="662"/>
      <c r="C99" s="19"/>
      <c r="D99" s="1213" t="s">
        <v>267</v>
      </c>
      <c r="E99" s="1531"/>
      <c r="F99" s="1559"/>
      <c r="G99" s="791"/>
      <c r="H99" s="1099"/>
      <c r="I99" s="536"/>
      <c r="J99" s="185"/>
      <c r="K99" s="582"/>
      <c r="L99" s="905"/>
      <c r="M99" s="65"/>
      <c r="N99" s="861" t="s">
        <v>258</v>
      </c>
      <c r="O99" s="586"/>
      <c r="P99" s="584">
        <v>3</v>
      </c>
      <c r="Q99" s="585">
        <v>4</v>
      </c>
    </row>
    <row r="100" spans="1:19" x14ac:dyDescent="0.2">
      <c r="A100" s="661"/>
      <c r="B100" s="662"/>
      <c r="C100" s="19"/>
      <c r="D100" s="1557" t="s">
        <v>101</v>
      </c>
      <c r="E100" s="1531"/>
      <c r="F100" s="1559"/>
      <c r="G100" s="1079"/>
      <c r="H100" s="1088"/>
      <c r="I100" s="1189"/>
      <c r="J100" s="374"/>
      <c r="K100" s="375"/>
      <c r="L100" s="1190"/>
      <c r="M100" s="1128"/>
      <c r="N100" s="1651" t="s">
        <v>244</v>
      </c>
      <c r="O100" s="586"/>
      <c r="P100" s="584">
        <v>2</v>
      </c>
      <c r="Q100" s="585">
        <v>3</v>
      </c>
    </row>
    <row r="101" spans="1:19" ht="13.5" thickBot="1" x14ac:dyDescent="0.25">
      <c r="A101" s="24"/>
      <c r="B101" s="14"/>
      <c r="C101" s="45"/>
      <c r="D101" s="1466"/>
      <c r="E101" s="1516"/>
      <c r="F101" s="1520"/>
      <c r="G101" s="792" t="s">
        <v>16</v>
      </c>
      <c r="H101" s="399"/>
      <c r="I101" s="388"/>
      <c r="J101" s="1217"/>
      <c r="K101" s="1218"/>
      <c r="L101" s="460">
        <f>SUM(L98:L100)</f>
        <v>25</v>
      </c>
      <c r="M101" s="399">
        <f>SUM(M98:M100)</f>
        <v>35</v>
      </c>
      <c r="N101" s="1652"/>
      <c r="O101" s="1202"/>
      <c r="P101" s="1203"/>
      <c r="Q101" s="1204"/>
      <c r="S101" s="123"/>
    </row>
    <row r="102" spans="1:19" x14ac:dyDescent="0.2">
      <c r="A102" s="21" t="s">
        <v>9</v>
      </c>
      <c r="B102" s="27" t="s">
        <v>11</v>
      </c>
      <c r="C102" s="22" t="s">
        <v>13</v>
      </c>
      <c r="D102" s="1465" t="s">
        <v>205</v>
      </c>
      <c r="E102" s="1560" t="s">
        <v>98</v>
      </c>
      <c r="F102" s="1661" t="s">
        <v>35</v>
      </c>
      <c r="G102" s="1078" t="s">
        <v>12</v>
      </c>
      <c r="H102" s="1089">
        <f>I102+K102</f>
        <v>40</v>
      </c>
      <c r="I102" s="1084">
        <v>40</v>
      </c>
      <c r="J102" s="349"/>
      <c r="K102" s="350"/>
      <c r="L102" s="64">
        <v>40</v>
      </c>
      <c r="M102" s="64">
        <v>40</v>
      </c>
      <c r="N102" s="759" t="s">
        <v>259</v>
      </c>
      <c r="O102" s="721">
        <v>4</v>
      </c>
      <c r="P102" s="266">
        <v>10</v>
      </c>
      <c r="Q102" s="292">
        <v>10</v>
      </c>
      <c r="R102" s="235"/>
    </row>
    <row r="103" spans="1:19" ht="42.75" customHeight="1" thickBot="1" x14ac:dyDescent="0.25">
      <c r="A103" s="24"/>
      <c r="B103" s="14"/>
      <c r="C103" s="45"/>
      <c r="D103" s="1466"/>
      <c r="E103" s="1561"/>
      <c r="F103" s="1662"/>
      <c r="G103" s="792" t="s">
        <v>16</v>
      </c>
      <c r="H103" s="454">
        <f>H102</f>
        <v>40</v>
      </c>
      <c r="I103" s="971">
        <f t="shared" ref="I103" si="6">I102</f>
        <v>40</v>
      </c>
      <c r="J103" s="438"/>
      <c r="K103" s="453"/>
      <c r="L103" s="460">
        <f t="shared" ref="L103:M103" si="7">L102</f>
        <v>40</v>
      </c>
      <c r="M103" s="399">
        <f t="shared" si="7"/>
        <v>40</v>
      </c>
      <c r="N103" s="865"/>
      <c r="O103" s="1202"/>
      <c r="P103" s="1203"/>
      <c r="Q103" s="1204"/>
      <c r="R103" s="235"/>
    </row>
    <row r="104" spans="1:19" ht="13.5" thickBot="1" x14ac:dyDescent="0.25">
      <c r="A104" s="30" t="s">
        <v>9</v>
      </c>
      <c r="B104" s="33" t="s">
        <v>11</v>
      </c>
      <c r="C104" s="1701" t="s">
        <v>15</v>
      </c>
      <c r="D104" s="1529"/>
      <c r="E104" s="1529"/>
      <c r="F104" s="1529"/>
      <c r="G104" s="1530"/>
      <c r="H104" s="198">
        <f t="shared" ref="H104:K104" si="8">H103+H97+H93+H101</f>
        <v>100</v>
      </c>
      <c r="I104" s="208">
        <f>I103+I97+I93+I101</f>
        <v>100</v>
      </c>
      <c r="J104" s="203">
        <f t="shared" si="8"/>
        <v>0</v>
      </c>
      <c r="K104" s="207">
        <f t="shared" si="8"/>
        <v>0</v>
      </c>
      <c r="L104" s="198">
        <f>L103+L97+L93+L101</f>
        <v>215</v>
      </c>
      <c r="M104" s="198">
        <f>M103+M97+M93+M101</f>
        <v>325</v>
      </c>
      <c r="N104" s="1485"/>
      <c r="O104" s="1486"/>
      <c r="P104" s="1486"/>
      <c r="Q104" s="1487"/>
    </row>
    <row r="105" spans="1:19" ht="13.5" thickBot="1" x14ac:dyDescent="0.25">
      <c r="A105" s="13" t="s">
        <v>9</v>
      </c>
      <c r="B105" s="1719" t="s">
        <v>17</v>
      </c>
      <c r="C105" s="1562"/>
      <c r="D105" s="1562"/>
      <c r="E105" s="1562"/>
      <c r="F105" s="1562"/>
      <c r="G105" s="1563"/>
      <c r="H105" s="153">
        <f>H104+H85+H29</f>
        <v>13985.3</v>
      </c>
      <c r="I105" s="206">
        <f>I104+I85+I29</f>
        <v>2323.3000000000002</v>
      </c>
      <c r="J105" s="204">
        <f>J104+J85+J29</f>
        <v>0</v>
      </c>
      <c r="K105" s="153">
        <f>K104+K85+K29</f>
        <v>719.09999999999991</v>
      </c>
      <c r="L105" s="153">
        <f>L85+L29+L104</f>
        <v>13426.5</v>
      </c>
      <c r="M105" s="153">
        <f>M85+M29+M104</f>
        <v>13569.099999999999</v>
      </c>
      <c r="N105" s="1610"/>
      <c r="O105" s="1611"/>
      <c r="P105" s="1611"/>
      <c r="Q105" s="1612"/>
    </row>
    <row r="106" spans="1:19" ht="13.5" thickBot="1" x14ac:dyDescent="0.25">
      <c r="A106" s="31" t="s">
        <v>14</v>
      </c>
      <c r="B106" s="1720" t="s">
        <v>99</v>
      </c>
      <c r="C106" s="1579"/>
      <c r="D106" s="1579"/>
      <c r="E106" s="1579"/>
      <c r="F106" s="1579"/>
      <c r="G106" s="1580"/>
      <c r="H106" s="304">
        <f t="shared" ref="H106:L106" si="9">H105</f>
        <v>13985.3</v>
      </c>
      <c r="I106" s="305">
        <f t="shared" si="9"/>
        <v>2323.3000000000002</v>
      </c>
      <c r="J106" s="307">
        <f t="shared" si="9"/>
        <v>0</v>
      </c>
      <c r="K106" s="304">
        <f t="shared" si="9"/>
        <v>719.09999999999991</v>
      </c>
      <c r="L106" s="310">
        <f t="shared" si="9"/>
        <v>13426.5</v>
      </c>
      <c r="M106" s="307">
        <f>M105</f>
        <v>13569.099999999999</v>
      </c>
      <c r="N106" s="1667"/>
      <c r="O106" s="1668"/>
      <c r="P106" s="1668"/>
      <c r="Q106" s="1669"/>
      <c r="S106" s="1332"/>
    </row>
    <row r="107" spans="1:19" x14ac:dyDescent="0.2">
      <c r="A107" s="1092"/>
      <c r="B107" s="1093"/>
      <c r="C107" s="1093"/>
      <c r="D107" s="1093"/>
      <c r="E107" s="1093"/>
      <c r="F107" s="1093"/>
      <c r="G107" s="1093"/>
      <c r="H107" s="1094"/>
      <c r="I107" s="1094"/>
      <c r="J107" s="1094"/>
      <c r="K107" s="1094"/>
      <c r="L107" s="1094"/>
      <c r="M107" s="1094"/>
      <c r="N107" s="1091"/>
      <c r="O107" s="1091"/>
      <c r="P107" s="1091"/>
      <c r="Q107" s="1091"/>
    </row>
    <row r="108" spans="1:19" ht="13.5" thickBot="1" x14ac:dyDescent="0.25">
      <c r="A108" s="1712" t="s">
        <v>21</v>
      </c>
      <c r="B108" s="1712"/>
      <c r="C108" s="1712"/>
      <c r="D108" s="1712"/>
      <c r="E108" s="1712"/>
      <c r="F108" s="1712"/>
      <c r="G108" s="1712"/>
      <c r="H108" s="1712"/>
      <c r="I108" s="1712"/>
      <c r="J108" s="1712"/>
      <c r="K108" s="1712"/>
      <c r="L108" s="1712"/>
      <c r="M108" s="1712"/>
      <c r="N108" s="311"/>
      <c r="O108" s="1030"/>
      <c r="P108" s="1030"/>
      <c r="Q108" s="1030"/>
    </row>
    <row r="109" spans="1:19" ht="38.25" x14ac:dyDescent="0.2">
      <c r="A109" s="1713" t="s">
        <v>19</v>
      </c>
      <c r="B109" s="1714"/>
      <c r="C109" s="1714"/>
      <c r="D109" s="1714"/>
      <c r="E109" s="1714"/>
      <c r="F109" s="1714"/>
      <c r="G109" s="1715"/>
      <c r="H109" s="1789" t="s">
        <v>231</v>
      </c>
      <c r="I109" s="1790"/>
      <c r="J109" s="1790"/>
      <c r="K109" s="1791"/>
      <c r="L109" s="1100" t="s">
        <v>232</v>
      </c>
      <c r="M109" s="1100" t="s">
        <v>233</v>
      </c>
      <c r="N109" s="70"/>
      <c r="O109" s="1601"/>
      <c r="P109" s="1601"/>
      <c r="Q109" s="1601"/>
    </row>
    <row r="110" spans="1:19" x14ac:dyDescent="0.2">
      <c r="A110" s="1709" t="s">
        <v>32</v>
      </c>
      <c r="B110" s="1710"/>
      <c r="C110" s="1710"/>
      <c r="D110" s="1710"/>
      <c r="E110" s="1710"/>
      <c r="F110" s="1710"/>
      <c r="G110" s="1711"/>
      <c r="H110" s="1594">
        <f>SUM(H111:K113)</f>
        <v>13137.2</v>
      </c>
      <c r="I110" s="1595"/>
      <c r="J110" s="1595"/>
      <c r="K110" s="1596"/>
      <c r="L110" s="54">
        <f>SUM(L111:L114)</f>
        <v>12848.800000000001</v>
      </c>
      <c r="M110" s="54">
        <f>SUM(M111:M114)</f>
        <v>12375.2</v>
      </c>
      <c r="N110" s="71"/>
      <c r="O110" s="1599"/>
      <c r="P110" s="1599"/>
      <c r="Q110" s="1599"/>
    </row>
    <row r="111" spans="1:19" x14ac:dyDescent="0.2">
      <c r="A111" s="1581" t="s">
        <v>22</v>
      </c>
      <c r="B111" s="1582"/>
      <c r="C111" s="1582"/>
      <c r="D111" s="1582"/>
      <c r="E111" s="1582"/>
      <c r="F111" s="1582"/>
      <c r="G111" s="1583"/>
      <c r="H111" s="1512">
        <f>SUMIF(G12:G102,"sb",H12:H102)-270.7</f>
        <v>11463.4</v>
      </c>
      <c r="I111" s="1513"/>
      <c r="J111" s="1513"/>
      <c r="K111" s="1514"/>
      <c r="L111" s="67">
        <f>SUMIF(G12:G102,"sb",L12:L102)</f>
        <v>11022.300000000001</v>
      </c>
      <c r="M111" s="67">
        <f>SUMIF(G12:G102,"sb",M12:M102)</f>
        <v>10359.5</v>
      </c>
      <c r="N111" s="169"/>
      <c r="O111" s="1600"/>
      <c r="P111" s="1600"/>
      <c r="Q111" s="1600"/>
    </row>
    <row r="112" spans="1:19" x14ac:dyDescent="0.2">
      <c r="A112" s="1581" t="s">
        <v>117</v>
      </c>
      <c r="B112" s="1582"/>
      <c r="C112" s="1582"/>
      <c r="D112" s="1582"/>
      <c r="E112" s="1582"/>
      <c r="F112" s="1582"/>
      <c r="G112" s="1583"/>
      <c r="H112" s="1573">
        <f>SUMIF(G13:G102,"sb(vr)",H13:H102)</f>
        <v>464.1</v>
      </c>
      <c r="I112" s="1574"/>
      <c r="J112" s="1574"/>
      <c r="K112" s="1575"/>
      <c r="L112" s="67">
        <f>SUMIF(G13:G102,"sb(vr)",L13:L102)</f>
        <v>528</v>
      </c>
      <c r="M112" s="67">
        <f>SUMIF(G13:G102,"sb(vr)",M13:M102)</f>
        <v>528</v>
      </c>
      <c r="N112" s="783"/>
      <c r="O112" s="1215"/>
      <c r="P112" s="1215"/>
      <c r="Q112" s="1215"/>
    </row>
    <row r="113" spans="1:17" x14ac:dyDescent="0.2">
      <c r="A113" s="1721" t="s">
        <v>31</v>
      </c>
      <c r="B113" s="1722"/>
      <c r="C113" s="1722"/>
      <c r="D113" s="1722"/>
      <c r="E113" s="1722"/>
      <c r="F113" s="1722"/>
      <c r="G113" s="1723"/>
      <c r="H113" s="1567">
        <f>SUMIF(G13:G102,"sb(sp)",H13:H102)-H39</f>
        <v>1209.7</v>
      </c>
      <c r="I113" s="1568"/>
      <c r="J113" s="1568"/>
      <c r="K113" s="1569"/>
      <c r="L113" s="68">
        <f>SUMIF(G13:G102,"sb(sp)",L13:L102)</f>
        <v>1298.5</v>
      </c>
      <c r="M113" s="68">
        <f>SUMIF(G13:G102,"SB(SP)",M13:M102)</f>
        <v>1298.5</v>
      </c>
      <c r="N113" s="1095"/>
      <c r="O113" s="1600"/>
      <c r="P113" s="1600"/>
      <c r="Q113" s="1600"/>
    </row>
    <row r="114" spans="1:17" s="8" customFormat="1" x14ac:dyDescent="0.2">
      <c r="A114" s="1716" t="s">
        <v>212</v>
      </c>
      <c r="B114" s="1717"/>
      <c r="C114" s="1717"/>
      <c r="D114" s="1717"/>
      <c r="E114" s="1717"/>
      <c r="F114" s="1717"/>
      <c r="G114" s="1718"/>
      <c r="H114" s="1727">
        <f>SUMIF(G13:G102,"SB(P)",H13:H102)</f>
        <v>0</v>
      </c>
      <c r="I114" s="1728"/>
      <c r="J114" s="1728"/>
      <c r="K114" s="1729"/>
      <c r="L114" s="875">
        <f>SUMIF(G13:G102,"SB(P)",L13:L102)</f>
        <v>0</v>
      </c>
      <c r="M114" s="1223">
        <f>SUMIF(G13:G102,"SB(P)",M13:M102)</f>
        <v>189.2</v>
      </c>
      <c r="N114" s="169"/>
      <c r="O114" s="1215"/>
      <c r="P114" s="1215"/>
      <c r="Q114" s="1215"/>
    </row>
    <row r="115" spans="1:17" x14ac:dyDescent="0.2">
      <c r="A115" s="1709" t="s">
        <v>33</v>
      </c>
      <c r="B115" s="1710"/>
      <c r="C115" s="1710"/>
      <c r="D115" s="1710"/>
      <c r="E115" s="1710"/>
      <c r="F115" s="1710"/>
      <c r="G115" s="1711"/>
      <c r="H115" s="1564">
        <f>SUM(H116:K117)</f>
        <v>848.09999999999991</v>
      </c>
      <c r="I115" s="1565"/>
      <c r="J115" s="1565"/>
      <c r="K115" s="1566"/>
      <c r="L115" s="69">
        <f>SUM(L116:L117)</f>
        <v>577.70000000000005</v>
      </c>
      <c r="M115" s="69">
        <f>SUM(M116:M117)</f>
        <v>1193.9000000000001</v>
      </c>
      <c r="N115" s="71"/>
      <c r="O115" s="1599"/>
      <c r="P115" s="1599"/>
      <c r="Q115" s="1599"/>
    </row>
    <row r="116" spans="1:17" x14ac:dyDescent="0.2">
      <c r="A116" s="1581" t="s">
        <v>23</v>
      </c>
      <c r="B116" s="1582"/>
      <c r="C116" s="1582"/>
      <c r="D116" s="1582"/>
      <c r="E116" s="1582"/>
      <c r="F116" s="1582"/>
      <c r="G116" s="1583"/>
      <c r="H116" s="1512">
        <f>SUMIF(G13:G102,"es",H13:H102)</f>
        <v>651.79999999999995</v>
      </c>
      <c r="I116" s="1513"/>
      <c r="J116" s="1513"/>
      <c r="K116" s="1514"/>
      <c r="L116" s="67">
        <f>SUMIF(G13:G102,"es",L13:L102)</f>
        <v>357.7</v>
      </c>
      <c r="M116" s="67">
        <f>SUMIF(G13:G102,"es",M13:M102)</f>
        <v>1025.9000000000001</v>
      </c>
      <c r="N116" s="169"/>
      <c r="O116" s="1600"/>
      <c r="P116" s="1600"/>
      <c r="Q116" s="1600"/>
    </row>
    <row r="117" spans="1:17" x14ac:dyDescent="0.2">
      <c r="A117" s="1581" t="s">
        <v>24</v>
      </c>
      <c r="B117" s="1582"/>
      <c r="C117" s="1582"/>
      <c r="D117" s="1582"/>
      <c r="E117" s="1582"/>
      <c r="F117" s="1582"/>
      <c r="G117" s="1583"/>
      <c r="H117" s="1512">
        <f>SUMIF(G13:G102,"lrvb",H13:H102)</f>
        <v>196.3</v>
      </c>
      <c r="I117" s="1513"/>
      <c r="J117" s="1513"/>
      <c r="K117" s="1514"/>
      <c r="L117" s="67">
        <f>SUMIF(G13:G102,"lrvb",L13:L102)</f>
        <v>220</v>
      </c>
      <c r="M117" s="67">
        <f>SUMIF(G13:G102,"lrvb",M13:M102)</f>
        <v>168</v>
      </c>
      <c r="N117" s="169"/>
      <c r="O117" s="1600"/>
      <c r="P117" s="1600"/>
      <c r="Q117" s="1600"/>
    </row>
    <row r="118" spans="1:17" ht="13.5" thickBot="1" x14ac:dyDescent="0.25">
      <c r="A118" s="1706" t="s">
        <v>16</v>
      </c>
      <c r="B118" s="1707"/>
      <c r="C118" s="1707"/>
      <c r="D118" s="1707"/>
      <c r="E118" s="1707"/>
      <c r="F118" s="1707"/>
      <c r="G118" s="1708"/>
      <c r="H118" s="1602">
        <f>H115+H110</f>
        <v>13985.300000000001</v>
      </c>
      <c r="I118" s="1603"/>
      <c r="J118" s="1603"/>
      <c r="K118" s="1604"/>
      <c r="L118" s="399">
        <f>L115+L110</f>
        <v>13426.500000000002</v>
      </c>
      <c r="M118" s="399">
        <f>M115+M110</f>
        <v>13569.1</v>
      </c>
      <c r="N118" s="71"/>
      <c r="O118" s="1599"/>
      <c r="P118" s="1599"/>
      <c r="Q118" s="1599"/>
    </row>
    <row r="119" spans="1:17" x14ac:dyDescent="0.2">
      <c r="A119" s="47"/>
      <c r="B119" s="47"/>
      <c r="C119" s="47"/>
      <c r="D119" s="47"/>
      <c r="I119" s="154"/>
      <c r="L119" s="154"/>
      <c r="M119" s="154"/>
      <c r="N119" s="72"/>
      <c r="O119" s="1600"/>
      <c r="P119" s="1600"/>
      <c r="Q119" s="1600"/>
    </row>
    <row r="120" spans="1:17" x14ac:dyDescent="0.2">
      <c r="H120" s="7"/>
      <c r="I120" s="154"/>
      <c r="L120" s="154"/>
      <c r="M120" s="154"/>
      <c r="O120" s="1597"/>
      <c r="P120" s="1597"/>
      <c r="Q120" s="1597"/>
    </row>
    <row r="121" spans="1:17" x14ac:dyDescent="0.2">
      <c r="I121" s="154"/>
      <c r="N121" s="10"/>
      <c r="O121" s="1031"/>
      <c r="P121" s="1031"/>
      <c r="Q121" s="103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783"/>
      <c r="J122" s="1"/>
      <c r="K122" s="1"/>
      <c r="L122" s="1"/>
      <c r="M122" s="1"/>
      <c r="N122" s="51"/>
      <c r="O122" s="1032"/>
      <c r="P122" s="1032"/>
      <c r="Q122" s="1032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9"/>
      <c r="O123" s="1032"/>
      <c r="P123" s="1032"/>
      <c r="Q123" s="1032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9"/>
      <c r="O124" s="1032"/>
      <c r="P124" s="1032"/>
      <c r="Q124" s="1032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9"/>
      <c r="O125" s="1032"/>
      <c r="P125" s="1032"/>
      <c r="Q125" s="1032"/>
    </row>
  </sheetData>
  <mergeCells count="141">
    <mergeCell ref="A1:Q1"/>
    <mergeCell ref="A2:Q2"/>
    <mergeCell ref="A3:Q3"/>
    <mergeCell ref="P4:Q4"/>
    <mergeCell ref="A5:A7"/>
    <mergeCell ref="B5:B7"/>
    <mergeCell ref="C5:C7"/>
    <mergeCell ref="D5:D7"/>
    <mergeCell ref="E5:E7"/>
    <mergeCell ref="F5:F7"/>
    <mergeCell ref="A8:Q8"/>
    <mergeCell ref="A9:Q9"/>
    <mergeCell ref="B10:Q10"/>
    <mergeCell ref="C11:Q11"/>
    <mergeCell ref="E12:E13"/>
    <mergeCell ref="D17:D18"/>
    <mergeCell ref="N17:N18"/>
    <mergeCell ref="G5:G7"/>
    <mergeCell ref="H5:K7"/>
    <mergeCell ref="L5:L7"/>
    <mergeCell ref="M5:M7"/>
    <mergeCell ref="N5:Q5"/>
    <mergeCell ref="N6:N7"/>
    <mergeCell ref="O6:Q6"/>
    <mergeCell ref="N21:N22"/>
    <mergeCell ref="O21:O22"/>
    <mergeCell ref="P21:P22"/>
    <mergeCell ref="Q21:Q22"/>
    <mergeCell ref="D25:D26"/>
    <mergeCell ref="N25:N26"/>
    <mergeCell ref="D19:D20"/>
    <mergeCell ref="E19:E20"/>
    <mergeCell ref="F19:F20"/>
    <mergeCell ref="D21:D22"/>
    <mergeCell ref="E21:E22"/>
    <mergeCell ref="F21:F22"/>
    <mergeCell ref="Q33:Q36"/>
    <mergeCell ref="D36:D37"/>
    <mergeCell ref="D38:D39"/>
    <mergeCell ref="D40:D42"/>
    <mergeCell ref="D43:D45"/>
    <mergeCell ref="D46:D47"/>
    <mergeCell ref="D27:D28"/>
    <mergeCell ref="C29:G29"/>
    <mergeCell ref="N29:Q29"/>
    <mergeCell ref="C30:Q30"/>
    <mergeCell ref="D31:D32"/>
    <mergeCell ref="E31:E36"/>
    <mergeCell ref="D33:D35"/>
    <mergeCell ref="N33:N36"/>
    <mergeCell ref="O33:O36"/>
    <mergeCell ref="P33:P36"/>
    <mergeCell ref="L40:L41"/>
    <mergeCell ref="O56:O57"/>
    <mergeCell ref="P56:P57"/>
    <mergeCell ref="Q56:Q57"/>
    <mergeCell ref="D63:D64"/>
    <mergeCell ref="E63:E64"/>
    <mergeCell ref="D48:D49"/>
    <mergeCell ref="D50:D52"/>
    <mergeCell ref="N50:N52"/>
    <mergeCell ref="E52:E56"/>
    <mergeCell ref="D53:D55"/>
    <mergeCell ref="N56:N57"/>
    <mergeCell ref="D56:D58"/>
    <mergeCell ref="D59:D60"/>
    <mergeCell ref="D72:D76"/>
    <mergeCell ref="E72:E75"/>
    <mergeCell ref="F72:F75"/>
    <mergeCell ref="N72:N73"/>
    <mergeCell ref="N74:N75"/>
    <mergeCell ref="E76:G76"/>
    <mergeCell ref="D65:D68"/>
    <mergeCell ref="N65:N68"/>
    <mergeCell ref="D69:D71"/>
    <mergeCell ref="E69:E71"/>
    <mergeCell ref="F69:F71"/>
    <mergeCell ref="N69:N71"/>
    <mergeCell ref="D77:D78"/>
    <mergeCell ref="N77:N78"/>
    <mergeCell ref="D80:D81"/>
    <mergeCell ref="E80:E81"/>
    <mergeCell ref="F80:F81"/>
    <mergeCell ref="D82:D83"/>
    <mergeCell ref="E82:E83"/>
    <mergeCell ref="F82:F83"/>
    <mergeCell ref="N82:N83"/>
    <mergeCell ref="F94:F97"/>
    <mergeCell ref="D96:D97"/>
    <mergeCell ref="E96:E97"/>
    <mergeCell ref="N96:N97"/>
    <mergeCell ref="E98:E101"/>
    <mergeCell ref="F98:F101"/>
    <mergeCell ref="D100:D101"/>
    <mergeCell ref="N100:N101"/>
    <mergeCell ref="C85:G85"/>
    <mergeCell ref="N85:Q85"/>
    <mergeCell ref="C86:Q86"/>
    <mergeCell ref="E87:E90"/>
    <mergeCell ref="D89:D90"/>
    <mergeCell ref="D92:D93"/>
    <mergeCell ref="B106:G106"/>
    <mergeCell ref="N106:Q106"/>
    <mergeCell ref="A108:M108"/>
    <mergeCell ref="A109:G109"/>
    <mergeCell ref="H109:K109"/>
    <mergeCell ref="O109:Q109"/>
    <mergeCell ref="D102:D103"/>
    <mergeCell ref="E102:E103"/>
    <mergeCell ref="F102:F103"/>
    <mergeCell ref="C104:G104"/>
    <mergeCell ref="N104:Q104"/>
    <mergeCell ref="B105:G105"/>
    <mergeCell ref="N105:Q105"/>
    <mergeCell ref="A112:G112"/>
    <mergeCell ref="H112:K112"/>
    <mergeCell ref="A113:G113"/>
    <mergeCell ref="H113:K113"/>
    <mergeCell ref="O113:Q113"/>
    <mergeCell ref="A114:G114"/>
    <mergeCell ref="H114:K114"/>
    <mergeCell ref="A110:G110"/>
    <mergeCell ref="H110:K110"/>
    <mergeCell ref="O110:Q110"/>
    <mergeCell ref="A111:G111"/>
    <mergeCell ref="H111:K111"/>
    <mergeCell ref="O111:Q111"/>
    <mergeCell ref="O119:Q119"/>
    <mergeCell ref="O120:Q120"/>
    <mergeCell ref="A117:G117"/>
    <mergeCell ref="H117:K117"/>
    <mergeCell ref="O117:Q117"/>
    <mergeCell ref="A118:G118"/>
    <mergeCell ref="H118:K118"/>
    <mergeCell ref="O118:Q118"/>
    <mergeCell ref="A115:G115"/>
    <mergeCell ref="H115:K115"/>
    <mergeCell ref="O115:Q115"/>
    <mergeCell ref="A116:G116"/>
    <mergeCell ref="H116:K116"/>
    <mergeCell ref="O116:Q1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6</vt:i4>
      </vt:variant>
    </vt:vector>
  </HeadingPairs>
  <TitlesOfParts>
    <vt:vector size="11" baseType="lpstr">
      <vt:lpstr>2014-2016 SVP</vt:lpstr>
      <vt:lpstr>8 programa</vt:lpstr>
      <vt:lpstr>Aiškinamoji lentelė</vt:lpstr>
      <vt:lpstr>Asignavimų valdytojų kodai</vt:lpstr>
      <vt:lpstr>8 pr. Lt</vt:lpstr>
      <vt:lpstr>'2014-2016 SVP'!Print_Area</vt:lpstr>
      <vt:lpstr>'8 programa'!Print_Area</vt:lpstr>
      <vt:lpstr>'Aiškinamoji lentelė'!Print_Area</vt:lpstr>
      <vt:lpstr>'2014-2016 SVP'!Print_Titles</vt:lpstr>
      <vt:lpstr>'8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Audra Cepiene</cp:lastModifiedBy>
  <cp:lastPrinted>2014-12-18T06:38:04Z</cp:lastPrinted>
  <dcterms:created xsi:type="dcterms:W3CDTF">2004-04-19T12:01:47Z</dcterms:created>
  <dcterms:modified xsi:type="dcterms:W3CDTF">2014-12-18T09:27:30Z</dcterms:modified>
</cp:coreProperties>
</file>