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15" windowWidth="19200" windowHeight="11280" tabRatio="723" firstSheet="2" activeTab="2"/>
  </bookViews>
  <sheets>
    <sheet name="2014-2016 SVP" sheetId="32" state="hidden" r:id="rId1"/>
    <sheet name="Asignavimu valdytojų kodai" sheetId="35" state="hidden" r:id="rId2"/>
    <sheet name="10 programa " sheetId="37" r:id="rId3"/>
    <sheet name="Aiškinamoji lentelė" sheetId="36" state="hidden" r:id="rId4"/>
    <sheet name="10 pr. Lt" sheetId="38" state="hidden" r:id="rId5"/>
  </sheets>
  <definedNames>
    <definedName name="_xlnm.Print_Area" localSheetId="4">'10 pr. Lt'!$A$1:$R$161</definedName>
    <definedName name="_xlnm.Print_Area" localSheetId="2">'10 programa '!$A$1:$R$160</definedName>
    <definedName name="_xlnm.Print_Area" localSheetId="0">'2014-2016 SVP'!$A$1:$R$170</definedName>
    <definedName name="_xlnm.Print_Area" localSheetId="3">'Aiškinamoji lentelė'!$A$1:$Y$227</definedName>
    <definedName name="_xlnm.Print_Titles" localSheetId="4">'10 pr. Lt'!$5:$7</definedName>
    <definedName name="_xlnm.Print_Titles" localSheetId="2">'10 programa '!$5:$7</definedName>
    <definedName name="_xlnm.Print_Titles" localSheetId="0">'2014-2016 SVP'!$5:$7</definedName>
    <definedName name="_xlnm.Print_Titles" localSheetId="3">'Aiškinamoji lentelė'!$5:$7</definedName>
  </definedNames>
  <calcPr calcId="145621"/>
</workbook>
</file>

<file path=xl/calcChain.xml><?xml version="1.0" encoding="utf-8"?>
<calcChain xmlns="http://schemas.openxmlformats.org/spreadsheetml/2006/main">
  <c r="P39" i="36" l="1"/>
  <c r="H12" i="37" l="1"/>
  <c r="H126" i="37" l="1"/>
  <c r="H100" i="37"/>
  <c r="H95" i="37"/>
  <c r="H72" i="37"/>
  <c r="H71" i="37"/>
  <c r="H64" i="37"/>
  <c r="H60" i="37"/>
  <c r="H57" i="37"/>
  <c r="H55" i="37"/>
  <c r="H53" i="37"/>
  <c r="H51" i="37"/>
  <c r="P24" i="36" l="1"/>
  <c r="Q24" i="36"/>
  <c r="Q19" i="36"/>
  <c r="Q39" i="36"/>
  <c r="Q14" i="36"/>
  <c r="P19" i="36"/>
  <c r="P14" i="36"/>
  <c r="I160" i="38" l="1"/>
  <c r="N144" i="38"/>
  <c r="M144" i="38"/>
  <c r="M141" i="38"/>
  <c r="N139" i="38"/>
  <c r="M139" i="38"/>
  <c r="N137" i="38"/>
  <c r="M137" i="38"/>
  <c r="N127" i="38"/>
  <c r="M127" i="38"/>
  <c r="N122" i="38"/>
  <c r="M122" i="38"/>
  <c r="N120" i="38"/>
  <c r="M120" i="38"/>
  <c r="M113" i="38"/>
  <c r="M109" i="38"/>
  <c r="N103" i="38"/>
  <c r="M103" i="38"/>
  <c r="N93" i="38"/>
  <c r="M93" i="38"/>
  <c r="M92" i="38"/>
  <c r="N91" i="38"/>
  <c r="M90" i="38"/>
  <c r="N87" i="38"/>
  <c r="M86" i="38"/>
  <c r="N84" i="38"/>
  <c r="M83" i="38"/>
  <c r="N81" i="38"/>
  <c r="M80" i="38"/>
  <c r="N78" i="38"/>
  <c r="M77" i="38"/>
  <c r="M65" i="38"/>
  <c r="N63" i="38"/>
  <c r="M63" i="38"/>
  <c r="N61" i="38"/>
  <c r="M61" i="38"/>
  <c r="M58" i="38"/>
  <c r="N56" i="38"/>
  <c r="M56" i="38"/>
  <c r="N54" i="38"/>
  <c r="M54" i="38"/>
  <c r="N52" i="38"/>
  <c r="M52" i="38"/>
  <c r="N48" i="38"/>
  <c r="M48" i="38"/>
  <c r="N46" i="38"/>
  <c r="M46" i="38"/>
  <c r="N44" i="38"/>
  <c r="M44" i="38"/>
  <c r="N42" i="38"/>
  <c r="M42" i="38"/>
  <c r="N40" i="38"/>
  <c r="M40" i="38"/>
  <c r="M39" i="38"/>
  <c r="N14" i="38"/>
  <c r="M14" i="38"/>
  <c r="J38" i="37" l="1"/>
  <c r="N14" i="37"/>
  <c r="N13" i="37"/>
  <c r="N12" i="37"/>
  <c r="M14" i="37"/>
  <c r="M13" i="37"/>
  <c r="M12" i="37"/>
  <c r="H14" i="37"/>
  <c r="S29" i="36" l="1"/>
  <c r="S18" i="36"/>
  <c r="O24" i="36" l="1"/>
  <c r="N157" i="38"/>
  <c r="I157" i="38"/>
  <c r="H157" i="38"/>
  <c r="L146" i="38"/>
  <c r="N146" i="38"/>
  <c r="M146" i="38"/>
  <c r="I144" i="38"/>
  <c r="H144" i="38"/>
  <c r="H146" i="38" s="1"/>
  <c r="L143" i="38"/>
  <c r="K143" i="38"/>
  <c r="J143" i="38"/>
  <c r="I143" i="38"/>
  <c r="M143" i="38"/>
  <c r="J140" i="38"/>
  <c r="I140" i="38"/>
  <c r="N140" i="38"/>
  <c r="M140" i="38"/>
  <c r="I139" i="38"/>
  <c r="H139" i="38"/>
  <c r="H140" i="38" s="1"/>
  <c r="L138" i="38"/>
  <c r="I138" i="38" s="1"/>
  <c r="N138" i="38"/>
  <c r="M138" i="38"/>
  <c r="I137" i="38"/>
  <c r="H137" i="38"/>
  <c r="H138" i="38" s="1"/>
  <c r="L136" i="38"/>
  <c r="K136" i="38"/>
  <c r="J136" i="38"/>
  <c r="N136" i="38"/>
  <c r="M136" i="38"/>
  <c r="I127" i="38"/>
  <c r="I136" i="38" s="1"/>
  <c r="H127" i="38"/>
  <c r="H136" i="38" s="1"/>
  <c r="L125" i="38"/>
  <c r="K125" i="38"/>
  <c r="J124" i="38"/>
  <c r="N124" i="38"/>
  <c r="M124" i="38"/>
  <c r="I122" i="38"/>
  <c r="I124" i="38" s="1"/>
  <c r="H122" i="38"/>
  <c r="H124" i="38" s="1"/>
  <c r="H121" i="38"/>
  <c r="N121" i="38"/>
  <c r="M121" i="38"/>
  <c r="J120" i="38"/>
  <c r="J121" i="38" s="1"/>
  <c r="I121" i="38" s="1"/>
  <c r="I120" i="38"/>
  <c r="L117" i="38"/>
  <c r="I117" i="38" s="1"/>
  <c r="I116" i="38"/>
  <c r="H116" i="38"/>
  <c r="H117" i="38" s="1"/>
  <c r="L115" i="38"/>
  <c r="K115" i="38"/>
  <c r="J115" i="38"/>
  <c r="H115" i="38"/>
  <c r="M160" i="38"/>
  <c r="I113" i="38"/>
  <c r="I115" i="38" s="1"/>
  <c r="H113" i="38"/>
  <c r="H160" i="38" s="1"/>
  <c r="L111" i="38"/>
  <c r="I111" i="38"/>
  <c r="M111" i="38"/>
  <c r="I109" i="38"/>
  <c r="H109" i="38"/>
  <c r="H111" i="38" s="1"/>
  <c r="J108" i="38"/>
  <c r="I106" i="38"/>
  <c r="I108" i="38" s="1"/>
  <c r="H106" i="38"/>
  <c r="H108" i="38" s="1"/>
  <c r="N104" i="38"/>
  <c r="N105" i="38" s="1"/>
  <c r="M104" i="38"/>
  <c r="M105" i="38" s="1"/>
  <c r="L102" i="38"/>
  <c r="H102" i="38"/>
  <c r="I101" i="38"/>
  <c r="I102" i="38" s="1"/>
  <c r="H101" i="38"/>
  <c r="L100" i="38"/>
  <c r="L105" i="38" s="1"/>
  <c r="I105" i="38" s="1"/>
  <c r="I100" i="38"/>
  <c r="I96" i="38"/>
  <c r="H96" i="38"/>
  <c r="H100" i="38" s="1"/>
  <c r="H105" i="38" s="1"/>
  <c r="L94" i="38"/>
  <c r="M159" i="38"/>
  <c r="M157" i="38"/>
  <c r="I89" i="38"/>
  <c r="H89" i="38"/>
  <c r="I86" i="38"/>
  <c r="H86" i="38"/>
  <c r="I83" i="38"/>
  <c r="H83" i="38"/>
  <c r="I80" i="38"/>
  <c r="H80" i="38"/>
  <c r="M94" i="38"/>
  <c r="I77" i="38"/>
  <c r="I94" i="38" s="1"/>
  <c r="H77" i="38"/>
  <c r="H94" i="38" s="1"/>
  <c r="K75" i="38"/>
  <c r="K118" i="38" s="1"/>
  <c r="J75" i="38"/>
  <c r="I73" i="38"/>
  <c r="I159" i="38" s="1"/>
  <c r="I158" i="38" s="1"/>
  <c r="H73" i="38"/>
  <c r="H159" i="38" s="1"/>
  <c r="H158" i="38" s="1"/>
  <c r="L72" i="38"/>
  <c r="I72" i="38" s="1"/>
  <c r="H72" i="38"/>
  <c r="H75" i="38" s="1"/>
  <c r="J66" i="38"/>
  <c r="P65" i="38"/>
  <c r="M66" i="38"/>
  <c r="I65" i="38"/>
  <c r="I66" i="38" s="1"/>
  <c r="H65" i="38"/>
  <c r="H66" i="38" s="1"/>
  <c r="M64" i="38"/>
  <c r="J64" i="38"/>
  <c r="N64" i="38"/>
  <c r="I63" i="38"/>
  <c r="I64" i="38" s="1"/>
  <c r="H63" i="38"/>
  <c r="H64" i="38" s="1"/>
  <c r="K62" i="38"/>
  <c r="J62" i="38"/>
  <c r="N62" i="38"/>
  <c r="M62" i="38"/>
  <c r="I61" i="38"/>
  <c r="I62" i="38" s="1"/>
  <c r="H61" i="38"/>
  <c r="H62" i="38" s="1"/>
  <c r="N60" i="38"/>
  <c r="L60" i="38"/>
  <c r="L67" i="38" s="1"/>
  <c r="K60" i="38"/>
  <c r="J60" i="38"/>
  <c r="M60" i="38"/>
  <c r="I58" i="38"/>
  <c r="I60" i="38" s="1"/>
  <c r="H58" i="38"/>
  <c r="H60" i="38" s="1"/>
  <c r="J57" i="38"/>
  <c r="N57" i="38"/>
  <c r="M57" i="38"/>
  <c r="I56" i="38"/>
  <c r="I57" i="38" s="1"/>
  <c r="H56" i="38"/>
  <c r="H57" i="38" s="1"/>
  <c r="K55" i="38"/>
  <c r="J55" i="38"/>
  <c r="N55" i="38"/>
  <c r="M55" i="38"/>
  <c r="I54" i="38"/>
  <c r="I55" i="38" s="1"/>
  <c r="H54" i="38"/>
  <c r="H55" i="38" s="1"/>
  <c r="M53" i="38"/>
  <c r="J53" i="38"/>
  <c r="N53" i="38"/>
  <c r="I52" i="38"/>
  <c r="I53" i="38" s="1"/>
  <c r="H52" i="38"/>
  <c r="H53" i="38" s="1"/>
  <c r="M49" i="38"/>
  <c r="J49" i="38"/>
  <c r="N49" i="38"/>
  <c r="I48" i="38"/>
  <c r="I49" i="38" s="1"/>
  <c r="H48" i="38"/>
  <c r="H49" i="38" s="1"/>
  <c r="J47" i="38"/>
  <c r="N47" i="38"/>
  <c r="M47" i="38"/>
  <c r="I46" i="38"/>
  <c r="I47" i="38" s="1"/>
  <c r="H46" i="38"/>
  <c r="K45" i="38"/>
  <c r="J45" i="38"/>
  <c r="J50" i="38" s="1"/>
  <c r="N45" i="38"/>
  <c r="M45" i="38"/>
  <c r="I44" i="38"/>
  <c r="I45" i="38" s="1"/>
  <c r="H44" i="38"/>
  <c r="H45" i="38" s="1"/>
  <c r="K43" i="38"/>
  <c r="J43" i="38"/>
  <c r="N43" i="38"/>
  <c r="M43" i="38"/>
  <c r="I42" i="38"/>
  <c r="I43" i="38" s="1"/>
  <c r="H42" i="38"/>
  <c r="H43" i="38" s="1"/>
  <c r="K41" i="38"/>
  <c r="J41" i="38"/>
  <c r="N41" i="38"/>
  <c r="M41" i="38"/>
  <c r="I40" i="38"/>
  <c r="I41" i="38" s="1"/>
  <c r="H40" i="38"/>
  <c r="L39" i="38"/>
  <c r="L50" i="38" s="1"/>
  <c r="K39" i="38"/>
  <c r="J39" i="38"/>
  <c r="N155" i="38"/>
  <c r="M155" i="38"/>
  <c r="I14" i="38"/>
  <c r="I155" i="38" s="1"/>
  <c r="H14" i="38"/>
  <c r="H155" i="38" s="1"/>
  <c r="N156" i="38"/>
  <c r="M156" i="38"/>
  <c r="I13" i="38"/>
  <c r="I156" i="38" s="1"/>
  <c r="H13" i="38"/>
  <c r="N154" i="38"/>
  <c r="M154" i="38"/>
  <c r="I12" i="38"/>
  <c r="H12" i="38"/>
  <c r="H39" i="38" s="1"/>
  <c r="N153" i="38" l="1"/>
  <c r="M158" i="38"/>
  <c r="M153" i="38"/>
  <c r="I154" i="38"/>
  <c r="I153" i="38" s="1"/>
  <c r="I161" i="38" s="1"/>
  <c r="H154" i="38"/>
  <c r="J67" i="38"/>
  <c r="L68" i="38"/>
  <c r="L75" i="38"/>
  <c r="I75" i="38" s="1"/>
  <c r="I118" i="38" s="1"/>
  <c r="N159" i="38"/>
  <c r="N158" i="38" s="1"/>
  <c r="N161" i="38" s="1"/>
  <c r="K67" i="38"/>
  <c r="J118" i="38"/>
  <c r="M115" i="38"/>
  <c r="M118" i="38" s="1"/>
  <c r="H125" i="38"/>
  <c r="J125" i="38"/>
  <c r="K147" i="38"/>
  <c r="L147" i="38"/>
  <c r="I125" i="38"/>
  <c r="N39" i="38"/>
  <c r="N50" i="38" s="1"/>
  <c r="K50" i="38"/>
  <c r="K68" i="38" s="1"/>
  <c r="J147" i="38"/>
  <c r="H156" i="38"/>
  <c r="N67" i="38"/>
  <c r="M125" i="38"/>
  <c r="J148" i="38"/>
  <c r="M147" i="38"/>
  <c r="H47" i="38"/>
  <c r="H67" i="38"/>
  <c r="H118" i="38"/>
  <c r="N125" i="38"/>
  <c r="N147" i="38"/>
  <c r="M50" i="38"/>
  <c r="I39" i="38"/>
  <c r="I50" i="38" s="1"/>
  <c r="K148" i="38"/>
  <c r="H147" i="38"/>
  <c r="J68" i="38"/>
  <c r="I68" i="38" s="1"/>
  <c r="I67" i="38"/>
  <c r="M67" i="38"/>
  <c r="N94" i="38"/>
  <c r="N118" i="38" s="1"/>
  <c r="H41" i="38"/>
  <c r="I146" i="38"/>
  <c r="I147" i="38" s="1"/>
  <c r="K149" i="38" l="1"/>
  <c r="M161" i="38"/>
  <c r="H153" i="38"/>
  <c r="H161" i="38" s="1"/>
  <c r="H50" i="38"/>
  <c r="L118" i="38"/>
  <c r="L148" i="38" s="1"/>
  <c r="L149" i="38" s="1"/>
  <c r="H148" i="38"/>
  <c r="N68" i="38"/>
  <c r="M68" i="38"/>
  <c r="H68" i="38"/>
  <c r="H149" i="38" s="1"/>
  <c r="J149" i="38"/>
  <c r="N148" i="38"/>
  <c r="M148" i="38"/>
  <c r="M149" i="38" s="1"/>
  <c r="N149" i="38" l="1"/>
  <c r="I148" i="38"/>
  <c r="I149" i="38"/>
  <c r="O30" i="36"/>
  <c r="O33" i="36" l="1"/>
  <c r="O21" i="36"/>
  <c r="O17" i="36"/>
  <c r="O217" i="36"/>
  <c r="O216" i="36"/>
  <c r="O213" i="36"/>
  <c r="P34" i="36"/>
  <c r="P192" i="36"/>
  <c r="Q18" i="36"/>
  <c r="O28" i="36"/>
  <c r="O222" i="36" l="1"/>
  <c r="O220" i="36"/>
  <c r="P29" i="36"/>
  <c r="Q34" i="36"/>
  <c r="I14" i="37"/>
  <c r="O139" i="36"/>
  <c r="P78" i="36"/>
  <c r="O78" i="36" s="1"/>
  <c r="M142" i="37" l="1"/>
  <c r="M159" i="37"/>
  <c r="N138" i="37"/>
  <c r="M138" i="37"/>
  <c r="N143" i="37"/>
  <c r="M143" i="37"/>
  <c r="H143" i="37"/>
  <c r="M140" i="37"/>
  <c r="H138" i="37"/>
  <c r="N136" i="37"/>
  <c r="M136" i="37"/>
  <c r="H136" i="37"/>
  <c r="N126" i="37"/>
  <c r="M126" i="37"/>
  <c r="N121" i="37"/>
  <c r="M121" i="37"/>
  <c r="H121" i="37"/>
  <c r="N119" i="37"/>
  <c r="M119" i="37"/>
  <c r="H115" i="37"/>
  <c r="M112" i="37"/>
  <c r="H112" i="37"/>
  <c r="M114" i="37" l="1"/>
  <c r="H114" i="37"/>
  <c r="I112" i="37"/>
  <c r="I159" i="37" s="1"/>
  <c r="M108" i="37"/>
  <c r="H108" i="37"/>
  <c r="H105" i="37"/>
  <c r="N102" i="37"/>
  <c r="M102" i="37"/>
  <c r="N92" i="37"/>
  <c r="M92" i="37"/>
  <c r="M91" i="37"/>
  <c r="N90" i="37"/>
  <c r="M89" i="37"/>
  <c r="H88" i="37"/>
  <c r="M85" i="37"/>
  <c r="I85" i="37"/>
  <c r="H85" i="37"/>
  <c r="M82" i="37"/>
  <c r="I82" i="37"/>
  <c r="H82" i="37"/>
  <c r="N86" i="37"/>
  <c r="N83" i="37"/>
  <c r="N80" i="37"/>
  <c r="N77" i="37"/>
  <c r="M79" i="37"/>
  <c r="H79" i="37"/>
  <c r="M76" i="37"/>
  <c r="H76" i="37"/>
  <c r="M64" i="37"/>
  <c r="N62" i="37" l="1"/>
  <c r="M62" i="37"/>
  <c r="H62" i="37"/>
  <c r="N60" i="37"/>
  <c r="M60" i="37"/>
  <c r="M57" i="37"/>
  <c r="N55" i="37"/>
  <c r="M55" i="37"/>
  <c r="N53" i="37"/>
  <c r="M53" i="37"/>
  <c r="N51" i="37"/>
  <c r="M51" i="37"/>
  <c r="N47" i="37"/>
  <c r="M47" i="37"/>
  <c r="H47" i="37"/>
  <c r="N45" i="37"/>
  <c r="M45" i="37"/>
  <c r="H45" i="37"/>
  <c r="N43" i="37"/>
  <c r="M43" i="37"/>
  <c r="H43" i="37"/>
  <c r="N41" i="37"/>
  <c r="M41" i="37"/>
  <c r="H41" i="37"/>
  <c r="N39" i="37"/>
  <c r="M39" i="37"/>
  <c r="H39" i="37"/>
  <c r="H13" i="37"/>
  <c r="H38" i="37" s="1"/>
  <c r="H159" i="37"/>
  <c r="H158" i="37"/>
  <c r="H156" i="37"/>
  <c r="H154" i="37"/>
  <c r="H153" i="37"/>
  <c r="H155" i="37" l="1"/>
  <c r="H152" i="37" s="1"/>
  <c r="H157" i="37"/>
  <c r="H145" i="37"/>
  <c r="H139" i="37"/>
  <c r="H137" i="37"/>
  <c r="H135" i="37"/>
  <c r="J135" i="37"/>
  <c r="K135" i="37"/>
  <c r="L135" i="37"/>
  <c r="M135" i="37"/>
  <c r="N135" i="37"/>
  <c r="I126" i="37"/>
  <c r="I135" i="37" s="1"/>
  <c r="H146" i="37" l="1"/>
  <c r="H160" i="37"/>
  <c r="H123" i="37" l="1"/>
  <c r="H120" i="37"/>
  <c r="H116" i="37"/>
  <c r="H110" i="37"/>
  <c r="H107" i="37"/>
  <c r="H101" i="37"/>
  <c r="H99" i="37"/>
  <c r="H93" i="37"/>
  <c r="H74" i="37"/>
  <c r="H65" i="37"/>
  <c r="H63" i="37"/>
  <c r="H61" i="37"/>
  <c r="H59" i="37"/>
  <c r="H56" i="37"/>
  <c r="H54" i="37"/>
  <c r="H52" i="37"/>
  <c r="H48" i="37"/>
  <c r="H46" i="37"/>
  <c r="H44" i="37"/>
  <c r="H42" i="37"/>
  <c r="H40" i="37"/>
  <c r="H124" i="37" l="1"/>
  <c r="H104" i="37"/>
  <c r="H117" i="37" s="1"/>
  <c r="H147" i="37" s="1"/>
  <c r="H66" i="37"/>
  <c r="H49" i="37"/>
  <c r="H67" i="37" l="1"/>
  <c r="H148" i="37" s="1"/>
  <c r="N154" i="37" l="1"/>
  <c r="N155" i="37"/>
  <c r="M155" i="37"/>
  <c r="S215" i="36"/>
  <c r="M153" i="37"/>
  <c r="R192" i="36"/>
  <c r="O192" i="36" s="1"/>
  <c r="N153" i="37"/>
  <c r="M154" i="37"/>
  <c r="I156" i="37"/>
  <c r="N93" i="37" l="1"/>
  <c r="L101" i="37"/>
  <c r="L99" i="37"/>
  <c r="M93" i="37"/>
  <c r="L93" i="37"/>
  <c r="K38" i="37"/>
  <c r="L38" i="37"/>
  <c r="M38" i="37"/>
  <c r="N38" i="37"/>
  <c r="I154" i="37"/>
  <c r="I13" i="37"/>
  <c r="I12" i="37"/>
  <c r="O50" i="36"/>
  <c r="O48" i="36"/>
  <c r="O46" i="36"/>
  <c r="O44" i="36"/>
  <c r="O42" i="36"/>
  <c r="O41" i="36"/>
  <c r="O39" i="36"/>
  <c r="O37" i="36"/>
  <c r="O36" i="36"/>
  <c r="O35" i="36"/>
  <c r="O32" i="36"/>
  <c r="O34" i="36" s="1"/>
  <c r="O27" i="36"/>
  <c r="O22" i="36"/>
  <c r="O214" i="36" s="1"/>
  <c r="O19" i="36"/>
  <c r="O16" i="36"/>
  <c r="O14" i="36"/>
  <c r="O43" i="36" l="1"/>
  <c r="O23" i="36"/>
  <c r="O47" i="36"/>
  <c r="I38" i="37"/>
  <c r="O38" i="36"/>
  <c r="O18" i="36"/>
  <c r="L104" i="37"/>
  <c r="I104" i="37" s="1"/>
  <c r="N158" i="37" l="1"/>
  <c r="N157" i="37" s="1"/>
  <c r="M158" i="37"/>
  <c r="N156" i="37"/>
  <c r="N152" i="37" s="1"/>
  <c r="M156" i="37"/>
  <c r="N145" i="37"/>
  <c r="M145" i="37"/>
  <c r="L145" i="37"/>
  <c r="I145" i="37" s="1"/>
  <c r="I143" i="37"/>
  <c r="L142" i="37"/>
  <c r="K142" i="37"/>
  <c r="K146" i="37" s="1"/>
  <c r="J142" i="37"/>
  <c r="I142" i="37"/>
  <c r="N139" i="37"/>
  <c r="M139" i="37"/>
  <c r="J139" i="37"/>
  <c r="I139" i="37" s="1"/>
  <c r="I138" i="37"/>
  <c r="N137" i="37"/>
  <c r="M137" i="37"/>
  <c r="L137" i="37"/>
  <c r="I137" i="37" s="1"/>
  <c r="I136" i="37"/>
  <c r="L124" i="37"/>
  <c r="K124" i="37"/>
  <c r="N123" i="37"/>
  <c r="M123" i="37"/>
  <c r="J123" i="37"/>
  <c r="I121" i="37"/>
  <c r="I123" i="37" s="1"/>
  <c r="N120" i="37"/>
  <c r="M120" i="37"/>
  <c r="J119" i="37"/>
  <c r="J120" i="37" s="1"/>
  <c r="L116" i="37"/>
  <c r="I115" i="37"/>
  <c r="L114" i="37"/>
  <c r="K114" i="37"/>
  <c r="J114" i="37"/>
  <c r="M110" i="37"/>
  <c r="L110" i="37"/>
  <c r="I108" i="37"/>
  <c r="I110" i="37" s="1"/>
  <c r="J107" i="37"/>
  <c r="I105" i="37"/>
  <c r="I107" i="37" s="1"/>
  <c r="N103" i="37"/>
  <c r="N104" i="37" s="1"/>
  <c r="N117" i="37" s="1"/>
  <c r="M103" i="37"/>
  <c r="M104" i="37" s="1"/>
  <c r="I100" i="37"/>
  <c r="I101" i="37" s="1"/>
  <c r="I95" i="37"/>
  <c r="I99" i="37" s="1"/>
  <c r="I88" i="37"/>
  <c r="I79" i="37"/>
  <c r="I76" i="37"/>
  <c r="K74" i="37"/>
  <c r="J74" i="37"/>
  <c r="I72" i="37"/>
  <c r="I158" i="37" s="1"/>
  <c r="L71" i="37"/>
  <c r="L74" i="37" s="1"/>
  <c r="M65" i="37"/>
  <c r="P64" i="37"/>
  <c r="I64" i="37"/>
  <c r="I65" i="37" s="1"/>
  <c r="N63" i="37"/>
  <c r="M63" i="37"/>
  <c r="J63" i="37"/>
  <c r="I62" i="37"/>
  <c r="I63" i="37" s="1"/>
  <c r="N61" i="37"/>
  <c r="M61" i="37"/>
  <c r="K61" i="37"/>
  <c r="J61" i="37"/>
  <c r="I60" i="37"/>
  <c r="I61" i="37" s="1"/>
  <c r="N59" i="37"/>
  <c r="M59" i="37"/>
  <c r="L59" i="37"/>
  <c r="L66" i="37" s="1"/>
  <c r="K59" i="37"/>
  <c r="J59" i="37"/>
  <c r="I57" i="37"/>
  <c r="I59" i="37" s="1"/>
  <c r="N56" i="37"/>
  <c r="M56" i="37"/>
  <c r="J56" i="37"/>
  <c r="I55" i="37"/>
  <c r="I56" i="37" s="1"/>
  <c r="N54" i="37"/>
  <c r="M54" i="37"/>
  <c r="K54" i="37"/>
  <c r="J54" i="37"/>
  <c r="I53" i="37"/>
  <c r="I54" i="37" s="1"/>
  <c r="N52" i="37"/>
  <c r="M52" i="37"/>
  <c r="J52" i="37"/>
  <c r="I51" i="37"/>
  <c r="I52" i="37" s="1"/>
  <c r="N48" i="37"/>
  <c r="M48" i="37"/>
  <c r="J48" i="37"/>
  <c r="I47" i="37"/>
  <c r="I48" i="37" s="1"/>
  <c r="N46" i="37"/>
  <c r="M46" i="37"/>
  <c r="J46" i="37"/>
  <c r="I45" i="37"/>
  <c r="N44" i="37"/>
  <c r="M44" i="37"/>
  <c r="K44" i="37"/>
  <c r="J44" i="37"/>
  <c r="I43" i="37"/>
  <c r="I44" i="37" s="1"/>
  <c r="N42" i="37"/>
  <c r="M42" i="37"/>
  <c r="K42" i="37"/>
  <c r="J42" i="37"/>
  <c r="I41" i="37"/>
  <c r="I42" i="37" s="1"/>
  <c r="N40" i="37"/>
  <c r="M40" i="37"/>
  <c r="K40" i="37"/>
  <c r="J40" i="37"/>
  <c r="I39" i="37"/>
  <c r="I153" i="37" l="1"/>
  <c r="K117" i="37"/>
  <c r="M117" i="37"/>
  <c r="I40" i="37"/>
  <c r="I155" i="37"/>
  <c r="I46" i="37"/>
  <c r="I116" i="37"/>
  <c r="L117" i="37"/>
  <c r="J117" i="37"/>
  <c r="I93" i="37"/>
  <c r="N160" i="37"/>
  <c r="I71" i="37"/>
  <c r="K66" i="37"/>
  <c r="L49" i="37"/>
  <c r="L67" i="37" s="1"/>
  <c r="N66" i="37"/>
  <c r="J65" i="37"/>
  <c r="J66" i="37" s="1"/>
  <c r="I66" i="37" s="1"/>
  <c r="M124" i="37"/>
  <c r="I146" i="37"/>
  <c r="M49" i="37"/>
  <c r="J49" i="37"/>
  <c r="M66" i="37"/>
  <c r="I74" i="37"/>
  <c r="N124" i="37"/>
  <c r="J146" i="37"/>
  <c r="M152" i="37"/>
  <c r="N49" i="37"/>
  <c r="J124" i="37"/>
  <c r="M146" i="37"/>
  <c r="K147" i="37"/>
  <c r="N146" i="37"/>
  <c r="M157" i="37"/>
  <c r="K49" i="37"/>
  <c r="I119" i="37"/>
  <c r="L146" i="37"/>
  <c r="I120" i="37"/>
  <c r="I124" i="37" s="1"/>
  <c r="I157" i="37"/>
  <c r="I114" i="37"/>
  <c r="N200" i="36"/>
  <c r="L200" i="36"/>
  <c r="L171" i="36"/>
  <c r="N157" i="36"/>
  <c r="N161" i="36" s="1"/>
  <c r="L203" i="36"/>
  <c r="I152" i="37" l="1"/>
  <c r="J147" i="37"/>
  <c r="K67" i="37"/>
  <c r="K148" i="37" s="1"/>
  <c r="I117" i="37"/>
  <c r="I160" i="37"/>
  <c r="M147" i="37"/>
  <c r="M67" i="37"/>
  <c r="N147" i="37"/>
  <c r="J67" i="37"/>
  <c r="I67" i="37" s="1"/>
  <c r="M160" i="37"/>
  <c r="I49" i="37"/>
  <c r="N67" i="37"/>
  <c r="L147" i="37"/>
  <c r="L148" i="37" s="1"/>
  <c r="M148" i="37" l="1"/>
  <c r="N148" i="37"/>
  <c r="J148" i="37"/>
  <c r="I148" i="37" s="1"/>
  <c r="I147" i="37"/>
  <c r="P174" i="36"/>
  <c r="V78" i="36" l="1"/>
  <c r="S221" i="36" l="1"/>
  <c r="S192" i="36"/>
  <c r="S43" i="36"/>
  <c r="S38" i="36"/>
  <c r="S34" i="36"/>
  <c r="S23" i="36"/>
  <c r="S212" i="36"/>
  <c r="T192" i="36"/>
  <c r="O86" i="36" l="1"/>
  <c r="O219" i="36" s="1"/>
  <c r="K86" i="36"/>
  <c r="R85" i="36"/>
  <c r="K85" i="36"/>
  <c r="O85" i="36" l="1"/>
  <c r="R88" i="36"/>
  <c r="R110" i="36" s="1"/>
  <c r="P178" i="36"/>
  <c r="T131" i="36"/>
  <c r="S131" i="36"/>
  <c r="O176" i="36" l="1"/>
  <c r="O178" i="36" s="1"/>
  <c r="Q179" i="36" l="1"/>
  <c r="R179" i="36"/>
  <c r="K176" i="36"/>
  <c r="O156" i="36" l="1"/>
  <c r="O221" i="36" s="1"/>
  <c r="R194" i="36" l="1"/>
  <c r="R164" i="36"/>
  <c r="O187" i="36" l="1"/>
  <c r="T51" i="36" l="1"/>
  <c r="S51" i="36"/>
  <c r="P51" i="36"/>
  <c r="O51" i="36"/>
  <c r="T43" i="36"/>
  <c r="Q43" i="36"/>
  <c r="P43" i="36"/>
  <c r="T38" i="36"/>
  <c r="Q38" i="36"/>
  <c r="P38" i="36"/>
  <c r="T34" i="36"/>
  <c r="R34" i="36"/>
  <c r="T29" i="36"/>
  <c r="R26" i="36"/>
  <c r="Q26" i="36"/>
  <c r="Q29" i="36" s="1"/>
  <c r="T23" i="36"/>
  <c r="R23" i="36"/>
  <c r="Q23" i="36"/>
  <c r="P23" i="36"/>
  <c r="R29" i="36" l="1"/>
  <c r="O26" i="36"/>
  <c r="K171" i="36"/>
  <c r="K170" i="36"/>
  <c r="K169" i="36"/>
  <c r="K168" i="36"/>
  <c r="K167" i="36"/>
  <c r="O29" i="36" l="1"/>
  <c r="O164" i="36"/>
  <c r="O163" i="36"/>
  <c r="S153" i="36"/>
  <c r="R153" i="36" l="1"/>
  <c r="P150" i="36"/>
  <c r="O148" i="36"/>
  <c r="O150" i="36" s="1"/>
  <c r="K199" i="36" l="1"/>
  <c r="K200" i="36" s="1"/>
  <c r="L153" i="36"/>
  <c r="P200" i="36"/>
  <c r="Q200" i="36"/>
  <c r="R200" i="36"/>
  <c r="S200" i="36"/>
  <c r="T200" i="36"/>
  <c r="K152" i="36"/>
  <c r="K153" i="36" s="1"/>
  <c r="O200" i="36" l="1"/>
  <c r="K202" i="36" l="1"/>
  <c r="K45" i="36"/>
  <c r="K30" i="36"/>
  <c r="K27" i="36"/>
  <c r="M26" i="36"/>
  <c r="L26" i="36"/>
  <c r="K26" i="36" s="1"/>
  <c r="K24" i="36"/>
  <c r="K40" i="36" l="1"/>
  <c r="K31" i="36"/>
  <c r="K25" i="36"/>
  <c r="K20" i="36"/>
  <c r="K15" i="36"/>
  <c r="K46" i="36"/>
  <c r="K44" i="36"/>
  <c r="K42" i="36"/>
  <c r="K39" i="36"/>
  <c r="K37" i="36"/>
  <c r="K35" i="36"/>
  <c r="K33" i="36"/>
  <c r="K22" i="36"/>
  <c r="K21" i="36"/>
  <c r="M16" i="36" l="1"/>
  <c r="K16" i="36"/>
  <c r="K18" i="36" s="1"/>
  <c r="P18" i="36"/>
  <c r="O174" i="36" l="1"/>
  <c r="O76" i="36"/>
  <c r="O74" i="36"/>
  <c r="O71" i="36"/>
  <c r="O69" i="36"/>
  <c r="O67" i="36"/>
  <c r="O65" i="36"/>
  <c r="O61" i="36"/>
  <c r="O59" i="36"/>
  <c r="O57" i="36"/>
  <c r="O55" i="36"/>
  <c r="O53" i="36"/>
  <c r="Q49" i="36"/>
  <c r="O49" i="36"/>
  <c r="O52" i="36" s="1"/>
  <c r="P49" i="36"/>
  <c r="P52" i="36" s="1"/>
  <c r="P47" i="36"/>
  <c r="Q47" i="36"/>
  <c r="R18" i="36"/>
  <c r="T219" i="36"/>
  <c r="S219" i="36"/>
  <c r="Q52" i="36" l="1"/>
  <c r="R63" i="36"/>
  <c r="R52" i="36"/>
  <c r="S222" i="36"/>
  <c r="S214" i="36"/>
  <c r="S217" i="36"/>
  <c r="S216" i="36"/>
  <c r="R138" i="36"/>
  <c r="L160" i="36" l="1"/>
  <c r="L157" i="36"/>
  <c r="M157" i="36"/>
  <c r="P157" i="36"/>
  <c r="P161" i="36" s="1"/>
  <c r="Q157" i="36"/>
  <c r="R157" i="36"/>
  <c r="S157" i="36"/>
  <c r="R161" i="36" l="1"/>
  <c r="S161" i="36"/>
  <c r="Q161" i="36"/>
  <c r="L161" i="36"/>
  <c r="M161" i="36"/>
  <c r="T70" i="36" l="1"/>
  <c r="S70" i="36"/>
  <c r="P70" i="36"/>
  <c r="O70" i="36"/>
  <c r="K213" i="36" l="1"/>
  <c r="R140" i="36"/>
  <c r="R147" i="36" s="1"/>
  <c r="O147" i="36" l="1"/>
  <c r="O75" i="36"/>
  <c r="P75" i="36"/>
  <c r="L73" i="36"/>
  <c r="M73" i="36"/>
  <c r="N73" i="36"/>
  <c r="N80" i="36" s="1"/>
  <c r="P73" i="36"/>
  <c r="Q73" i="36"/>
  <c r="R73" i="36"/>
  <c r="R80" i="36" s="1"/>
  <c r="S73" i="36"/>
  <c r="T73" i="36"/>
  <c r="O73" i="36"/>
  <c r="K71" i="36"/>
  <c r="K73" i="36" s="1"/>
  <c r="Q68" i="36"/>
  <c r="T178" i="36"/>
  <c r="S178" i="36"/>
  <c r="N178" i="36"/>
  <c r="N179" i="36" s="1"/>
  <c r="M178" i="36"/>
  <c r="M179" i="36" s="1"/>
  <c r="L178" i="36"/>
  <c r="T62" i="36"/>
  <c r="S62" i="36"/>
  <c r="P62" i="36"/>
  <c r="N62" i="36"/>
  <c r="M62" i="36"/>
  <c r="L62" i="36"/>
  <c r="O62" i="36"/>
  <c r="T60" i="36"/>
  <c r="S60" i="36"/>
  <c r="P60" i="36"/>
  <c r="O60" i="36"/>
  <c r="N60" i="36"/>
  <c r="M60" i="36"/>
  <c r="L60" i="36"/>
  <c r="K62" i="36" l="1"/>
  <c r="K178" i="36"/>
  <c r="K60" i="36"/>
  <c r="K49" i="36" l="1"/>
  <c r="L49" i="36"/>
  <c r="M49" i="36"/>
  <c r="T49" i="36"/>
  <c r="S211" i="36"/>
  <c r="L43" i="36"/>
  <c r="M43" i="36"/>
  <c r="L47" i="36"/>
  <c r="M47" i="36"/>
  <c r="L38" i="36"/>
  <c r="M38" i="36"/>
  <c r="L34" i="36"/>
  <c r="M34" i="36"/>
  <c r="N34" i="36"/>
  <c r="N29" i="36"/>
  <c r="L23" i="36"/>
  <c r="M23" i="36"/>
  <c r="N23" i="36"/>
  <c r="L18" i="36"/>
  <c r="N18" i="36"/>
  <c r="T18" i="36"/>
  <c r="M29" i="36"/>
  <c r="N52" i="36" l="1"/>
  <c r="L52" i="36"/>
  <c r="S49" i="36"/>
  <c r="L29" i="36"/>
  <c r="R81" i="36" l="1"/>
  <c r="L192" i="36"/>
  <c r="K192" i="36" s="1"/>
  <c r="N140" i="36" l="1"/>
  <c r="S128" i="36" l="1"/>
  <c r="T128" i="36"/>
  <c r="T124" i="36"/>
  <c r="S124" i="36"/>
  <c r="T120" i="36"/>
  <c r="S120" i="36"/>
  <c r="T117" i="36"/>
  <c r="S117" i="36"/>
  <c r="T114" i="36"/>
  <c r="S114" i="36"/>
  <c r="R128" i="36"/>
  <c r="O125" i="36"/>
  <c r="R124" i="36"/>
  <c r="O124" i="36" s="1"/>
  <c r="O121" i="36"/>
  <c r="R120" i="36"/>
  <c r="O120" i="36" s="1"/>
  <c r="O118" i="36"/>
  <c r="R117" i="36"/>
  <c r="O117" i="36" s="1"/>
  <c r="O115" i="36"/>
  <c r="R114" i="36"/>
  <c r="O112" i="36"/>
  <c r="T142" i="36"/>
  <c r="T147" i="36" s="1"/>
  <c r="S142" i="36"/>
  <c r="S147" i="36" s="1"/>
  <c r="O134" i="36"/>
  <c r="O138" i="36" s="1"/>
  <c r="R132" i="36" l="1"/>
  <c r="R172" i="36" s="1"/>
  <c r="T132" i="36"/>
  <c r="T172" i="36" s="1"/>
  <c r="S132" i="36"/>
  <c r="S172" i="36" s="1"/>
  <c r="O114" i="36"/>
  <c r="O128" i="36"/>
  <c r="O191" i="36"/>
  <c r="K191" i="36"/>
  <c r="O132" i="36" l="1"/>
  <c r="O189" i="36"/>
  <c r="O190" i="36"/>
  <c r="K190" i="36"/>
  <c r="O182" i="36"/>
  <c r="O183" i="36"/>
  <c r="O184" i="36"/>
  <c r="O185" i="36"/>
  <c r="O186" i="36"/>
  <c r="O193" i="36"/>
  <c r="O195" i="36"/>
  <c r="O194" i="36" l="1"/>
  <c r="O157" i="36" l="1"/>
  <c r="O161" i="36" s="1"/>
  <c r="N203" i="36"/>
  <c r="K203" i="36" s="1"/>
  <c r="M203" i="36"/>
  <c r="L196" i="36"/>
  <c r="K195" i="36"/>
  <c r="L194" i="36"/>
  <c r="K193" i="36"/>
  <c r="K187" i="36"/>
  <c r="K186" i="36"/>
  <c r="K185" i="36"/>
  <c r="K184" i="36"/>
  <c r="K183" i="36"/>
  <c r="K182" i="36"/>
  <c r="L175" i="36"/>
  <c r="L179" i="36" s="1"/>
  <c r="K174" i="36"/>
  <c r="K155" i="36"/>
  <c r="K157" i="36" s="1"/>
  <c r="K159" i="36"/>
  <c r="K158" i="36"/>
  <c r="K139" i="36"/>
  <c r="K140" i="36" s="1"/>
  <c r="N146" i="36"/>
  <c r="K145" i="36"/>
  <c r="K222" i="36" s="1"/>
  <c r="K143" i="36"/>
  <c r="N138" i="36"/>
  <c r="K137" i="36"/>
  <c r="K136" i="36"/>
  <c r="K135" i="36"/>
  <c r="N109" i="36"/>
  <c r="K109" i="36" s="1"/>
  <c r="K107" i="36"/>
  <c r="N106" i="36"/>
  <c r="K106" i="36" s="1"/>
  <c r="K105" i="36"/>
  <c r="K104" i="36"/>
  <c r="K103" i="36"/>
  <c r="N102" i="36"/>
  <c r="K102" i="36" s="1"/>
  <c r="K101" i="36"/>
  <c r="K100" i="36"/>
  <c r="N98" i="36"/>
  <c r="K98" i="36" s="1"/>
  <c r="K97" i="36"/>
  <c r="K96" i="36"/>
  <c r="N95" i="36"/>
  <c r="K94" i="36"/>
  <c r="N93" i="36"/>
  <c r="M93" i="36"/>
  <c r="L93" i="36"/>
  <c r="K92" i="36"/>
  <c r="K90" i="36"/>
  <c r="N88" i="36"/>
  <c r="M88" i="36"/>
  <c r="L88" i="36"/>
  <c r="M80" i="36"/>
  <c r="L79" i="36"/>
  <c r="K79" i="36" s="1"/>
  <c r="K78" i="36"/>
  <c r="L77" i="36"/>
  <c r="K77" i="36" s="1"/>
  <c r="K76" i="36"/>
  <c r="L75" i="36"/>
  <c r="K74" i="36"/>
  <c r="K75" i="36" s="1"/>
  <c r="L70" i="36"/>
  <c r="K69" i="36"/>
  <c r="L68" i="36"/>
  <c r="K67" i="36"/>
  <c r="K68" i="36" s="1"/>
  <c r="L66" i="36"/>
  <c r="K66" i="36" s="1"/>
  <c r="K65" i="36"/>
  <c r="N58" i="36"/>
  <c r="M58" i="36"/>
  <c r="L58" i="36"/>
  <c r="K57" i="36"/>
  <c r="N56" i="36"/>
  <c r="M56" i="36"/>
  <c r="L56" i="36"/>
  <c r="K55" i="36"/>
  <c r="N54" i="36"/>
  <c r="M54" i="36"/>
  <c r="L54" i="36"/>
  <c r="K53" i="36"/>
  <c r="K29" i="36"/>
  <c r="M18" i="36"/>
  <c r="M52" i="36" s="1"/>
  <c r="K212" i="36" l="1"/>
  <c r="K217" i="36"/>
  <c r="N147" i="36"/>
  <c r="N110" i="36"/>
  <c r="L204" i="36"/>
  <c r="L63" i="36"/>
  <c r="M63" i="36"/>
  <c r="M81" i="36" s="1"/>
  <c r="K216" i="36"/>
  <c r="K175" i="36"/>
  <c r="K179" i="36" s="1"/>
  <c r="M204" i="36"/>
  <c r="N204" i="36"/>
  <c r="K219" i="36"/>
  <c r="K196" i="36"/>
  <c r="K220" i="36"/>
  <c r="K160" i="36"/>
  <c r="K161" i="36" s="1"/>
  <c r="L80" i="36"/>
  <c r="N63" i="36"/>
  <c r="N81" i="36" s="1"/>
  <c r="K70" i="36"/>
  <c r="K80" i="36" s="1"/>
  <c r="T47" i="36"/>
  <c r="T52" i="36" s="1"/>
  <c r="S47" i="36"/>
  <c r="S52" i="36" s="1"/>
  <c r="K47" i="36"/>
  <c r="K38" i="36"/>
  <c r="K23" i="36"/>
  <c r="K34" i="36"/>
  <c r="K43" i="36"/>
  <c r="K146" i="36"/>
  <c r="K56" i="36"/>
  <c r="K95" i="36"/>
  <c r="K194" i="36"/>
  <c r="K88" i="36"/>
  <c r="K93" i="36"/>
  <c r="K138" i="36"/>
  <c r="L110" i="36"/>
  <c r="L172" i="36" s="1"/>
  <c r="K54" i="36"/>
  <c r="M110" i="36"/>
  <c r="M172" i="36" s="1"/>
  <c r="K58" i="36"/>
  <c r="J124" i="32"/>
  <c r="K124" i="32"/>
  <c r="L124" i="32"/>
  <c r="M124" i="32"/>
  <c r="N124" i="32"/>
  <c r="I124" i="32"/>
  <c r="J119" i="32"/>
  <c r="L119" i="32"/>
  <c r="M119" i="32"/>
  <c r="N119" i="32"/>
  <c r="I119" i="32"/>
  <c r="N118" i="32"/>
  <c r="M118" i="32"/>
  <c r="I118" i="32"/>
  <c r="J115" i="32"/>
  <c r="M115" i="32"/>
  <c r="N115" i="32"/>
  <c r="I115" i="32"/>
  <c r="K52" i="36" l="1"/>
  <c r="K204" i="36"/>
  <c r="K63" i="36"/>
  <c r="K81" i="36" s="1"/>
  <c r="K147" i="36"/>
  <c r="N172" i="36"/>
  <c r="N205" i="36" s="1"/>
  <c r="N206" i="36" s="1"/>
  <c r="T212" i="36"/>
  <c r="L205" i="36"/>
  <c r="K110" i="36"/>
  <c r="M205" i="36"/>
  <c r="M206" i="36" s="1"/>
  <c r="L81" i="36"/>
  <c r="N149" i="32"/>
  <c r="M149" i="32"/>
  <c r="K172" i="36" l="1"/>
  <c r="K205" i="36"/>
  <c r="L206" i="36"/>
  <c r="K206" i="36" s="1"/>
  <c r="M167" i="32"/>
  <c r="N167" i="32"/>
  <c r="N123" i="32"/>
  <c r="J140" i="32" l="1"/>
  <c r="J13" i="32"/>
  <c r="I133" i="32"/>
  <c r="L70" i="32" l="1"/>
  <c r="N101" i="32" l="1"/>
  <c r="N99" i="32"/>
  <c r="M99" i="32"/>
  <c r="M102" i="32" s="1"/>
  <c r="L99" i="32"/>
  <c r="I99" i="32" s="1"/>
  <c r="I97" i="32"/>
  <c r="L96" i="32"/>
  <c r="I95" i="32"/>
  <c r="I93" i="32"/>
  <c r="L92" i="32"/>
  <c r="K92" i="32"/>
  <c r="K96" i="32" s="1"/>
  <c r="K102" i="32" s="1"/>
  <c r="J92" i="32"/>
  <c r="J96" i="32" s="1"/>
  <c r="J102" i="32" s="1"/>
  <c r="I91" i="32"/>
  <c r="I90" i="32"/>
  <c r="I89" i="32"/>
  <c r="I96" i="32" l="1"/>
  <c r="N102" i="32"/>
  <c r="I92" i="32"/>
  <c r="L102" i="32"/>
  <c r="M87" i="32"/>
  <c r="N87" i="32"/>
  <c r="I102" i="32" l="1"/>
  <c r="L86" i="32"/>
  <c r="I86" i="32" s="1"/>
  <c r="I84" i="32"/>
  <c r="L83" i="32"/>
  <c r="I83" i="32" s="1"/>
  <c r="I82" i="32"/>
  <c r="I81" i="32"/>
  <c r="I80" i="32"/>
  <c r="L79" i="32"/>
  <c r="I79" i="32" s="1"/>
  <c r="I78" i="32"/>
  <c r="I77" i="32"/>
  <c r="L75" i="32"/>
  <c r="I75" i="32" s="1"/>
  <c r="I74" i="32"/>
  <c r="I73" i="32"/>
  <c r="L72" i="32"/>
  <c r="I71" i="32"/>
  <c r="K70" i="32"/>
  <c r="J70" i="32"/>
  <c r="I69" i="32"/>
  <c r="I68" i="32"/>
  <c r="L67" i="32"/>
  <c r="K67" i="32"/>
  <c r="J67" i="32"/>
  <c r="I66" i="32"/>
  <c r="I64" i="32"/>
  <c r="I70" i="32" l="1"/>
  <c r="I67" i="32"/>
  <c r="K87" i="32"/>
  <c r="L87" i="32"/>
  <c r="J87" i="32"/>
  <c r="I72" i="32"/>
  <c r="I87" i="32" l="1"/>
  <c r="N161" i="32"/>
  <c r="N160" i="32"/>
  <c r="N159" i="32"/>
  <c r="M165" i="32"/>
  <c r="M163" i="32"/>
  <c r="M162" i="32"/>
  <c r="M161" i="32"/>
  <c r="M160" i="32"/>
  <c r="M159" i="32"/>
  <c r="N140" i="32"/>
  <c r="M140" i="32"/>
  <c r="I132" i="32"/>
  <c r="M121" i="32"/>
  <c r="J111" i="32"/>
  <c r="I107" i="32"/>
  <c r="I111" i="32" s="1"/>
  <c r="I14" i="32"/>
  <c r="I160" i="32" s="1"/>
  <c r="J33" i="32"/>
  <c r="K33" i="32"/>
  <c r="L33" i="32"/>
  <c r="M33" i="32"/>
  <c r="N33" i="32"/>
  <c r="I13" i="32"/>
  <c r="I12" i="32"/>
  <c r="M158" i="32" l="1"/>
  <c r="I33" i="32"/>
  <c r="T220" i="36" l="1"/>
  <c r="S220" i="36"/>
  <c r="S218" i="36" s="1"/>
  <c r="T217" i="36"/>
  <c r="T216" i="36"/>
  <c r="T214" i="36"/>
  <c r="K214" i="36"/>
  <c r="T203" i="36"/>
  <c r="S203" i="36"/>
  <c r="R203" i="36"/>
  <c r="R204" i="36" s="1"/>
  <c r="O201" i="36"/>
  <c r="T196" i="36"/>
  <c r="S196" i="36"/>
  <c r="P196" i="36"/>
  <c r="P204" i="36" s="1"/>
  <c r="O204" i="36" s="1"/>
  <c r="T194" i="36"/>
  <c r="S194" i="36"/>
  <c r="T175" i="36"/>
  <c r="T179" i="36" s="1"/>
  <c r="S175" i="36"/>
  <c r="S179" i="36" s="1"/>
  <c r="P175" i="36"/>
  <c r="P179" i="36" s="1"/>
  <c r="O151" i="36"/>
  <c r="O140" i="36"/>
  <c r="Q88" i="36"/>
  <c r="P88" i="36"/>
  <c r="O88" i="36" s="1"/>
  <c r="S79" i="36"/>
  <c r="P79" i="36"/>
  <c r="O79" i="36"/>
  <c r="T77" i="36"/>
  <c r="S77" i="36"/>
  <c r="P77" i="36"/>
  <c r="O77" i="36"/>
  <c r="T75" i="36"/>
  <c r="S75" i="36"/>
  <c r="Q75" i="36"/>
  <c r="Q80" i="36" s="1"/>
  <c r="T68" i="36"/>
  <c r="S68" i="36"/>
  <c r="P68" i="36"/>
  <c r="O68" i="36"/>
  <c r="T66" i="36"/>
  <c r="S66" i="36"/>
  <c r="P66" i="36"/>
  <c r="T58" i="36"/>
  <c r="S58" i="36"/>
  <c r="Q58" i="36"/>
  <c r="P58" i="36"/>
  <c r="O58" i="36"/>
  <c r="T56" i="36"/>
  <c r="S56" i="36"/>
  <c r="Q56" i="36"/>
  <c r="P56" i="36"/>
  <c r="O56" i="36"/>
  <c r="T54" i="36"/>
  <c r="S54" i="36"/>
  <c r="Q54" i="36"/>
  <c r="P54" i="36"/>
  <c r="O54" i="36"/>
  <c r="Q63" i="36" l="1"/>
  <c r="O212" i="36"/>
  <c r="S204" i="36"/>
  <c r="O63" i="36"/>
  <c r="P80" i="36"/>
  <c r="O80" i="36" s="1"/>
  <c r="P63" i="36"/>
  <c r="T204" i="36"/>
  <c r="S63" i="36"/>
  <c r="S80" i="36"/>
  <c r="S205" i="36"/>
  <c r="Q81" i="36"/>
  <c r="P110" i="36"/>
  <c r="O175" i="36"/>
  <c r="O179" i="36" s="1"/>
  <c r="O196" i="36"/>
  <c r="O153" i="36"/>
  <c r="O218" i="36"/>
  <c r="O66" i="36"/>
  <c r="O203" i="36"/>
  <c r="O215" i="36" s="1"/>
  <c r="T218" i="36"/>
  <c r="Q110" i="36"/>
  <c r="Q172" i="36" s="1"/>
  <c r="K218" i="36"/>
  <c r="T80" i="36"/>
  <c r="K215" i="36"/>
  <c r="O211" i="36" l="1"/>
  <c r="O110" i="36"/>
  <c r="O172" i="36" s="1"/>
  <c r="O205" i="36" s="1"/>
  <c r="P172" i="36"/>
  <c r="P205" i="36" s="1"/>
  <c r="P81" i="36"/>
  <c r="O81" i="36" s="1"/>
  <c r="R205" i="36"/>
  <c r="S81" i="36"/>
  <c r="S223" i="36"/>
  <c r="Q205" i="36"/>
  <c r="Q206" i="36" s="1"/>
  <c r="K211" i="36"/>
  <c r="K223" i="36" s="1"/>
  <c r="T215" i="36"/>
  <c r="T211" i="36" s="1"/>
  <c r="T223" i="36" s="1"/>
  <c r="T205" i="36"/>
  <c r="O206" i="36" l="1"/>
  <c r="P206" i="36"/>
  <c r="T63" i="36"/>
  <c r="T81" i="36" s="1"/>
  <c r="T206" i="36" s="1"/>
  <c r="R206" i="36"/>
  <c r="O223" i="36"/>
  <c r="P226" i="36" s="1"/>
  <c r="L118" i="32" l="1"/>
  <c r="I147" i="32" l="1"/>
  <c r="I53" i="32"/>
  <c r="L52" i="32"/>
  <c r="I52" i="32" s="1"/>
  <c r="I51" i="32"/>
  <c r="I46" i="32"/>
  <c r="I38" i="32"/>
  <c r="I36" i="32"/>
  <c r="I34" i="32"/>
  <c r="I161" i="32" l="1"/>
  <c r="I167" i="32"/>
  <c r="I113" i="32" l="1"/>
  <c r="J58" i="32"/>
  <c r="I58" i="32" s="1"/>
  <c r="I57" i="32"/>
  <c r="J56" i="32"/>
  <c r="I56" i="32" s="1"/>
  <c r="I55" i="32"/>
  <c r="J54" i="32"/>
  <c r="I54" i="32"/>
  <c r="J49" i="32"/>
  <c r="I49" i="32" s="1"/>
  <c r="I48" i="32"/>
  <c r="J47" i="32"/>
  <c r="I47" i="32"/>
  <c r="J45" i="32"/>
  <c r="I45" i="32" s="1"/>
  <c r="I44" i="32"/>
  <c r="I116" i="32" l="1"/>
  <c r="L146" i="32" l="1"/>
  <c r="J129" i="32" l="1"/>
  <c r="I129" i="32" s="1"/>
  <c r="I128" i="32"/>
  <c r="I104" i="32"/>
  <c r="I114" i="32" l="1"/>
  <c r="K130" i="32" l="1"/>
  <c r="L130" i="32"/>
  <c r="N163" i="32" l="1"/>
  <c r="N162" i="32"/>
  <c r="M166" i="32"/>
  <c r="M164" i="32" s="1"/>
  <c r="K59" i="32"/>
  <c r="L59" i="32"/>
  <c r="N56" i="32"/>
  <c r="M56" i="32"/>
  <c r="N152" i="32"/>
  <c r="M152" i="32"/>
  <c r="N146" i="32"/>
  <c r="M146" i="32"/>
  <c r="J146" i="32"/>
  <c r="I146" i="32" s="1"/>
  <c r="I145" i="32"/>
  <c r="N58" i="32"/>
  <c r="M58" i="32"/>
  <c r="M54" i="32"/>
  <c r="N54" i="32"/>
  <c r="N52" i="32"/>
  <c r="M52" i="32"/>
  <c r="N111" i="32"/>
  <c r="N105" i="32"/>
  <c r="M111" i="32"/>
  <c r="M105" i="32"/>
  <c r="J105" i="32"/>
  <c r="M49" i="32"/>
  <c r="M47" i="32"/>
  <c r="M45" i="32"/>
  <c r="N49" i="32"/>
  <c r="N47" i="32"/>
  <c r="N45" i="32"/>
  <c r="J35" i="32"/>
  <c r="K35" i="32"/>
  <c r="L35" i="32"/>
  <c r="M35" i="32"/>
  <c r="N35" i="32"/>
  <c r="J41" i="32"/>
  <c r="K41" i="32"/>
  <c r="L41" i="32"/>
  <c r="M41" i="32"/>
  <c r="N41" i="32"/>
  <c r="K149" i="32"/>
  <c r="L149" i="32"/>
  <c r="J149" i="32"/>
  <c r="K142" i="32"/>
  <c r="L142" i="32"/>
  <c r="J142" i="32"/>
  <c r="I141" i="32"/>
  <c r="K105" i="32"/>
  <c r="L105" i="32"/>
  <c r="K37" i="32"/>
  <c r="L37" i="32"/>
  <c r="J37" i="32"/>
  <c r="J127" i="32"/>
  <c r="J130" i="32" s="1"/>
  <c r="I126" i="32"/>
  <c r="J144" i="32"/>
  <c r="I144" i="32" s="1"/>
  <c r="I143" i="32"/>
  <c r="I140" i="32"/>
  <c r="N166" i="32"/>
  <c r="N165" i="32"/>
  <c r="N164" i="32" s="1"/>
  <c r="N144" i="32"/>
  <c r="M144" i="32"/>
  <c r="N142" i="32"/>
  <c r="M142" i="32"/>
  <c r="N127" i="32"/>
  <c r="M127" i="32"/>
  <c r="N129" i="32"/>
  <c r="M129" i="32"/>
  <c r="N37" i="32"/>
  <c r="M37" i="32"/>
  <c r="I163" i="32"/>
  <c r="J153" i="32" l="1"/>
  <c r="L42" i="32"/>
  <c r="L60" i="32" s="1"/>
  <c r="N42" i="32"/>
  <c r="M42" i="32"/>
  <c r="M153" i="32"/>
  <c r="L153" i="32"/>
  <c r="K42" i="32"/>
  <c r="K60" i="32" s="1"/>
  <c r="N153" i="32"/>
  <c r="J42" i="32"/>
  <c r="J59" i="32"/>
  <c r="K153" i="32"/>
  <c r="M130" i="32"/>
  <c r="N130" i="32"/>
  <c r="N59" i="32"/>
  <c r="I35" i="32"/>
  <c r="I105" i="32"/>
  <c r="I166" i="32"/>
  <c r="I165" i="32"/>
  <c r="I142" i="32"/>
  <c r="I149" i="32"/>
  <c r="I159" i="32" s="1"/>
  <c r="I127" i="32"/>
  <c r="I130" i="32" s="1"/>
  <c r="I37" i="32"/>
  <c r="I162" i="32"/>
  <c r="M59" i="32"/>
  <c r="I59" i="32"/>
  <c r="N158" i="32"/>
  <c r="I41" i="32"/>
  <c r="N154" i="32" l="1"/>
  <c r="I164" i="32"/>
  <c r="I153" i="32"/>
  <c r="I158" i="32"/>
  <c r="J60" i="32"/>
  <c r="M154" i="32"/>
  <c r="J154" i="32"/>
  <c r="N60" i="32"/>
  <c r="K154" i="32"/>
  <c r="K155" i="32" s="1"/>
  <c r="L154" i="32"/>
  <c r="M60" i="32"/>
  <c r="M168" i="32"/>
  <c r="N168" i="32"/>
  <c r="I42" i="32"/>
  <c r="I60" i="32" s="1"/>
  <c r="M155" i="32" l="1"/>
  <c r="N155" i="32"/>
  <c r="J155" i="32"/>
  <c r="I168" i="32"/>
  <c r="L155" i="32"/>
  <c r="I154" i="32"/>
  <c r="I155" i="32" l="1"/>
  <c r="S206" i="36"/>
</calcChain>
</file>

<file path=xl/comments1.xml><?xml version="1.0" encoding="utf-8"?>
<comments xmlns="http://schemas.openxmlformats.org/spreadsheetml/2006/main">
  <authors>
    <author>Snieguole Kacerauskaite</author>
  </authors>
  <commentList>
    <comment ref="F53" authorId="0">
      <text>
        <r>
          <rPr>
            <sz val="9"/>
            <color indexed="81"/>
            <rFont val="Tahoma"/>
            <family val="2"/>
            <charset val="186"/>
          </rPr>
          <t>"Vykdyti kompleksines talentingų mokinių ugdymo ir skatinimo priemones"</t>
        </r>
      </text>
    </comment>
    <comment ref="F71" author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F154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"Iškelti švietimo įstaigas iš uosto plėtros teritorijos"</t>
        </r>
      </text>
    </comment>
    <comment ref="F174" authorId="0">
      <text>
        <r>
          <rPr>
            <sz val="9"/>
            <color indexed="81"/>
            <rFont val="Tahoma"/>
            <family val="2"/>
            <charset val="186"/>
          </rPr>
          <t>"Didinti ugdymo vietų skaičių ikimokyklinio amžiaus vaikams šiaurinėje ir kt. miesto dalyse pagal poreikį"</t>
        </r>
      </text>
    </comment>
    <comment ref="F193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</commentList>
</comments>
</file>

<file path=xl/sharedStrings.xml><?xml version="1.0" encoding="utf-8"?>
<sst xmlns="http://schemas.openxmlformats.org/spreadsheetml/2006/main" count="1860" uniqueCount="345">
  <si>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</si>
  <si>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</si>
  <si>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</si>
  <si>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</si>
  <si>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</si>
  <si>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</si>
  <si>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</si>
  <si>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</si>
  <si>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tūkst. Lt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</si>
  <si>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</si>
  <si>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</si>
  <si>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</si>
  <si>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</si>
  <si>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</si>
  <si>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</si>
  <si>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</si>
  <si>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</si>
  <si>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</si>
  <si>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</si>
  <si>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</si>
  <si>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</si>
  <si>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</si>
  <si>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</si>
  <si>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</si>
  <si>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</si>
  <si>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</si>
  <si>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</si>
  <si>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</si>
  <si>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</si>
  <si>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</si>
  <si>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</si>
  <si>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</si>
  <si>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</si>
  <si>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</si>
  <si>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</si>
  <si>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</si>
  <si>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</si>
  <si>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</si>
  <si>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</si>
  <si>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</si>
  <si>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</si>
  <si>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</si>
  <si>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</si>
  <si>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</si>
  <si>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</si>
  <si>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</si>
  <si>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</si>
  <si>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</si>
  <si>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</si>
  <si>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</si>
  <si>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</si>
  <si>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</si>
  <si>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</si>
  <si>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</si>
  <si>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</si>
  <si>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</si>
  <si>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</si>
  <si>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</si>
  <si>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</si>
  <si>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</si>
  <si>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</si>
  <si>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</si>
  <si>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</si>
  <si>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</si>
  <si>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</si>
  <si>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Papriemonės kodas</t>
  </si>
  <si>
    <t>Įstaigų skaičius</t>
  </si>
  <si>
    <t>Mokyklų-darželių sk.</t>
  </si>
  <si>
    <t>Pradinių mokyklų sk.</t>
  </si>
  <si>
    <t>Klaipėdos „Varpo“ gimnazijos pastato šiluminė renovacija</t>
  </si>
  <si>
    <t>Klaipėdos Liudviko Stulpino  pagrindinės mokyklos pastato Klaipėdoje,  Bandužių g. 4, energetinių charakteristikų gerinimas (pastato šiluminė renovacija)</t>
  </si>
  <si>
    <t>Klaipėdos Vitės pagrindinės mokyklos Švyturio g. 2 pastato modernizavimas</t>
  </si>
  <si>
    <t>Klaipėdos Adomo Brako dailės mokyklos pastato kapitalinis remontas (šiluminė renovacija)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</si>
  <si>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</si>
  <si>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</si>
  <si>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</si>
  <si>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</si>
  <si>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</si>
  <si>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</si>
  <si>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</si>
  <si>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</si>
  <si>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>Klaipėdos „Smeltės“ progimnazijos pastato Klaipėdoje, Reikjaviko g. 17, modernizavimas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</si>
  <si>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</si>
  <si>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</si>
  <si>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</si>
  <si>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</si>
  <si>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</si>
  <si>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</si>
  <si>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</si>
  <si>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</si>
  <si>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</si>
  <si>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</si>
  <si>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</si>
  <si>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</si>
  <si>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</si>
  <si>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</si>
  <si>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</si>
  <si>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</si>
  <si>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</si>
  <si>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</si>
  <si>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</si>
  <si>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</si>
  <si>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</si>
  <si>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</si>
  <si>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</si>
  <si>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</si>
  <si>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</si>
  <si>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Veiklos organizavimo užtikrinimas švietimo įstaigose: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</si>
  <si>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</si>
  <si>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</si>
  <si>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</si>
  <si>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</si>
  <si>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</si>
  <si>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</si>
  <si>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</si>
  <si>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</si>
  <si>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</si>
  <si>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</si>
  <si>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</si>
  <si>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</si>
  <si>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</si>
  <si>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</si>
  <si>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</si>
  <si>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</si>
  <si>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</si>
  <si>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</si>
  <si>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</si>
  <si>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</si>
  <si>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</si>
  <si>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</si>
  <si>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</si>
  <si>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</si>
  <si>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</si>
  <si>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</si>
  <si>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</si>
  <si>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</si>
  <si>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</si>
  <si>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</si>
  <si>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</si>
  <si>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</si>
  <si>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</si>
  <si>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Savivaldybei priklausančių patalpų pastate, adresu Kretingos g. 44, modernizavimas</t>
  </si>
  <si>
    <t>Švietimo įstaigų sanitarinių patalpų remontas</t>
  </si>
  <si>
    <t>Įstaigų, kuriose suremontuota sanitarinių patalpų, sk.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</si>
  <si>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</si>
  <si>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</si>
  <si>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</si>
  <si>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</si>
  <si>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</si>
  <si>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</si>
  <si>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</si>
  <si>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</si>
  <si>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</si>
  <si>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</si>
  <si>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</si>
  <si>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</si>
  <si>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</si>
  <si>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</si>
  <si>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Vykdytojas (skyrius / asmuo)</t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</si>
  <si>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</si>
  <si>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</si>
  <si>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Projektų skyrius</t>
  </si>
  <si>
    <t>Įsiskolinimo padengimas, proc.</t>
  </si>
  <si>
    <t>Atlikta pastato šiluminė renovacija, proc.</t>
  </si>
  <si>
    <t>Švietimo skyrius</t>
  </si>
  <si>
    <t xml:space="preserve"> Švietimo skyrius</t>
  </si>
  <si>
    <t>Klaipėdos lopšelio-darželio „Atžalynas“ (Panevėžio g. 3) pastato modernizavimas</t>
  </si>
  <si>
    <t xml:space="preserve">Švietimo skyrius 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</si>
  <si>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</si>
  <si>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</si>
  <si>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</si>
  <si>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</si>
  <si>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</si>
  <si>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</si>
  <si>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</si>
  <si>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</si>
  <si>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Socialinės infrastruktūros priežiūros skyrius</t>
  </si>
  <si>
    <t>Techninio projekto įgyvendinimas, proc.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</si>
  <si>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</si>
  <si>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</si>
  <si>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</si>
  <si>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</si>
  <si>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Klaipėdos „Smeltės“ progimnazijos pastato Klaipėdoje, Reikjaviko g. 17, modernizavimas;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</si>
  <si>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</si>
  <si>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</si>
  <si>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</si>
  <si>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</si>
  <si>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</si>
  <si>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</si>
  <si>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</si>
  <si>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</si>
  <si>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</si>
  <si>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</si>
  <si>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</si>
  <si>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</si>
  <si>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</si>
  <si>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</si>
  <si>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</si>
  <si>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</si>
  <si>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</si>
  <si>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</si>
  <si>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</si>
  <si>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</si>
  <si>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</si>
  <si>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</si>
  <si>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</si>
  <si>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</si>
  <si>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</si>
  <si>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</si>
  <si>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</si>
  <si>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Klaipėdos Sendvario pagrindinės mokyklos pastato modernizavimas (atnaujinimas) Tilžės g. 39, Klaipėda</t>
  </si>
  <si>
    <t>Klaipėdos Liudviko Stulpino  pagrindinės mokyklos pastato Klaipėdoje, Bandužių g. 4, energetinių charakteristikų gerinimas (pastato šiluminė renovacija)</t>
  </si>
  <si>
    <t>Projekto „Buvusio Rumpiškės dvaro tvarkybos darbai bei pritaikymas visuomenės reikmėms“ įgyvendinimas (Klaipėdos Adomo Brako dailės mokyklos pastato kapitalinio remonto II etapas)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</si>
  <si>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</si>
  <si>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</si>
  <si>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</si>
  <si>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</si>
  <si>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</si>
  <si>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</si>
  <si>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Klaipėdos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</si>
  <si>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</si>
  <si>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>Įstaigų, kuriose įdiegtas e. mokinio pažymėjimas ir užtikrintas sistemos palaikymas, skaičius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</si>
  <si>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</si>
  <si>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</si>
  <si>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</si>
  <si>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</si>
  <si>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</si>
  <si>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</si>
  <si>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</si>
  <si>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</si>
  <si>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</si>
  <si>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</si>
  <si>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</si>
  <si>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</si>
  <si>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</si>
  <si>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 xml:space="preserve"> 2014–2017 M. KLAIPĖDOS MIESTO SAVIVALDYBĖS</t>
  </si>
  <si>
    <t>Asignavimai 2014-iesiems metams**</t>
  </si>
  <si>
    <t>2017-ųjų metų lėšų poreikis</t>
  </si>
  <si>
    <t>2017-ieji metai</t>
  </si>
  <si>
    <t>** pagal Klaipėdos miesto savivaldybės tarybos 2014 m. sausio 30 d. sprendimą Nr. T2-16</t>
  </si>
  <si>
    <t>SB(L)</t>
  </si>
  <si>
    <t>08</t>
  </si>
  <si>
    <t>Klaipėdos Vydūno vidurinės mokyklos ir Klaipėdos Salio Šemerio suaugusiųjų gimnazijos pastato Klaipėdoje, Sulupės g. 26, modernizavimas</t>
  </si>
  <si>
    <t>Jaunimo centro pastatų  Klaipėdoje, Puodžių g. 1 renovacija (stogo konstrukcijų pakeitimas)</t>
  </si>
  <si>
    <t>Statybos ir infrastruktūros plėtros skyrius</t>
  </si>
  <si>
    <t>Jaunimo centro pastatų (su sporto sale) Klaipėdoje, Puodžių g. 1 modernizavimas</t>
  </si>
  <si>
    <t>Ikimokyklinio ugdymo mokyklų pastatų modernizavimas:</t>
  </si>
  <si>
    <t>1
100</t>
  </si>
  <si>
    <t>Atlikti stogo pakeitimo darbai, užbaigtumas, proc.</t>
  </si>
  <si>
    <t>Parengtas techninis projektas, vnt.</t>
  </si>
  <si>
    <t>44</t>
  </si>
  <si>
    <t>45</t>
  </si>
  <si>
    <t>46</t>
  </si>
  <si>
    <t>7625</t>
  </si>
  <si>
    <t>7700</t>
  </si>
  <si>
    <t>7750</t>
  </si>
  <si>
    <t>4</t>
  </si>
  <si>
    <t>6</t>
  </si>
  <si>
    <t>8</t>
  </si>
  <si>
    <t xml:space="preserve">jose ugdoma vaikų </t>
  </si>
  <si>
    <t>jose ugdoma vaikų</t>
  </si>
  <si>
    <t xml:space="preserve">iš jų mokinių </t>
  </si>
  <si>
    <t>Mokyklų skaičius</t>
  </si>
  <si>
    <t xml:space="preserve">Mokinių skaičius </t>
  </si>
  <si>
    <r>
      <t xml:space="preserve">Ugdymo proceso  užtikrinimas </t>
    </r>
    <r>
      <rPr>
        <b/>
        <sz val="10"/>
        <rFont val="Times New Roman"/>
        <family val="1"/>
        <charset val="186"/>
      </rPr>
      <t>neformaliojo vaikų švietimo įstaigose</t>
    </r>
  </si>
  <si>
    <t xml:space="preserve">Mokinių skaičius  </t>
  </si>
  <si>
    <t>Įstaigų  skaičius</t>
  </si>
  <si>
    <t>Švietimo įstaigų darbuotojų išeitinių išmokų kompensavimas</t>
  </si>
  <si>
    <t>Finansuotų profesinės linkmės ugdymo modulių skaičius, vnt.</t>
  </si>
  <si>
    <t>Minimalios vaiko priežiūros priemonių vykdymo užtikrinimas</t>
  </si>
  <si>
    <t>Mokinių skaičius</t>
  </si>
  <si>
    <t>Vasaros poilsio organizavimas</t>
  </si>
  <si>
    <t>Vaikų skaičius, tūkst.</t>
  </si>
  <si>
    <t>Atestuotų vadovų skaičius</t>
  </si>
  <si>
    <t>Rugsėjo 1-osios šventės organizavimas (masinis renginys „Švyturio“ arenoje)</t>
  </si>
  <si>
    <t xml:space="preserve">Brandos egzaminų administravimas </t>
  </si>
  <si>
    <t>Ikimokyklinio ugdymo įstaigų teritorijų aptvėrimas (2015 m. lopšelis-darželis „Žemuogėle“)</t>
  </si>
  <si>
    <r>
      <t xml:space="preserve">Apyvartinių lėšų  likutis </t>
    </r>
    <r>
      <rPr>
        <b/>
        <sz val="10"/>
        <rFont val="Times New Roman"/>
        <family val="1"/>
      </rPr>
      <t xml:space="preserve">SB(L) </t>
    </r>
  </si>
  <si>
    <t xml:space="preserve">Neformaliojo vaikų ugdymo programų įgyvendinimas viešosiose įstaigose </t>
  </si>
  <si>
    <t>Įgyvendintų programų skaičius</t>
  </si>
  <si>
    <r>
      <rPr>
        <b/>
        <sz val="10"/>
        <rFont val="Times New Roman"/>
        <family val="1"/>
        <charset val="186"/>
      </rPr>
      <t>Priestato statyba prie Klaipėdos lopšelio-darželio „Puriena“</t>
    </r>
    <r>
      <rPr>
        <sz val="10"/>
        <rFont val="Times New Roman"/>
        <family val="1"/>
        <charset val="186"/>
      </rPr>
      <t xml:space="preserve"> („Aušrinės“ lopšelio-darželio iškėlimas) </t>
    </r>
  </si>
  <si>
    <t xml:space="preserve">Mokyklinių baldų atnaujinimas:  </t>
  </si>
  <si>
    <t>Vaikų skaičius, kuriems suteikta rebilitacinių paslaugų</t>
  </si>
  <si>
    <t>Švietimo įstaigų naudojamų pastatų optimizavimas</t>
  </si>
  <si>
    <t>Elektroninio mokinio pažymėjimo diegimas ir naudojimo užtikrinimas bendrojo ugdymo, neformaliojo švietimo ir sporto įstaigose</t>
  </si>
  <si>
    <t>Klaipėdos lopšelių-darželių pastatų langų pakeitimas:</t>
  </si>
  <si>
    <t>Pakeista langų, proc.</t>
  </si>
  <si>
    <t>Klaipėdos Jeronimo Kačinsko muzikos mokyklos pastatо langų pakeitimas</t>
  </si>
  <si>
    <t>Regos ugdymo centro</t>
  </si>
  <si>
    <t>Biudžetinių įstaigų patalpų būklės gerinimas (pasiruošimas naujiems mokslo metams)</t>
  </si>
  <si>
    <t>Vietų skaičiaus didinimas ikimokyklinio ugdymo įstaigose</t>
  </si>
  <si>
    <t>Vaikų skaičius</t>
  </si>
  <si>
    <t xml:space="preserve">Įrengta grupių 1–6 metų amžiaus vaikams, vnt.  </t>
  </si>
  <si>
    <r>
      <t xml:space="preserve">Ugdymo proceso  užtikrinimas </t>
    </r>
    <r>
      <rPr>
        <b/>
        <sz val="10"/>
        <rFont val="Times New Roman"/>
        <family val="1"/>
        <charset val="186"/>
      </rPr>
      <t>pradinėse mokyklose ir mokyklose-darželiuose</t>
    </r>
  </si>
  <si>
    <r>
      <t xml:space="preserve">Ugdymo proceso  užtikrinimas </t>
    </r>
    <r>
      <rPr>
        <b/>
        <sz val="10"/>
        <rFont val="Times New Roman"/>
        <family val="1"/>
        <charset val="186"/>
      </rPr>
      <t>savivaldybės ir nevalstybinėse bendrojo ugdymo mokyklose</t>
    </r>
    <r>
      <rPr>
        <sz val="10"/>
        <rFont val="Times New Roman"/>
        <family val="1"/>
        <charset val="186"/>
      </rPr>
      <t xml:space="preserve"> </t>
    </r>
  </si>
  <si>
    <t xml:space="preserve">Atliktas energetinis auditas, vnt.
</t>
  </si>
  <si>
    <t xml:space="preserve">KVJUD </t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</si>
  <si>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</si>
  <si>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t>Adomo Brako dailės mokykloje</t>
  </si>
  <si>
    <t>Vaikiškų lovyčių įsigijimas ikimokyklinėse įstaigose</t>
  </si>
  <si>
    <t>Atlikta pastato renovacija, %</t>
  </si>
  <si>
    <t>Parengtas tech. projektas, vnt.</t>
  </si>
  <si>
    <t xml:space="preserve">1
</t>
  </si>
  <si>
    <t>2015-ųjų m. asignavimų planas</t>
  </si>
  <si>
    <t>2015 m. asignavimų planas</t>
  </si>
  <si>
    <t>2016 m. lėšų projektas</t>
  </si>
  <si>
    <r>
      <t>Įrengimų įsigijimas ugdymo įstaigų maisto blokuose pagal tikrinančių institucijų reikalavimus</t>
    </r>
    <r>
      <rPr>
        <sz val="10"/>
        <rFont val="Times New Roman"/>
        <family val="1"/>
      </rPr>
      <t xml:space="preserve"> (2015 m. lopšeliuose-darželiuose „Berželis“, „Žuvėdra“, „Šermukšnėlė“, „Ąžuoliukas“, „Žiogelis“, „Atžalynas“, Regos ugdymo centre, „Inkarėlio“, „Pakalnutės“ mokyklose-darželiuose)</t>
    </r>
  </si>
  <si>
    <t>Eur</t>
  </si>
  <si>
    <t>Planas</t>
  </si>
  <si>
    <t xml:space="preserve">Ikimokyklinių savivaldybės įstaigų skaičius, </t>
  </si>
  <si>
    <t>Ikimokyklinių nevalstybinių įstaigų skaičius,</t>
  </si>
  <si>
    <t>Pradinių mokyklų ir mokyklų-darželių skaičius</t>
  </si>
  <si>
    <t>Ugdoma vaikų, skaičius,</t>
  </si>
  <si>
    <t>Sporto mokyklų, kuriose vyksta užsiėmimai, skaičius</t>
  </si>
  <si>
    <t>Organizuota egzaminų, skaičius</t>
  </si>
  <si>
    <t>Suorganizuota renginių, skaičius</t>
  </si>
  <si>
    <t>Įstaigų, kuriose atlikti remonto darbai, skaičius</t>
  </si>
  <si>
    <t>Eksploatuojama įstaigų, skaičius</t>
  </si>
  <si>
    <t>Įstaigų, kuriose likviduoti pažeidimai, skaičius</t>
  </si>
  <si>
    <t>Saugoma įstaigų, skaičius</t>
  </si>
  <si>
    <t>Įstaigų, kuriose suremontuota sanitarinių patalpų, skaičius</t>
  </si>
  <si>
    <t>Suremontuotos įstaigos,  skaičius</t>
  </si>
  <si>
    <t>Mokinių, kuriems kompensuojamos pavėžėjimo išlaidos, skaičius</t>
  </si>
  <si>
    <t>Įrengta grupių, skaičius</t>
  </si>
  <si>
    <t>Renovuota / suremontuota sistemų, skaičius</t>
  </si>
  <si>
    <t>Nuotolinio mokymo diegimas ir plėtojimas (2015 m. – Baltijos gimnazija, „Vyturio“ pagrindinė mokykla, 2016 m. – Suaugusiųjų gimnazija)</t>
  </si>
  <si>
    <t xml:space="preserve">Lopšelio-darželio „Radastėlė“ (Galinio Pylimo  g. 16 A) energetinio efektyvumo didinimas </t>
  </si>
  <si>
    <t>Klaipėdos lopšelio-darželio „Svirpliukas“ (Liepų g. 43A) energetinio efektyvumo didinimas</t>
  </si>
  <si>
    <t>Klaipėdos „Saulutės“ mokyklos-darželio (Kauno g. 11) energetinio efektyvumo didinimas</t>
  </si>
  <si>
    <t>Klaipėdos lopšelio-darželio „Klevelis“ (Taikos pr. 53) energetinio efektyvumo didinimas</t>
  </si>
  <si>
    <t>Klaipėdos lopšelio-darželio „Žiogelis“ (Kauno g. 27) energetinio efektyvumo didinimas</t>
  </si>
  <si>
    <t>Jaunimo centro pastatų  Klaipėdoje, Puodžių g. 1, renovacija (stogo konstrukcijų pakeitimas)</t>
  </si>
  <si>
    <t>Jaunimo centro pastatų (su sporto sale) Klaipėdoje, Puodžių g. 1, modernizavimas</t>
  </si>
  <si>
    <r>
      <rPr>
        <b/>
        <sz val="10"/>
        <rFont val="Times New Roman"/>
        <family val="1"/>
        <charset val="186"/>
      </rPr>
      <t>Patalpų pritaikymas bendrojo ugdymo mokyklų reikmėms</t>
    </r>
    <r>
      <rPr>
        <sz val="10"/>
        <rFont val="Times New Roman"/>
        <family val="1"/>
        <charset val="186"/>
      </rPr>
      <t xml:space="preserve"> (2015 m. – patalpų pritaikymas reabilitacinėms paslaugoms teikti  „Medeinės“ mokykloje specialiųjų poreikių mokiniams)</t>
    </r>
  </si>
  <si>
    <t>Mokymo įstaigų vidaus patalpų remontas po šiluminės renovacijos (2015 m. – „Varpo“ gimnazijos lubų remontas)</t>
  </si>
  <si>
    <t>Klaipėdos lopšelio-darželio „Puriena“ priestato aprūpinimas baldais ir įranga</t>
  </si>
  <si>
    <t>Socialinės infrastruktūros priežiūros skaičius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</si>
  <si>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</si>
  <si>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 xml:space="preserve">Klaipėdos lopšelio-darželio „Radastėlė“ (Galinio Pylimo  g. 16 A) energetinio efektyvumo didinimas </t>
  </si>
  <si>
    <t>Klaipėdos lopšelio-darželio„Svirpliukas“ (Liepų g. 43A) energetinio efektyvumo didinimas</t>
  </si>
  <si>
    <t>2016-ųjų metų lėšų projektas</t>
  </si>
  <si>
    <t>2017-ųjų metų lėšų projektas</t>
  </si>
  <si>
    <t>2016 m. projektas</t>
  </si>
  <si>
    <t>2017 m. projektas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</si>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</sst>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15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45" xfId="0" applyNumberFormat="1" applyFont="1" applyFill="1" applyBorder="1" applyAlignment="1">
      <alignment horizontal="center" vertical="top"/>
    </xf>
    <xf numFmtId="164" fontId="2" fillId="6" borderId="46" xfId="0" applyNumberFormat="1" applyFont="1" applyFill="1" applyBorder="1" applyAlignment="1">
      <alignment horizontal="center" vertical="top"/>
    </xf>
    <xf numFmtId="164" fontId="2" fillId="6" borderId="47" xfId="0" applyNumberFormat="1" applyFont="1" applyFill="1" applyBorder="1" applyAlignment="1">
      <alignment horizontal="center" vertical="top"/>
    </xf>
    <xf numFmtId="164" fontId="2" fillId="6" borderId="49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57" xfId="0" applyNumberFormat="1" applyFont="1" applyFill="1" applyBorder="1" applyAlignment="1">
      <alignment vertical="top" wrapText="1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0" fontId="4" fillId="0" borderId="60" xfId="0" applyNumberFormat="1" applyFont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49" fontId="4" fillId="0" borderId="66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10" fillId="0" borderId="68" xfId="0" applyFont="1" applyBorder="1" applyAlignment="1">
      <alignment horizontal="center" vertical="top" wrapText="1"/>
    </xf>
    <xf numFmtId="0" fontId="10" fillId="0" borderId="68" xfId="0" applyFont="1" applyBorder="1" applyAlignment="1">
      <alignment vertical="top" wrapText="1"/>
    </xf>
    <xf numFmtId="0" fontId="11" fillId="0" borderId="68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5" fillId="6" borderId="56" xfId="0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top"/>
    </xf>
    <xf numFmtId="164" fontId="4" fillId="5" borderId="72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43" xfId="0" applyFont="1" applyFill="1" applyBorder="1" applyAlignment="1">
      <alignment vertical="top" wrapText="1"/>
    </xf>
    <xf numFmtId="0" fontId="5" fillId="5" borderId="39" xfId="0" applyNumberFormat="1" applyFont="1" applyFill="1" applyBorder="1" applyAlignment="1">
      <alignment vertical="top"/>
    </xf>
    <xf numFmtId="49" fontId="2" fillId="6" borderId="46" xfId="0" applyNumberFormat="1" applyFont="1" applyFill="1" applyBorder="1" applyAlignment="1">
      <alignment vertical="top"/>
    </xf>
    <xf numFmtId="49" fontId="4" fillId="6" borderId="66" xfId="0" applyNumberFormat="1" applyFont="1" applyFill="1" applyBorder="1" applyAlignment="1">
      <alignment horizontal="center" vertical="top"/>
    </xf>
    <xf numFmtId="49" fontId="1" fillId="6" borderId="32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54" xfId="0" applyNumberFormat="1" applyFont="1" applyFill="1" applyBorder="1" applyAlignment="1">
      <alignment horizontal="center" vertical="top"/>
    </xf>
    <xf numFmtId="49" fontId="2" fillId="6" borderId="70" xfId="0" applyNumberFormat="1" applyFont="1" applyFill="1" applyBorder="1" applyAlignment="1">
      <alignment vertical="top"/>
    </xf>
    <xf numFmtId="164" fontId="5" fillId="6" borderId="46" xfId="0" applyNumberFormat="1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5" borderId="62" xfId="0" applyNumberFormat="1" applyFont="1" applyFill="1" applyBorder="1" applyAlignment="1">
      <alignment horizontal="left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164" fontId="4" fillId="5" borderId="38" xfId="0" applyNumberFormat="1" applyFont="1" applyFill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6" borderId="48" xfId="0" applyNumberFormat="1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164" fontId="1" fillId="8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2" fillId="6" borderId="73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71" xfId="0" applyNumberFormat="1" applyFont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8" borderId="53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4" fillId="9" borderId="36" xfId="0" applyNumberFormat="1" applyFont="1" applyFill="1" applyBorder="1" applyAlignment="1">
      <alignment horizontal="center" vertical="top"/>
    </xf>
    <xf numFmtId="164" fontId="4" fillId="9" borderId="29" xfId="0" applyNumberFormat="1" applyFont="1" applyFill="1" applyBorder="1" applyAlignment="1">
      <alignment horizontal="center" vertical="top"/>
    </xf>
    <xf numFmtId="164" fontId="4" fillId="9" borderId="30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4" fillId="9" borderId="61" xfId="0" applyNumberFormat="1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horizontal="center" vertical="top"/>
    </xf>
    <xf numFmtId="164" fontId="4" fillId="9" borderId="19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4" fillId="9" borderId="54" xfId="0" applyNumberFormat="1" applyFont="1" applyFill="1" applyBorder="1" applyAlignment="1">
      <alignment horizontal="center" vertical="top"/>
    </xf>
    <xf numFmtId="164" fontId="4" fillId="9" borderId="18" xfId="0" applyNumberFormat="1" applyFont="1" applyFill="1" applyBorder="1" applyAlignment="1">
      <alignment horizontal="center" vertical="top"/>
    </xf>
    <xf numFmtId="164" fontId="4" fillId="9" borderId="32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9" borderId="60" xfId="0" applyNumberFormat="1" applyFont="1" applyFill="1" applyBorder="1" applyAlignment="1">
      <alignment horizontal="center" vertical="top"/>
    </xf>
    <xf numFmtId="164" fontId="4" fillId="9" borderId="27" xfId="0" applyNumberFormat="1" applyFont="1" applyFill="1" applyBorder="1" applyAlignment="1">
      <alignment horizontal="center" vertical="top"/>
    </xf>
    <xf numFmtId="164" fontId="4" fillId="9" borderId="34" xfId="0" applyNumberFormat="1" applyFont="1" applyFill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66" xfId="0" applyNumberFormat="1" applyFont="1" applyFill="1" applyBorder="1" applyAlignment="1">
      <alignment horizontal="center" vertical="top"/>
    </xf>
    <xf numFmtId="164" fontId="4" fillId="9" borderId="33" xfId="0" applyNumberFormat="1" applyFont="1" applyFill="1" applyBorder="1" applyAlignment="1">
      <alignment horizontal="center" vertical="top"/>
    </xf>
    <xf numFmtId="164" fontId="4" fillId="9" borderId="68" xfId="0" applyNumberFormat="1" applyFont="1" applyFill="1" applyBorder="1" applyAlignment="1">
      <alignment horizontal="center" vertical="top"/>
    </xf>
    <xf numFmtId="164" fontId="4" fillId="9" borderId="52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64" xfId="0" applyNumberFormat="1" applyFont="1" applyFill="1" applyBorder="1" applyAlignment="1">
      <alignment horizontal="center" vertical="top"/>
    </xf>
    <xf numFmtId="164" fontId="4" fillId="9" borderId="72" xfId="0" applyNumberFormat="1" applyFont="1" applyFill="1" applyBorder="1" applyAlignment="1">
      <alignment horizontal="center" vertical="top"/>
    </xf>
    <xf numFmtId="164" fontId="4" fillId="9" borderId="40" xfId="0" applyNumberFormat="1" applyFont="1" applyFill="1" applyBorder="1" applyAlignment="1">
      <alignment horizontal="center" vertical="top"/>
    </xf>
    <xf numFmtId="164" fontId="4" fillId="9" borderId="59" xfId="0" applyNumberFormat="1" applyFont="1" applyFill="1" applyBorder="1" applyAlignment="1">
      <alignment horizontal="center" vertical="top"/>
    </xf>
    <xf numFmtId="164" fontId="4" fillId="9" borderId="38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29" xfId="0" applyNumberFormat="1" applyFont="1" applyFill="1" applyBorder="1" applyAlignment="1">
      <alignment horizontal="center" vertical="top"/>
    </xf>
    <xf numFmtId="164" fontId="1" fillId="9" borderId="18" xfId="0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72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5" fillId="9" borderId="45" xfId="0" applyNumberFormat="1" applyFont="1" applyFill="1" applyBorder="1" applyAlignment="1">
      <alignment horizontal="center" vertical="top"/>
    </xf>
    <xf numFmtId="164" fontId="4" fillId="9" borderId="31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0" fontId="5" fillId="9" borderId="56" xfId="0" applyFont="1" applyFill="1" applyBorder="1" applyAlignment="1">
      <alignment horizontal="center" vertical="top" wrapText="1"/>
    </xf>
    <xf numFmtId="164" fontId="5" fillId="9" borderId="48" xfId="0" applyNumberFormat="1" applyFont="1" applyFill="1" applyBorder="1" applyAlignment="1">
      <alignment horizontal="center" vertical="top"/>
    </xf>
    <xf numFmtId="164" fontId="5" fillId="9" borderId="56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4" fillId="9" borderId="74" xfId="0" applyNumberFormat="1" applyFont="1" applyFill="1" applyBorder="1" applyAlignment="1">
      <alignment horizontal="center" vertical="top"/>
    </xf>
    <xf numFmtId="164" fontId="4" fillId="9" borderId="0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4" fillId="9" borderId="22" xfId="0" applyNumberFormat="1" applyFont="1" applyFill="1" applyBorder="1" applyAlignment="1">
      <alignment horizontal="center" vertical="top"/>
    </xf>
    <xf numFmtId="164" fontId="4" fillId="9" borderId="39" xfId="0" applyNumberFormat="1" applyFont="1" applyFill="1" applyBorder="1" applyAlignment="1">
      <alignment horizontal="center" vertical="top"/>
    </xf>
    <xf numFmtId="164" fontId="4" fillId="9" borderId="17" xfId="0" applyNumberFormat="1" applyFont="1" applyFill="1" applyBorder="1" applyAlignment="1">
      <alignment horizontal="center" vertical="top"/>
    </xf>
    <xf numFmtId="164" fontId="5" fillId="9" borderId="49" xfId="0" applyNumberFormat="1" applyFont="1" applyFill="1" applyBorder="1" applyAlignment="1">
      <alignment horizontal="center" vertical="top"/>
    </xf>
    <xf numFmtId="0" fontId="5" fillId="9" borderId="48" xfId="0" applyFont="1" applyFill="1" applyBorder="1" applyAlignment="1">
      <alignment horizontal="center" vertical="top" wrapText="1"/>
    </xf>
    <xf numFmtId="164" fontId="5" fillId="9" borderId="47" xfId="0" applyNumberFormat="1" applyFont="1" applyFill="1" applyBorder="1" applyAlignment="1">
      <alignment horizontal="center" vertical="top"/>
    </xf>
    <xf numFmtId="164" fontId="5" fillId="9" borderId="73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46" xfId="0" applyNumberFormat="1" applyFont="1" applyFill="1" applyBorder="1" applyAlignment="1">
      <alignment horizontal="center" vertical="top"/>
    </xf>
    <xf numFmtId="164" fontId="2" fillId="9" borderId="45" xfId="0" applyNumberFormat="1" applyFont="1" applyFill="1" applyBorder="1" applyAlignment="1">
      <alignment horizontal="center" vertical="top"/>
    </xf>
    <xf numFmtId="164" fontId="2" fillId="9" borderId="49" xfId="0" applyNumberFormat="1" applyFont="1" applyFill="1" applyBorder="1" applyAlignment="1">
      <alignment horizontal="center" vertical="top"/>
    </xf>
    <xf numFmtId="164" fontId="2" fillId="9" borderId="4" xfId="0" applyNumberFormat="1" applyFont="1" applyFill="1" applyBorder="1" applyAlignment="1">
      <alignment horizontal="center" vertical="top"/>
    </xf>
    <xf numFmtId="164" fontId="2" fillId="9" borderId="48" xfId="0" applyNumberFormat="1" applyFont="1" applyFill="1" applyBorder="1" applyAlignment="1">
      <alignment horizontal="center" vertical="top"/>
    </xf>
    <xf numFmtId="164" fontId="1" fillId="9" borderId="16" xfId="0" applyNumberFormat="1" applyFont="1" applyFill="1" applyBorder="1" applyAlignment="1">
      <alignment horizontal="center" vertical="top"/>
    </xf>
    <xf numFmtId="164" fontId="1" fillId="9" borderId="13" xfId="0" applyNumberFormat="1" applyFont="1" applyFill="1" applyBorder="1" applyAlignment="1">
      <alignment horizontal="center" vertical="top"/>
    </xf>
    <xf numFmtId="164" fontId="1" fillId="9" borderId="24" xfId="0" applyNumberFormat="1" applyFont="1" applyFill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7" xfId="0" applyNumberFormat="1" applyFont="1" applyFill="1" applyBorder="1" applyAlignment="1">
      <alignment horizontal="center" vertical="top"/>
    </xf>
    <xf numFmtId="164" fontId="1" fillId="9" borderId="67" xfId="0" applyNumberFormat="1" applyFont="1" applyFill="1" applyBorder="1" applyAlignment="1">
      <alignment horizontal="center" vertical="top"/>
    </xf>
    <xf numFmtId="164" fontId="1" fillId="9" borderId="68" xfId="0" applyNumberFormat="1" applyFont="1" applyFill="1" applyBorder="1" applyAlignment="1">
      <alignment horizontal="center" vertical="top"/>
    </xf>
    <xf numFmtId="164" fontId="1" fillId="9" borderId="26" xfId="0" applyNumberFormat="1" applyFont="1" applyFill="1" applyBorder="1" applyAlignment="1">
      <alignment horizontal="center" vertical="top"/>
    </xf>
    <xf numFmtId="164" fontId="1" fillId="9" borderId="78" xfId="0" applyNumberFormat="1" applyFont="1" applyFill="1" applyBorder="1" applyAlignment="1">
      <alignment horizontal="center" vertical="top"/>
    </xf>
    <xf numFmtId="164" fontId="1" fillId="9" borderId="59" xfId="0" applyNumberFormat="1" applyFont="1" applyFill="1" applyBorder="1" applyAlignment="1">
      <alignment horizontal="center" vertical="top"/>
    </xf>
    <xf numFmtId="164" fontId="4" fillId="9" borderId="62" xfId="0" applyNumberFormat="1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164" fontId="2" fillId="9" borderId="68" xfId="0" applyNumberFormat="1" applyFont="1" applyFill="1" applyBorder="1" applyAlignment="1">
      <alignment horizontal="center" vertical="top"/>
    </xf>
    <xf numFmtId="164" fontId="2" fillId="9" borderId="26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2" fillId="9" borderId="71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 wrapText="1"/>
    </xf>
    <xf numFmtId="164" fontId="2" fillId="9" borderId="62" xfId="0" applyNumberFormat="1" applyFont="1" applyFill="1" applyBorder="1" applyAlignment="1">
      <alignment horizontal="center" vertical="top"/>
    </xf>
    <xf numFmtId="164" fontId="2" fillId="9" borderId="60" xfId="0" applyNumberFormat="1" applyFont="1" applyFill="1" applyBorder="1" applyAlignment="1">
      <alignment horizontal="center" vertical="top"/>
    </xf>
    <xf numFmtId="164" fontId="2" fillId="9" borderId="2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72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6" xfId="0" applyNumberFormat="1" applyFont="1" applyFill="1" applyBorder="1" applyAlignment="1">
      <alignment horizontal="center" vertical="top"/>
    </xf>
    <xf numFmtId="164" fontId="1" fillId="9" borderId="63" xfId="0" applyNumberFormat="1" applyFont="1" applyFill="1" applyBorder="1" applyAlignment="1">
      <alignment horizontal="center" vertical="top"/>
    </xf>
    <xf numFmtId="164" fontId="1" fillId="9" borderId="43" xfId="0" applyNumberFormat="1" applyFont="1" applyFill="1" applyBorder="1" applyAlignment="1">
      <alignment horizontal="center" vertical="top"/>
    </xf>
    <xf numFmtId="164" fontId="1" fillId="9" borderId="15" xfId="0" applyNumberFormat="1" applyFont="1" applyFill="1" applyBorder="1" applyAlignment="1">
      <alignment horizontal="center" vertical="top"/>
    </xf>
    <xf numFmtId="164" fontId="2" fillId="9" borderId="73" xfId="0" applyNumberFormat="1" applyFont="1" applyFill="1" applyBorder="1" applyAlignment="1">
      <alignment horizontal="center" vertical="top"/>
    </xf>
    <xf numFmtId="164" fontId="4" fillId="9" borderId="37" xfId="0" applyNumberFormat="1" applyFont="1" applyFill="1" applyBorder="1" applyAlignment="1">
      <alignment horizontal="center" vertical="top"/>
    </xf>
    <xf numFmtId="164" fontId="4" fillId="9" borderId="53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53" xfId="0" applyNumberFormat="1" applyFont="1" applyFill="1" applyBorder="1" applyAlignment="1">
      <alignment horizontal="center" vertical="top"/>
    </xf>
    <xf numFmtId="164" fontId="5" fillId="9" borderId="42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164" fontId="5" fillId="9" borderId="27" xfId="0" applyNumberFormat="1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center" vertical="top"/>
    </xf>
    <xf numFmtId="164" fontId="1" fillId="9" borderId="66" xfId="0" applyNumberFormat="1" applyFont="1" applyFill="1" applyBorder="1" applyAlignment="1">
      <alignment horizontal="center" vertical="top"/>
    </xf>
    <xf numFmtId="164" fontId="1" fillId="9" borderId="0" xfId="0" applyNumberFormat="1" applyFont="1" applyFill="1" applyBorder="1" applyAlignment="1">
      <alignment horizontal="center" vertical="top"/>
    </xf>
    <xf numFmtId="0" fontId="2" fillId="9" borderId="51" xfId="0" applyFont="1" applyFill="1" applyBorder="1" applyAlignment="1">
      <alignment horizontal="center" vertical="top" wrapText="1"/>
    </xf>
    <xf numFmtId="0" fontId="2" fillId="9" borderId="56" xfId="0" applyFont="1" applyFill="1" applyBorder="1" applyAlignment="1">
      <alignment horizontal="center" vertical="top" wrapText="1"/>
    </xf>
    <xf numFmtId="164" fontId="1" fillId="9" borderId="36" xfId="0" applyNumberFormat="1" applyFont="1" applyFill="1" applyBorder="1" applyAlignment="1">
      <alignment horizontal="center" vertical="top"/>
    </xf>
    <xf numFmtId="164" fontId="1" fillId="9" borderId="22" xfId="0" applyNumberFormat="1" applyFont="1" applyFill="1" applyBorder="1" applyAlignment="1">
      <alignment horizontal="center" vertical="top"/>
    </xf>
    <xf numFmtId="164" fontId="1" fillId="9" borderId="3" xfId="0" applyNumberFormat="1" applyFont="1" applyFill="1" applyBorder="1" applyAlignment="1">
      <alignment horizontal="center" vertical="top"/>
    </xf>
    <xf numFmtId="164" fontId="1" fillId="9" borderId="35" xfId="0" applyNumberFormat="1" applyFont="1" applyFill="1" applyBorder="1" applyAlignment="1">
      <alignment horizontal="center" vertical="top"/>
    </xf>
    <xf numFmtId="164" fontId="1" fillId="9" borderId="42" xfId="0" applyNumberFormat="1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1" fillId="0" borderId="18" xfId="0" applyNumberFormat="1" applyFont="1" applyBorder="1" applyAlignment="1">
      <alignment horizontal="center" vertical="top"/>
    </xf>
    <xf numFmtId="164" fontId="1" fillId="9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9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9" borderId="26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4" fillId="6" borderId="32" xfId="0" applyNumberFormat="1" applyFont="1" applyFill="1" applyBorder="1" applyAlignment="1">
      <alignment horizontal="center" vertical="top"/>
    </xf>
    <xf numFmtId="49" fontId="5" fillId="5" borderId="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9" borderId="52" xfId="0" applyNumberFormat="1" applyFont="1" applyFill="1" applyBorder="1" applyAlignment="1">
      <alignment horizontal="center" vertical="top"/>
    </xf>
    <xf numFmtId="164" fontId="1" fillId="9" borderId="53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8" borderId="18" xfId="0" applyNumberFormat="1" applyFont="1" applyFill="1" applyBorder="1" applyAlignment="1">
      <alignment horizontal="center" vertical="top" wrapText="1"/>
    </xf>
    <xf numFmtId="0" fontId="1" fillId="8" borderId="0" xfId="0" applyNumberFormat="1" applyFont="1" applyFill="1" applyBorder="1" applyAlignment="1">
      <alignment horizontal="center" vertical="top" wrapText="1"/>
    </xf>
    <xf numFmtId="0" fontId="1" fillId="8" borderId="31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9" borderId="0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9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4" fontId="4" fillId="8" borderId="7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0" fontId="4" fillId="8" borderId="13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49" fontId="5" fillId="5" borderId="13" xfId="0" applyNumberFormat="1" applyFont="1" applyFill="1" applyBorder="1" applyAlignment="1">
      <alignment vertical="top"/>
    </xf>
    <xf numFmtId="0" fontId="4" fillId="5" borderId="18" xfId="0" applyFont="1" applyFill="1" applyBorder="1" applyAlignment="1">
      <alignment vertical="top" wrapText="1"/>
    </xf>
    <xf numFmtId="164" fontId="4" fillId="9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9" borderId="41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1" fillId="6" borderId="54" xfId="0" applyFont="1" applyFill="1" applyBorder="1" applyAlignment="1">
      <alignment vertical="top"/>
    </xf>
    <xf numFmtId="0" fontId="4" fillId="0" borderId="43" xfId="0" applyFont="1" applyBorder="1" applyAlignment="1">
      <alignment vertical="top"/>
    </xf>
    <xf numFmtId="0" fontId="5" fillId="9" borderId="5" xfId="0" applyFont="1" applyFill="1" applyBorder="1" applyAlignment="1">
      <alignment horizontal="center" vertical="top" wrapText="1"/>
    </xf>
    <xf numFmtId="164" fontId="5" fillId="9" borderId="43" xfId="0" applyNumberFormat="1" applyFont="1" applyFill="1" applyBorder="1" applyAlignment="1">
      <alignment horizontal="center" vertical="top"/>
    </xf>
    <xf numFmtId="164" fontId="5" fillId="9" borderId="21" xfId="0" applyNumberFormat="1" applyFont="1" applyFill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38" xfId="0" applyNumberFormat="1" applyFont="1" applyFill="1" applyBorder="1" applyAlignment="1">
      <alignment horizontal="center" vertical="top"/>
    </xf>
    <xf numFmtId="164" fontId="2" fillId="9" borderId="67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164" fontId="2" fillId="9" borderId="53" xfId="0" applyNumberFormat="1" applyFont="1" applyFill="1" applyBorder="1" applyAlignment="1">
      <alignment horizontal="center" vertical="top"/>
    </xf>
    <xf numFmtId="164" fontId="4" fillId="9" borderId="63" xfId="0" applyNumberFormat="1" applyFont="1" applyFill="1" applyBorder="1" applyAlignment="1">
      <alignment horizontal="center" vertical="top"/>
    </xf>
    <xf numFmtId="164" fontId="4" fillId="9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8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8" borderId="31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vertical="top"/>
    </xf>
    <xf numFmtId="49" fontId="2" fillId="8" borderId="71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vertical="top"/>
    </xf>
    <xf numFmtId="49" fontId="5" fillId="5" borderId="70" xfId="0" applyNumberFormat="1" applyFont="1" applyFill="1" applyBorder="1" applyAlignment="1">
      <alignment vertical="top"/>
    </xf>
    <xf numFmtId="164" fontId="4" fillId="9" borderId="44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left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9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8" borderId="19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4" fillId="8" borderId="37" xfId="0" applyFont="1" applyFill="1" applyBorder="1" applyAlignment="1">
      <alignment horizontal="left" vertical="top" wrapText="1"/>
    </xf>
    <xf numFmtId="0" fontId="14" fillId="8" borderId="68" xfId="0" applyFont="1" applyFill="1" applyBorder="1" applyAlignment="1">
      <alignment horizontal="center" vertical="top" wrapText="1"/>
    </xf>
    <xf numFmtId="0" fontId="14" fillId="8" borderId="53" xfId="0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164" fontId="5" fillId="9" borderId="0" xfId="0" applyNumberFormat="1" applyFont="1" applyFill="1" applyBorder="1" applyAlignment="1">
      <alignment horizontal="center" vertical="top"/>
    </xf>
    <xf numFmtId="164" fontId="2" fillId="9" borderId="7" xfId="0" applyNumberFormat="1" applyFont="1" applyFill="1" applyBorder="1" applyAlignment="1">
      <alignment horizontal="center" vertical="top"/>
    </xf>
    <xf numFmtId="164" fontId="2" fillId="9" borderId="8" xfId="0" applyNumberFormat="1" applyFont="1" applyFill="1" applyBorder="1" applyAlignment="1">
      <alignment horizontal="center" vertical="top"/>
    </xf>
    <xf numFmtId="165" fontId="4" fillId="0" borderId="41" xfId="0" applyNumberFormat="1" applyFont="1" applyFill="1" applyBorder="1" applyAlignment="1">
      <alignment horizontal="left" vertical="top"/>
    </xf>
    <xf numFmtId="164" fontId="4" fillId="9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9" borderId="56" xfId="0" applyNumberFormat="1" applyFont="1" applyFill="1" applyBorder="1" applyAlignment="1">
      <alignment horizontal="center" vertical="top"/>
    </xf>
    <xf numFmtId="164" fontId="4" fillId="9" borderId="51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9" borderId="50" xfId="0" applyFont="1" applyFill="1" applyBorder="1" applyAlignment="1">
      <alignment horizontal="center" vertical="top" wrapText="1"/>
    </xf>
    <xf numFmtId="164" fontId="1" fillId="9" borderId="58" xfId="0" applyNumberFormat="1" applyFont="1" applyFill="1" applyBorder="1" applyAlignment="1">
      <alignment horizontal="center" vertical="top"/>
    </xf>
    <xf numFmtId="165" fontId="4" fillId="8" borderId="17" xfId="0" applyNumberFormat="1" applyFont="1" applyFill="1" applyBorder="1" applyAlignment="1">
      <alignment horizontal="left" vertical="top" wrapText="1"/>
    </xf>
    <xf numFmtId="0" fontId="4" fillId="8" borderId="0" xfId="0" applyNumberFormat="1" applyFont="1" applyFill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9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4" fillId="0" borderId="31" xfId="0" applyNumberFormat="1" applyFont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8" borderId="18" xfId="0" applyNumberFormat="1" applyFont="1" applyFill="1" applyBorder="1" applyAlignment="1">
      <alignment horizontal="center" vertical="top" wrapText="1"/>
    </xf>
    <xf numFmtId="164" fontId="4" fillId="9" borderId="75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9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9" borderId="63" xfId="0" applyNumberFormat="1" applyFont="1" applyFill="1" applyBorder="1" applyAlignment="1">
      <alignment horizontal="center" vertical="top"/>
    </xf>
    <xf numFmtId="164" fontId="2" fillId="9" borderId="43" xfId="0" applyNumberFormat="1" applyFont="1" applyFill="1" applyBorder="1" applyAlignment="1">
      <alignment horizontal="center" vertical="top"/>
    </xf>
    <xf numFmtId="164" fontId="2" fillId="9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2" fillId="8" borderId="68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6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1" fillId="8" borderId="74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5" fillId="9" borderId="5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164" fontId="4" fillId="8" borderId="2" xfId="0" applyNumberFormat="1" applyFont="1" applyFill="1" applyBorder="1" applyAlignment="1">
      <alignment horizontal="center" vertical="top"/>
    </xf>
    <xf numFmtId="164" fontId="4" fillId="8" borderId="5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0" fontId="5" fillId="10" borderId="50" xfId="0" applyFont="1" applyFill="1" applyBorder="1" applyAlignment="1">
      <alignment horizontal="center" vertical="top" wrapText="1"/>
    </xf>
    <xf numFmtId="164" fontId="5" fillId="10" borderId="44" xfId="0" applyNumberFormat="1" applyFont="1" applyFill="1" applyBorder="1" applyAlignment="1">
      <alignment horizontal="center" vertical="top"/>
    </xf>
    <xf numFmtId="164" fontId="5" fillId="10" borderId="19" xfId="0" applyNumberFormat="1" applyFont="1" applyFill="1" applyBorder="1" applyAlignment="1">
      <alignment horizontal="center" vertical="top"/>
    </xf>
    <xf numFmtId="164" fontId="5" fillId="10" borderId="57" xfId="0" applyNumberFormat="1" applyFont="1" applyFill="1" applyBorder="1" applyAlignment="1">
      <alignment horizontal="center" vertical="top"/>
    </xf>
    <xf numFmtId="164" fontId="5" fillId="10" borderId="71" xfId="0" applyNumberFormat="1" applyFont="1" applyFill="1" applyBorder="1" applyAlignment="1">
      <alignment horizontal="center" vertical="top"/>
    </xf>
    <xf numFmtId="164" fontId="5" fillId="6" borderId="51" xfId="0" applyNumberFormat="1" applyFont="1" applyFill="1" applyBorder="1" applyAlignment="1">
      <alignment horizontal="center" vertical="top"/>
    </xf>
    <xf numFmtId="0" fontId="5" fillId="0" borderId="60" xfId="0" applyFont="1" applyBorder="1" applyAlignment="1">
      <alignment horizontal="center" vertical="center"/>
    </xf>
    <xf numFmtId="0" fontId="13" fillId="0" borderId="43" xfId="0" applyFont="1" applyBorder="1" applyAlignment="1">
      <alignment vertical="center" textRotation="90"/>
    </xf>
    <xf numFmtId="0" fontId="5" fillId="9" borderId="67" xfId="0" applyFont="1" applyFill="1" applyBorder="1" applyAlignment="1">
      <alignment horizontal="center" vertical="top" wrapText="1"/>
    </xf>
    <xf numFmtId="164" fontId="2" fillId="9" borderId="35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 wrapText="1"/>
    </xf>
    <xf numFmtId="0" fontId="4" fillId="5" borderId="63" xfId="0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0" fontId="4" fillId="5" borderId="78" xfId="0" applyFont="1" applyFill="1" applyBorder="1" applyAlignment="1">
      <alignment horizontal="center" vertical="top"/>
    </xf>
    <xf numFmtId="165" fontId="4" fillId="5" borderId="38" xfId="0" applyNumberFormat="1" applyFont="1" applyFill="1" applyBorder="1" applyAlignment="1">
      <alignment vertical="top" wrapText="1"/>
    </xf>
    <xf numFmtId="0" fontId="4" fillId="5" borderId="40" xfId="0" applyNumberFormat="1" applyFont="1" applyFill="1" applyBorder="1" applyAlignment="1">
      <alignment horizontal="center" vertical="top"/>
    </xf>
    <xf numFmtId="0" fontId="4" fillId="5" borderId="31" xfId="0" applyNumberFormat="1" applyFont="1" applyFill="1" applyBorder="1" applyAlignment="1">
      <alignment horizontal="center" vertical="top"/>
    </xf>
    <xf numFmtId="0" fontId="4" fillId="5" borderId="21" xfId="0" applyNumberFormat="1" applyFont="1" applyFill="1" applyBorder="1" applyAlignment="1">
      <alignment horizontal="center" vertical="top"/>
    </xf>
    <xf numFmtId="164" fontId="5" fillId="8" borderId="17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7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wrapText="1"/>
    </xf>
    <xf numFmtId="0" fontId="2" fillId="0" borderId="0" xfId="0" applyFont="1" applyBorder="1" applyAlignment="1">
      <alignment vertical="center" textRotation="90" wrapText="1"/>
    </xf>
    <xf numFmtId="0" fontId="5" fillId="6" borderId="51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center" wrapText="1"/>
    </xf>
    <xf numFmtId="49" fontId="4" fillId="6" borderId="18" xfId="0" applyNumberFormat="1" applyFont="1" applyFill="1" applyBorder="1" applyAlignment="1">
      <alignment horizontal="center" vertical="top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54" xfId="0" applyNumberFormat="1" applyFont="1" applyFill="1" applyBorder="1" applyAlignment="1">
      <alignment horizontal="center" vertical="top"/>
    </xf>
    <xf numFmtId="164" fontId="1" fillId="0" borderId="36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68" xfId="0" applyNumberFormat="1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49" fontId="1" fillId="5" borderId="60" xfId="0" applyNumberFormat="1" applyFont="1" applyFill="1" applyBorder="1" applyAlignment="1">
      <alignment horizontal="center" vertical="top" wrapText="1"/>
    </xf>
    <xf numFmtId="49" fontId="1" fillId="5" borderId="40" xfId="0" applyNumberFormat="1" applyFont="1" applyFill="1" applyBorder="1" applyAlignment="1">
      <alignment horizontal="center" vertical="top" wrapText="1"/>
    </xf>
    <xf numFmtId="164" fontId="1" fillId="0" borderId="43" xfId="0" applyNumberFormat="1" applyFont="1" applyBorder="1" applyAlignment="1">
      <alignment horizontal="center" vertical="top"/>
    </xf>
    <xf numFmtId="49" fontId="5" fillId="5" borderId="0" xfId="0" applyNumberFormat="1" applyFont="1" applyFill="1" applyBorder="1" applyAlignment="1">
      <alignment vertical="top"/>
    </xf>
    <xf numFmtId="0" fontId="4" fillId="0" borderId="7" xfId="0" applyFont="1" applyBorder="1" applyAlignment="1">
      <alignment horizontal="center" vertical="top" wrapText="1"/>
    </xf>
    <xf numFmtId="0" fontId="5" fillId="9" borderId="56" xfId="0" applyFont="1" applyFill="1" applyBorder="1" applyAlignment="1">
      <alignment horizontal="center" vertical="top"/>
    </xf>
    <xf numFmtId="164" fontId="4" fillId="8" borderId="75" xfId="0" applyNumberFormat="1" applyFont="1" applyFill="1" applyBorder="1" applyAlignment="1">
      <alignment horizontal="center" vertical="top"/>
    </xf>
    <xf numFmtId="164" fontId="1" fillId="0" borderId="61" xfId="0" applyNumberFormat="1" applyFont="1" applyFill="1" applyBorder="1" applyAlignment="1">
      <alignment horizontal="center" vertical="top"/>
    </xf>
    <xf numFmtId="164" fontId="1" fillId="0" borderId="61" xfId="0" applyNumberFormat="1" applyFont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vertical="top" wrapText="1"/>
    </xf>
    <xf numFmtId="49" fontId="5" fillId="0" borderId="32" xfId="0" applyNumberFormat="1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4" fillId="0" borderId="71" xfId="0" applyFont="1" applyBorder="1" applyAlignment="1">
      <alignment horizontal="center" vertical="top"/>
    </xf>
    <xf numFmtId="0" fontId="4" fillId="0" borderId="20" xfId="0" applyFont="1" applyBorder="1" applyAlignment="1">
      <alignment vertical="top"/>
    </xf>
    <xf numFmtId="0" fontId="4" fillId="0" borderId="6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164" fontId="4" fillId="0" borderId="68" xfId="0" applyNumberFormat="1" applyFont="1" applyFill="1" applyBorder="1" applyAlignment="1">
      <alignment horizontal="center" vertical="top"/>
    </xf>
    <xf numFmtId="164" fontId="1" fillId="0" borderId="77" xfId="0" applyNumberFormat="1" applyFont="1" applyBorder="1" applyAlignment="1">
      <alignment horizontal="center" vertical="top"/>
    </xf>
    <xf numFmtId="0" fontId="1" fillId="0" borderId="22" xfId="0" applyFont="1" applyFill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164" fontId="4" fillId="0" borderId="35" xfId="0" applyNumberFormat="1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left" vertical="top" wrapText="1"/>
    </xf>
    <xf numFmtId="164" fontId="1" fillId="0" borderId="33" xfId="0" applyNumberFormat="1" applyFont="1" applyBorder="1" applyAlignment="1">
      <alignment horizontal="center" vertical="top"/>
    </xf>
    <xf numFmtId="164" fontId="1" fillId="0" borderId="38" xfId="0" applyNumberFormat="1" applyFont="1" applyFill="1" applyBorder="1" applyAlignment="1">
      <alignment horizontal="center" vertical="top"/>
    </xf>
    <xf numFmtId="164" fontId="1" fillId="0" borderId="37" xfId="0" applyNumberFormat="1" applyFont="1" applyBorder="1" applyAlignment="1">
      <alignment horizontal="center" vertical="top"/>
    </xf>
    <xf numFmtId="164" fontId="1" fillId="0" borderId="53" xfId="0" applyNumberFormat="1" applyFont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164" fontId="1" fillId="0" borderId="58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left" vertical="top"/>
    </xf>
    <xf numFmtId="164" fontId="4" fillId="8" borderId="58" xfId="0" applyNumberFormat="1" applyFont="1" applyFill="1" applyBorder="1" applyAlignment="1">
      <alignment horizontal="center" vertical="top"/>
    </xf>
    <xf numFmtId="164" fontId="1" fillId="0" borderId="5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4" fillId="8" borderId="10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164" fontId="1" fillId="0" borderId="78" xfId="0" applyNumberFormat="1" applyFont="1" applyFill="1" applyBorder="1" applyAlignment="1">
      <alignment horizontal="center" vertical="top"/>
    </xf>
    <xf numFmtId="164" fontId="5" fillId="9" borderId="80" xfId="0" applyNumberFormat="1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64" fontId="4" fillId="0" borderId="22" xfId="0" applyNumberFormat="1" applyFont="1" applyFill="1" applyBorder="1" applyAlignment="1">
      <alignment horizontal="center" vertical="top"/>
    </xf>
    <xf numFmtId="164" fontId="4" fillId="0" borderId="74" xfId="0" applyNumberFormat="1" applyFont="1" applyFill="1" applyBorder="1" applyAlignment="1">
      <alignment horizontal="center" vertical="top"/>
    </xf>
    <xf numFmtId="164" fontId="4" fillId="0" borderId="42" xfId="0" applyNumberFormat="1" applyFont="1" applyBorder="1" applyAlignment="1">
      <alignment horizontal="center" vertical="top"/>
    </xf>
    <xf numFmtId="164" fontId="4" fillId="0" borderId="69" xfId="0" applyNumberFormat="1" applyFont="1" applyBorder="1" applyAlignment="1">
      <alignment horizontal="center" vertical="top"/>
    </xf>
    <xf numFmtId="164" fontId="1" fillId="8" borderId="58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1" fillId="8" borderId="54" xfId="0" applyNumberFormat="1" applyFont="1" applyFill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8" borderId="16" xfId="0" applyFont="1" applyFill="1" applyBorder="1" applyAlignment="1">
      <alignment vertical="top" wrapText="1"/>
    </xf>
    <xf numFmtId="0" fontId="4" fillId="8" borderId="13" xfId="0" applyNumberFormat="1" applyFont="1" applyFill="1" applyBorder="1" applyAlignment="1">
      <alignment horizontal="center" vertical="top"/>
    </xf>
    <xf numFmtId="0" fontId="4" fillId="8" borderId="39" xfId="0" applyNumberFormat="1" applyFont="1" applyFill="1" applyBorder="1" applyAlignment="1">
      <alignment horizontal="center" vertical="top"/>
    </xf>
    <xf numFmtId="0" fontId="5" fillId="5" borderId="44" xfId="0" applyNumberFormat="1" applyFont="1" applyFill="1" applyBorder="1" applyAlignment="1">
      <alignment horizontal="center" vertical="top"/>
    </xf>
    <xf numFmtId="0" fontId="5" fillId="5" borderId="34" xfId="0" applyNumberFormat="1" applyFont="1" applyFill="1" applyBorder="1" applyAlignment="1">
      <alignment horizontal="center" vertical="top"/>
    </xf>
    <xf numFmtId="49" fontId="4" fillId="10" borderId="34" xfId="0" applyNumberFormat="1" applyFont="1" applyFill="1" applyBorder="1" applyAlignment="1">
      <alignment vertical="top"/>
    </xf>
    <xf numFmtId="49" fontId="4" fillId="10" borderId="32" xfId="0" applyNumberFormat="1" applyFont="1" applyFill="1" applyBorder="1" applyAlignment="1">
      <alignment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27" xfId="0" applyNumberFormat="1" applyFont="1" applyFill="1" applyBorder="1" applyAlignment="1">
      <alignment horizontal="center" vertical="top"/>
    </xf>
    <xf numFmtId="164" fontId="5" fillId="9" borderId="2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 wrapText="1"/>
    </xf>
    <xf numFmtId="164" fontId="2" fillId="6" borderId="56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164" fontId="5" fillId="9" borderId="8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4" fillId="8" borderId="19" xfId="0" applyFont="1" applyFill="1" applyBorder="1" applyAlignment="1">
      <alignment vertical="top"/>
    </xf>
    <xf numFmtId="49" fontId="2" fillId="5" borderId="13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69" xfId="0" applyNumberFormat="1" applyFont="1" applyFill="1" applyBorder="1" applyAlignment="1">
      <alignment horizontal="center" vertical="top"/>
    </xf>
    <xf numFmtId="164" fontId="1" fillId="0" borderId="42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1" fillId="0" borderId="60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164" fontId="4" fillId="5" borderId="17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164" fontId="4" fillId="5" borderId="17" xfId="0" applyNumberFormat="1" applyFont="1" applyFill="1" applyBorder="1" applyAlignment="1">
      <alignment horizontal="center" vertical="top"/>
    </xf>
    <xf numFmtId="164" fontId="1" fillId="8" borderId="40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164" fontId="1" fillId="8" borderId="72" xfId="0" applyNumberFormat="1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31" xfId="0" applyNumberFormat="1" applyFont="1" applyBorder="1" applyAlignment="1">
      <alignment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 wrapText="1"/>
    </xf>
    <xf numFmtId="0" fontId="4" fillId="5" borderId="19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vertical="top" wrapText="1"/>
    </xf>
    <xf numFmtId="164" fontId="5" fillId="5" borderId="57" xfId="0" applyNumberFormat="1" applyFont="1" applyFill="1" applyBorder="1" applyAlignment="1">
      <alignment horizontal="center" vertical="top"/>
    </xf>
    <xf numFmtId="0" fontId="5" fillId="5" borderId="19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vertical="top" wrapText="1"/>
    </xf>
    <xf numFmtId="0" fontId="4" fillId="8" borderId="0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164" fontId="5" fillId="9" borderId="5" xfId="0" applyNumberFormat="1" applyFont="1" applyFill="1" applyBorder="1" applyAlignment="1">
      <alignment horizontal="center" vertical="top"/>
    </xf>
    <xf numFmtId="164" fontId="5" fillId="9" borderId="15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left" vertical="top"/>
    </xf>
    <xf numFmtId="164" fontId="4" fillId="0" borderId="77" xfId="0" applyNumberFormat="1" applyFont="1" applyFill="1" applyBorder="1" applyAlignment="1">
      <alignment horizontal="center" vertical="top"/>
    </xf>
    <xf numFmtId="164" fontId="2" fillId="9" borderId="2" xfId="0" applyNumberFormat="1" applyFont="1" applyFill="1" applyBorder="1" applyAlignment="1">
      <alignment horizontal="center" vertical="top"/>
    </xf>
    <xf numFmtId="164" fontId="5" fillId="10" borderId="50" xfId="0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vertical="top"/>
    </xf>
    <xf numFmtId="0" fontId="4" fillId="0" borderId="74" xfId="0" applyNumberFormat="1" applyFont="1" applyFill="1" applyBorder="1" applyAlignment="1">
      <alignment horizontal="center" vertical="top"/>
    </xf>
    <xf numFmtId="0" fontId="1" fillId="0" borderId="43" xfId="0" applyNumberFormat="1" applyFont="1" applyFill="1" applyBorder="1" applyAlignment="1">
      <alignment horizontal="center" vertical="top"/>
    </xf>
    <xf numFmtId="0" fontId="1" fillId="0" borderId="58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0" fontId="14" fillId="8" borderId="13" xfId="0" applyFont="1" applyFill="1" applyBorder="1" applyAlignment="1">
      <alignment horizontal="center" vertical="top" wrapText="1"/>
    </xf>
    <xf numFmtId="0" fontId="14" fillId="8" borderId="39" xfId="0" applyFont="1" applyFill="1" applyBorder="1" applyAlignment="1">
      <alignment horizontal="center" wrapText="1"/>
    </xf>
    <xf numFmtId="0" fontId="14" fillId="0" borderId="49" xfId="0" applyFont="1" applyFill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/>
    </xf>
    <xf numFmtId="0" fontId="4" fillId="0" borderId="46" xfId="0" applyNumberFormat="1" applyFont="1" applyFill="1" applyBorder="1" applyAlignment="1">
      <alignment horizontal="center" vertical="top"/>
    </xf>
    <xf numFmtId="0" fontId="1" fillId="0" borderId="45" xfId="0" applyNumberFormat="1" applyFont="1" applyBorder="1" applyAlignment="1">
      <alignment horizontal="center" vertical="top"/>
    </xf>
    <xf numFmtId="0" fontId="14" fillId="0" borderId="39" xfId="0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165" fontId="4" fillId="5" borderId="1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165" fontId="4" fillId="5" borderId="17" xfId="0" applyNumberFormat="1" applyFont="1" applyFill="1" applyBorder="1" applyAlignment="1">
      <alignment horizontal="left" vertical="top"/>
    </xf>
    <xf numFmtId="164" fontId="1" fillId="8" borderId="35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54" xfId="0" applyNumberFormat="1" applyFont="1" applyFill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5" fillId="0" borderId="73" xfId="0" applyFont="1" applyFill="1" applyBorder="1" applyAlignment="1">
      <alignment horizontal="center" vertical="top" wrapText="1"/>
    </xf>
    <xf numFmtId="164" fontId="1" fillId="8" borderId="15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0" fontId="4" fillId="5" borderId="32" xfId="0" applyFont="1" applyFill="1" applyBorder="1" applyAlignment="1">
      <alignment vertical="top" wrapText="1"/>
    </xf>
    <xf numFmtId="49" fontId="5" fillId="5" borderId="19" xfId="0" applyNumberFormat="1" applyFont="1" applyFill="1" applyBorder="1" applyAlignment="1">
      <alignment vertical="top"/>
    </xf>
    <xf numFmtId="164" fontId="4" fillId="0" borderId="42" xfId="0" applyNumberFormat="1" applyFont="1" applyFill="1" applyBorder="1" applyAlignment="1">
      <alignment horizontal="center" vertical="top"/>
    </xf>
    <xf numFmtId="164" fontId="4" fillId="0" borderId="65" xfId="0" applyNumberFormat="1" applyFont="1" applyFill="1" applyBorder="1" applyAlignment="1">
      <alignment horizontal="center" vertical="top"/>
    </xf>
    <xf numFmtId="164" fontId="4" fillId="0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4" fillId="0" borderId="41" xfId="0" applyFont="1" applyBorder="1" applyAlignment="1">
      <alignment vertical="top" wrapText="1"/>
    </xf>
    <xf numFmtId="49" fontId="5" fillId="5" borderId="43" xfId="0" applyNumberFormat="1" applyFont="1" applyFill="1" applyBorder="1" applyAlignment="1">
      <alignment vertical="top"/>
    </xf>
    <xf numFmtId="49" fontId="4" fillId="10" borderId="58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left" vertical="top" wrapText="1"/>
    </xf>
    <xf numFmtId="0" fontId="4" fillId="5" borderId="43" xfId="0" applyNumberFormat="1" applyFont="1" applyFill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/>
    </xf>
    <xf numFmtId="49" fontId="2" fillId="3" borderId="42" xfId="0" applyNumberFormat="1" applyFont="1" applyFill="1" applyBorder="1" applyAlignment="1">
      <alignment horizontal="center" vertical="top"/>
    </xf>
    <xf numFmtId="49" fontId="2" fillId="2" borderId="43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49" fontId="4" fillId="0" borderId="70" xfId="0" applyNumberFormat="1" applyFont="1" applyFill="1" applyBorder="1" applyAlignment="1">
      <alignment horizontal="center" vertical="top"/>
    </xf>
    <xf numFmtId="0" fontId="5" fillId="5" borderId="39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164" fontId="5" fillId="9" borderId="57" xfId="0" applyNumberFormat="1" applyFont="1" applyFill="1" applyBorder="1" applyAlignment="1">
      <alignment horizontal="center" vertical="top"/>
    </xf>
    <xf numFmtId="164" fontId="2" fillId="9" borderId="19" xfId="0" applyNumberFormat="1" applyFont="1" applyFill="1" applyBorder="1" applyAlignment="1">
      <alignment horizontal="center" vertical="top"/>
    </xf>
    <xf numFmtId="164" fontId="2" fillId="9" borderId="57" xfId="0" applyNumberFormat="1" applyFont="1" applyFill="1" applyBorder="1" applyAlignment="1">
      <alignment horizontal="center" vertical="top"/>
    </xf>
    <xf numFmtId="164" fontId="2" fillId="9" borderId="50" xfId="0" applyNumberFormat="1" applyFont="1" applyFill="1" applyBorder="1" applyAlignment="1">
      <alignment horizontal="center" vertical="top"/>
    </xf>
    <xf numFmtId="164" fontId="5" fillId="2" borderId="14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vertical="top"/>
    </xf>
    <xf numFmtId="164" fontId="4" fillId="0" borderId="58" xfId="0" applyNumberFormat="1" applyFont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vertical="top"/>
    </xf>
    <xf numFmtId="49" fontId="4" fillId="10" borderId="54" xfId="0" applyNumberFormat="1" applyFont="1" applyFill="1" applyBorder="1" applyAlignment="1">
      <alignment vertical="top"/>
    </xf>
    <xf numFmtId="0" fontId="5" fillId="5" borderId="43" xfId="0" applyFont="1" applyFill="1" applyBorder="1" applyAlignment="1">
      <alignment vertical="top" wrapText="1"/>
    </xf>
    <xf numFmtId="164" fontId="1" fillId="5" borderId="42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5" borderId="43" xfId="0" applyNumberFormat="1" applyFont="1" applyFill="1" applyBorder="1" applyAlignment="1">
      <alignment horizontal="center" vertical="top"/>
    </xf>
    <xf numFmtId="165" fontId="4" fillId="5" borderId="63" xfId="0" applyNumberFormat="1" applyFont="1" applyFill="1" applyBorder="1" applyAlignment="1">
      <alignment horizontal="left" vertical="top"/>
    </xf>
    <xf numFmtId="0" fontId="2" fillId="0" borderId="43" xfId="0" applyNumberFormat="1" applyFont="1" applyFill="1" applyBorder="1" applyAlignment="1">
      <alignment horizontal="center" vertical="top"/>
    </xf>
    <xf numFmtId="0" fontId="2" fillId="0" borderId="58" xfId="0" applyNumberFormat="1" applyFont="1" applyFill="1" applyBorder="1" applyAlignment="1">
      <alignment horizontal="center" vertical="top"/>
    </xf>
    <xf numFmtId="49" fontId="4" fillId="8" borderId="13" xfId="0" applyNumberFormat="1" applyFont="1" applyFill="1" applyBorder="1" applyAlignment="1">
      <alignment vertical="top"/>
    </xf>
    <xf numFmtId="49" fontId="4" fillId="8" borderId="18" xfId="0" applyNumberFormat="1" applyFont="1" applyFill="1" applyBorder="1" applyAlignment="1">
      <alignment vertical="top"/>
    </xf>
    <xf numFmtId="49" fontId="4" fillId="8" borderId="43" xfId="0" applyNumberFormat="1" applyFont="1" applyFill="1" applyBorder="1" applyAlignment="1">
      <alignment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65" xfId="0" applyNumberFormat="1" applyFont="1" applyFill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8" borderId="2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2" fillId="2" borderId="14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 wrapText="1"/>
    </xf>
    <xf numFmtId="164" fontId="1" fillId="5" borderId="41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1" fillId="5" borderId="66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 wrapText="1"/>
    </xf>
    <xf numFmtId="0" fontId="4" fillId="8" borderId="31" xfId="0" applyNumberFormat="1" applyFont="1" applyFill="1" applyBorder="1" applyAlignment="1">
      <alignment horizontal="center" vertical="top"/>
    </xf>
    <xf numFmtId="0" fontId="5" fillId="5" borderId="44" xfId="0" applyFont="1" applyFill="1" applyBorder="1" applyAlignment="1">
      <alignment horizontal="left" vertical="top" wrapText="1"/>
    </xf>
    <xf numFmtId="164" fontId="4" fillId="8" borderId="67" xfId="0" applyNumberFormat="1" applyFont="1" applyFill="1" applyBorder="1" applyAlignment="1">
      <alignment horizontal="center" vertical="top"/>
    </xf>
    <xf numFmtId="0" fontId="5" fillId="9" borderId="56" xfId="0" applyFont="1" applyFill="1" applyBorder="1" applyAlignment="1">
      <alignment horizontal="center" wrapText="1"/>
    </xf>
    <xf numFmtId="164" fontId="5" fillId="9" borderId="48" xfId="0" applyNumberFormat="1" applyFont="1" applyFill="1" applyBorder="1" applyAlignment="1">
      <alignment horizontal="center"/>
    </xf>
    <xf numFmtId="164" fontId="5" fillId="9" borderId="4" xfId="0" applyNumberFormat="1" applyFont="1" applyFill="1" applyBorder="1" applyAlignment="1">
      <alignment horizontal="center"/>
    </xf>
    <xf numFmtId="164" fontId="5" fillId="9" borderId="46" xfId="0" applyNumberFormat="1" applyFont="1" applyFill="1" applyBorder="1" applyAlignment="1">
      <alignment horizontal="center"/>
    </xf>
    <xf numFmtId="164" fontId="5" fillId="9" borderId="45" xfId="0" applyNumberFormat="1" applyFont="1" applyFill="1" applyBorder="1" applyAlignment="1">
      <alignment horizontal="center"/>
    </xf>
    <xf numFmtId="164" fontId="5" fillId="9" borderId="56" xfId="0" applyNumberFormat="1" applyFont="1" applyFill="1" applyBorder="1" applyAlignment="1">
      <alignment horizontal="center"/>
    </xf>
    <xf numFmtId="164" fontId="1" fillId="8" borderId="39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vertical="top"/>
    </xf>
    <xf numFmtId="164" fontId="1" fillId="0" borderId="48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top"/>
    </xf>
    <xf numFmtId="49" fontId="1" fillId="6" borderId="75" xfId="0" applyNumberFormat="1" applyFont="1" applyFill="1" applyBorder="1" applyAlignment="1">
      <alignment horizontal="center" vertical="top"/>
    </xf>
    <xf numFmtId="0" fontId="2" fillId="5" borderId="29" xfId="0" applyFont="1" applyFill="1" applyBorder="1" applyAlignment="1">
      <alignment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2" fillId="0" borderId="66" xfId="0" applyNumberFormat="1" applyFont="1" applyBorder="1" applyAlignment="1">
      <alignment horizontal="center" vertical="top"/>
    </xf>
    <xf numFmtId="164" fontId="1" fillId="5" borderId="16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5" fontId="1" fillId="5" borderId="16" xfId="0" applyNumberFormat="1" applyFont="1" applyFill="1" applyBorder="1" applyAlignment="1">
      <alignment horizontal="center" vertical="top"/>
    </xf>
    <xf numFmtId="0" fontId="1" fillId="5" borderId="13" xfId="0" applyNumberFormat="1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/>
    </xf>
    <xf numFmtId="49" fontId="1" fillId="6" borderId="52" xfId="0" applyNumberFormat="1" applyFont="1" applyFill="1" applyBorder="1" applyAlignment="1">
      <alignment horizontal="center" vertical="top"/>
    </xf>
    <xf numFmtId="0" fontId="1" fillId="5" borderId="68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8" borderId="52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35" xfId="0" applyNumberFormat="1" applyFont="1" applyFill="1" applyBorder="1" applyAlignment="1">
      <alignment horizontal="center" vertical="top"/>
    </xf>
    <xf numFmtId="0" fontId="1" fillId="8" borderId="68" xfId="0" applyNumberFormat="1" applyFont="1" applyFill="1" applyBorder="1" applyAlignment="1">
      <alignment horizontal="center" vertical="top"/>
    </xf>
    <xf numFmtId="0" fontId="1" fillId="8" borderId="53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164" fontId="1" fillId="5" borderId="68" xfId="0" applyNumberFormat="1" applyFont="1" applyFill="1" applyBorder="1" applyAlignment="1">
      <alignment horizontal="center" vertical="top"/>
    </xf>
    <xf numFmtId="0" fontId="1" fillId="5" borderId="68" xfId="0" applyNumberFormat="1" applyFont="1" applyFill="1" applyBorder="1" applyAlignment="1">
      <alignment horizontal="center" vertical="top"/>
    </xf>
    <xf numFmtId="0" fontId="1" fillId="5" borderId="26" xfId="0" applyNumberFormat="1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164" fontId="1" fillId="5" borderId="18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0" fontId="1" fillId="5" borderId="43" xfId="0" applyNumberFormat="1" applyFont="1" applyFill="1" applyBorder="1" applyAlignment="1">
      <alignment horizontal="center" vertical="top"/>
    </xf>
    <xf numFmtId="0" fontId="1" fillId="5" borderId="15" xfId="0" applyNumberFormat="1" applyFont="1" applyFill="1" applyBorder="1" applyAlignment="1">
      <alignment horizontal="center" vertical="top"/>
    </xf>
    <xf numFmtId="164" fontId="2" fillId="8" borderId="58" xfId="0" applyNumberFormat="1" applyFont="1" applyFill="1" applyBorder="1" applyAlignment="1">
      <alignment horizontal="center" vertical="top"/>
    </xf>
    <xf numFmtId="164" fontId="2" fillId="8" borderId="54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61" xfId="0" applyNumberFormat="1" applyFont="1" applyFill="1" applyBorder="1" applyAlignment="1">
      <alignment horizontal="center" vertical="top"/>
    </xf>
    <xf numFmtId="0" fontId="1" fillId="8" borderId="2" xfId="0" applyFont="1" applyFill="1" applyBorder="1" applyAlignment="1">
      <alignment horizontal="center" vertical="top"/>
    </xf>
    <xf numFmtId="164" fontId="2" fillId="5" borderId="27" xfId="0" applyNumberFormat="1" applyFont="1" applyFill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/>
    </xf>
    <xf numFmtId="49" fontId="1" fillId="6" borderId="60" xfId="0" applyNumberFormat="1" applyFont="1" applyFill="1" applyBorder="1" applyAlignment="1">
      <alignment horizontal="center" vertical="top"/>
    </xf>
    <xf numFmtId="0" fontId="1" fillId="8" borderId="69" xfId="0" applyFont="1" applyFill="1" applyBorder="1" applyAlignment="1">
      <alignment horizontal="center" vertical="top" wrapText="1"/>
    </xf>
    <xf numFmtId="49" fontId="1" fillId="8" borderId="18" xfId="0" applyNumberFormat="1" applyFont="1" applyFill="1" applyBorder="1" applyAlignment="1">
      <alignment horizontal="center" vertical="top" wrapText="1"/>
    </xf>
    <xf numFmtId="0" fontId="1" fillId="8" borderId="8" xfId="0" applyNumberFormat="1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/>
    </xf>
    <xf numFmtId="0" fontId="1" fillId="5" borderId="60" xfId="0" applyNumberFormat="1" applyFont="1" applyFill="1" applyBorder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/>
    </xf>
    <xf numFmtId="49" fontId="1" fillId="6" borderId="68" xfId="0" applyNumberFormat="1" applyFont="1" applyFill="1" applyBorder="1" applyAlignment="1">
      <alignment horizontal="center" vertical="top"/>
    </xf>
    <xf numFmtId="0" fontId="2" fillId="6" borderId="51" xfId="0" applyFont="1" applyFill="1" applyBorder="1" applyAlignment="1">
      <alignment horizontal="center" vertical="top" wrapText="1"/>
    </xf>
    <xf numFmtId="0" fontId="2" fillId="6" borderId="56" xfId="0" applyFont="1" applyFill="1" applyBorder="1" applyAlignment="1">
      <alignment horizontal="center" vertical="top" wrapText="1"/>
    </xf>
    <xf numFmtId="164" fontId="2" fillId="6" borderId="4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 wrapText="1"/>
    </xf>
    <xf numFmtId="0" fontId="1" fillId="8" borderId="13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vertical="top" wrapText="1"/>
    </xf>
    <xf numFmtId="165" fontId="4" fillId="5" borderId="49" xfId="0" applyNumberFormat="1" applyFont="1" applyFill="1" applyBorder="1" applyAlignment="1">
      <alignment vertical="top" wrapText="1"/>
    </xf>
    <xf numFmtId="0" fontId="4" fillId="5" borderId="4" xfId="0" applyNumberFormat="1" applyFont="1" applyFill="1" applyBorder="1" applyAlignment="1">
      <alignment horizontal="center" vertical="top"/>
    </xf>
    <xf numFmtId="0" fontId="4" fillId="5" borderId="45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164" fontId="4" fillId="5" borderId="30" xfId="0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1" fillId="5" borderId="38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0" fontId="1" fillId="8" borderId="68" xfId="0" applyFont="1" applyFill="1" applyBorder="1" applyAlignment="1">
      <alignment vertical="top" wrapText="1"/>
    </xf>
    <xf numFmtId="165" fontId="4" fillId="5" borderId="37" xfId="0" applyNumberFormat="1" applyFont="1" applyFill="1" applyBorder="1" applyAlignment="1">
      <alignment vertical="top" wrapText="1"/>
    </xf>
    <xf numFmtId="0" fontId="4" fillId="5" borderId="68" xfId="0" applyNumberFormat="1" applyFont="1" applyFill="1" applyBorder="1" applyAlignment="1">
      <alignment horizontal="center" vertical="top"/>
    </xf>
    <xf numFmtId="0" fontId="4" fillId="5" borderId="53" xfId="0" applyNumberFormat="1" applyFont="1" applyFill="1" applyBorder="1" applyAlignment="1">
      <alignment horizontal="center" vertical="top"/>
    </xf>
    <xf numFmtId="0" fontId="5" fillId="8" borderId="13" xfId="0" applyFont="1" applyFill="1" applyBorder="1" applyAlignment="1">
      <alignment vertical="top" wrapText="1"/>
    </xf>
    <xf numFmtId="0" fontId="1" fillId="8" borderId="6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49" fontId="4" fillId="0" borderId="18" xfId="0" applyNumberFormat="1" applyFont="1" applyBorder="1" applyAlignment="1">
      <alignment vertical="top" wrapText="1"/>
    </xf>
    <xf numFmtId="49" fontId="4" fillId="10" borderId="60" xfId="0" applyNumberFormat="1" applyFont="1" applyFill="1" applyBorder="1" applyAlignment="1">
      <alignment vertical="top"/>
    </xf>
    <xf numFmtId="49" fontId="4" fillId="10" borderId="18" xfId="0" applyNumberFormat="1" applyFont="1" applyFill="1" applyBorder="1" applyAlignment="1">
      <alignment vertical="top"/>
    </xf>
    <xf numFmtId="49" fontId="1" fillId="5" borderId="18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center" vertical="top" wrapText="1"/>
    </xf>
    <xf numFmtId="49" fontId="1" fillId="5" borderId="31" xfId="0" applyNumberFormat="1" applyFont="1" applyFill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left" vertical="top"/>
    </xf>
    <xf numFmtId="0" fontId="1" fillId="0" borderId="1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41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164" fontId="1" fillId="8" borderId="61" xfId="0" applyNumberFormat="1" applyFont="1" applyFill="1" applyBorder="1" applyAlignment="1">
      <alignment horizontal="center" vertical="top"/>
    </xf>
    <xf numFmtId="0" fontId="1" fillId="0" borderId="60" xfId="0" applyFont="1" applyFill="1" applyBorder="1" applyAlignment="1">
      <alignment horizontal="left" vertical="top" wrapText="1"/>
    </xf>
    <xf numFmtId="164" fontId="4" fillId="0" borderId="57" xfId="0" applyNumberFormat="1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28" xfId="0" applyNumberFormat="1" applyFont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164" fontId="2" fillId="0" borderId="68" xfId="0" applyNumberFormat="1" applyFont="1" applyFill="1" applyBorder="1" applyAlignment="1">
      <alignment horizontal="center" vertical="top"/>
    </xf>
    <xf numFmtId="164" fontId="2" fillId="0" borderId="53" xfId="0" applyNumberFormat="1" applyFont="1" applyFill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 vertical="top"/>
    </xf>
    <xf numFmtId="164" fontId="1" fillId="0" borderId="38" xfId="0" applyNumberFormat="1" applyFont="1" applyFill="1" applyBorder="1" applyAlignment="1">
      <alignment horizontal="left" vertical="top" wrapText="1"/>
    </xf>
    <xf numFmtId="164" fontId="1" fillId="0" borderId="41" xfId="0" applyNumberFormat="1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center" vertical="center" textRotation="90" wrapText="1"/>
    </xf>
    <xf numFmtId="0" fontId="2" fillId="0" borderId="7" xfId="0" applyNumberFormat="1" applyFont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 wrapText="1"/>
    </xf>
    <xf numFmtId="164" fontId="2" fillId="9" borderId="31" xfId="0" applyNumberFormat="1" applyFont="1" applyFill="1" applyBorder="1" applyAlignment="1">
      <alignment horizontal="center" vertical="top"/>
    </xf>
    <xf numFmtId="164" fontId="2" fillId="9" borderId="41" xfId="0" applyNumberFormat="1" applyFont="1" applyFill="1" applyBorder="1" applyAlignment="1">
      <alignment horizontal="center" vertical="top"/>
    </xf>
    <xf numFmtId="164" fontId="2" fillId="9" borderId="69" xfId="0" applyNumberFormat="1" applyFont="1" applyFill="1" applyBorder="1" applyAlignment="1">
      <alignment horizontal="center" vertical="top"/>
    </xf>
    <xf numFmtId="164" fontId="4" fillId="0" borderId="18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vertical="top"/>
    </xf>
    <xf numFmtId="164" fontId="5" fillId="0" borderId="0" xfId="0" applyNumberFormat="1" applyFont="1" applyBorder="1" applyAlignment="1">
      <alignment vertical="top"/>
    </xf>
    <xf numFmtId="0" fontId="6" fillId="0" borderId="18" xfId="0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vertical="top" wrapText="1"/>
    </xf>
    <xf numFmtId="0" fontId="4" fillId="0" borderId="42" xfId="0" applyFont="1" applyBorder="1" applyAlignment="1">
      <alignment vertical="top"/>
    </xf>
    <xf numFmtId="0" fontId="4" fillId="0" borderId="58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/>
    </xf>
    <xf numFmtId="0" fontId="5" fillId="8" borderId="5" xfId="0" applyFont="1" applyFill="1" applyBorder="1" applyAlignment="1">
      <alignment horizontal="center" vertical="top"/>
    </xf>
    <xf numFmtId="0" fontId="4" fillId="5" borderId="6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61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vertical="top" wrapText="1"/>
    </xf>
    <xf numFmtId="0" fontId="4" fillId="0" borderId="62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13" fillId="0" borderId="18" xfId="0" applyFont="1" applyBorder="1" applyAlignment="1">
      <alignment vertical="center" textRotation="90"/>
    </xf>
    <xf numFmtId="0" fontId="4" fillId="0" borderId="38" xfId="0" applyFont="1" applyFill="1" applyBorder="1" applyAlignment="1">
      <alignment horizontal="left" vertical="top" wrapText="1"/>
    </xf>
    <xf numFmtId="0" fontId="4" fillId="8" borderId="60" xfId="0" applyFont="1" applyFill="1" applyBorder="1" applyAlignment="1">
      <alignment horizontal="center" vertical="top" wrapText="1"/>
    </xf>
    <xf numFmtId="0" fontId="4" fillId="8" borderId="40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vertical="top" wrapText="1"/>
    </xf>
    <xf numFmtId="0" fontId="4" fillId="0" borderId="68" xfId="0" applyNumberFormat="1" applyFont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0" fontId="1" fillId="0" borderId="53" xfId="0" applyNumberFormat="1" applyFont="1" applyBorder="1" applyAlignment="1">
      <alignment horizontal="center" vertical="top"/>
    </xf>
    <xf numFmtId="0" fontId="5" fillId="5" borderId="29" xfId="0" applyFont="1" applyFill="1" applyBorder="1" applyAlignment="1">
      <alignment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5" borderId="75" xfId="0" applyNumberFormat="1" applyFont="1" applyFill="1" applyBorder="1" applyAlignment="1">
      <alignment horizontal="center" vertical="top"/>
    </xf>
    <xf numFmtId="165" fontId="4" fillId="5" borderId="78" xfId="0" applyNumberFormat="1" applyFont="1" applyFill="1" applyBorder="1" applyAlignment="1">
      <alignment horizontal="left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1" fillId="0" borderId="30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9" borderId="48" xfId="0" applyFont="1" applyFill="1" applyBorder="1" applyAlignment="1">
      <alignment horizontal="center" vertical="top" wrapText="1"/>
    </xf>
    <xf numFmtId="1" fontId="4" fillId="0" borderId="67" xfId="0" applyNumberFormat="1" applyFont="1" applyBorder="1" applyAlignment="1">
      <alignment horizontal="center" vertical="top"/>
    </xf>
    <xf numFmtId="1" fontId="4" fillId="0" borderId="63" xfId="0" applyNumberFormat="1" applyFont="1" applyBorder="1" applyAlignment="1">
      <alignment horizontal="center" vertical="top"/>
    </xf>
    <xf numFmtId="1" fontId="4" fillId="0" borderId="17" xfId="0" applyNumberFormat="1" applyFont="1" applyFill="1" applyBorder="1" applyAlignment="1">
      <alignment horizontal="center" vertical="top"/>
    </xf>
    <xf numFmtId="1" fontId="4" fillId="0" borderId="62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/>
    </xf>
    <xf numFmtId="1" fontId="5" fillId="8" borderId="17" xfId="0" applyNumberFormat="1" applyFont="1" applyFill="1" applyBorder="1" applyAlignment="1">
      <alignment horizontal="center" vertical="top"/>
    </xf>
    <xf numFmtId="1" fontId="4" fillId="8" borderId="17" xfId="0" applyNumberFormat="1" applyFont="1" applyFill="1" applyBorder="1" applyAlignment="1">
      <alignment horizontal="center" vertical="top"/>
    </xf>
    <xf numFmtId="1" fontId="5" fillId="8" borderId="63" xfId="0" applyNumberFormat="1" applyFont="1" applyFill="1" applyBorder="1" applyAlignment="1">
      <alignment horizontal="center" vertical="top"/>
    </xf>
    <xf numFmtId="1" fontId="4" fillId="0" borderId="63" xfId="0" applyNumberFormat="1" applyFont="1" applyFill="1" applyBorder="1" applyAlignment="1">
      <alignment horizontal="center" vertical="top"/>
    </xf>
    <xf numFmtId="1" fontId="4" fillId="8" borderId="63" xfId="0" applyNumberFormat="1" applyFont="1" applyFill="1" applyBorder="1" applyAlignment="1">
      <alignment horizontal="center" vertical="top"/>
    </xf>
    <xf numFmtId="1" fontId="1" fillId="8" borderId="62" xfId="0" applyNumberFormat="1" applyFont="1" applyFill="1" applyBorder="1" applyAlignment="1">
      <alignment horizontal="center" vertical="top"/>
    </xf>
    <xf numFmtId="1" fontId="5" fillId="9" borderId="48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center" vertical="top"/>
    </xf>
    <xf numFmtId="1" fontId="4" fillId="0" borderId="16" xfId="0" applyNumberFormat="1" applyFont="1" applyFill="1" applyBorder="1" applyAlignment="1">
      <alignment horizontal="center" vertical="top" wrapText="1"/>
    </xf>
    <xf numFmtId="1" fontId="5" fillId="9" borderId="48" xfId="0" applyNumberFormat="1" applyFont="1" applyFill="1" applyBorder="1" applyAlignment="1">
      <alignment horizontal="center" wrapText="1"/>
    </xf>
    <xf numFmtId="1" fontId="5" fillId="9" borderId="46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7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/>
    </xf>
    <xf numFmtId="1" fontId="5" fillId="9" borderId="67" xfId="0" applyNumberFormat="1" applyFont="1" applyFill="1" applyBorder="1" applyAlignment="1">
      <alignment horizontal="center" vertical="top"/>
    </xf>
    <xf numFmtId="1" fontId="4" fillId="5" borderId="62" xfId="0" applyNumberFormat="1" applyFont="1" applyFill="1" applyBorder="1" applyAlignment="1">
      <alignment horizontal="center" vertical="top"/>
    </xf>
    <xf numFmtId="1" fontId="4" fillId="5" borderId="17" xfId="0" applyNumberFormat="1" applyFont="1" applyFill="1" applyBorder="1" applyAlignment="1">
      <alignment horizontal="center" vertical="top"/>
    </xf>
    <xf numFmtId="1" fontId="4" fillId="5" borderId="63" xfId="0" applyNumberFormat="1" applyFont="1" applyFill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center" vertical="top" wrapText="1"/>
    </xf>
    <xf numFmtId="1" fontId="5" fillId="9" borderId="62" xfId="0" applyNumberFormat="1" applyFont="1" applyFill="1" applyBorder="1" applyAlignment="1">
      <alignment horizontal="center" vertical="top" wrapText="1"/>
    </xf>
    <xf numFmtId="1" fontId="4" fillId="5" borderId="67" xfId="0" applyNumberFormat="1" applyFont="1" applyFill="1" applyBorder="1" applyAlignment="1">
      <alignment horizontal="center" vertical="top" wrapText="1"/>
    </xf>
    <xf numFmtId="1" fontId="4" fillId="5" borderId="62" xfId="0" applyNumberFormat="1" applyFont="1" applyFill="1" applyBorder="1" applyAlignment="1">
      <alignment horizontal="center" vertical="top" wrapText="1"/>
    </xf>
    <xf numFmtId="1" fontId="5" fillId="9" borderId="6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78" xfId="0" applyNumberFormat="1" applyFont="1" applyFill="1" applyBorder="1" applyAlignment="1">
      <alignment horizontal="center" vertical="top" wrapText="1"/>
    </xf>
    <xf numFmtId="1" fontId="4" fillId="0" borderId="63" xfId="0" applyNumberFormat="1" applyFont="1" applyFill="1" applyBorder="1" applyAlignment="1">
      <alignment horizontal="center" vertical="top" wrapText="1"/>
    </xf>
    <xf numFmtId="1" fontId="5" fillId="9" borderId="57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1" fontId="2" fillId="9" borderId="48" xfId="0" applyNumberFormat="1" applyFont="1" applyFill="1" applyBorder="1" applyAlignment="1">
      <alignment horizontal="center" vertical="top" wrapText="1"/>
    </xf>
    <xf numFmtId="1" fontId="1" fillId="0" borderId="16" xfId="0" applyNumberFormat="1" applyFont="1" applyFill="1" applyBorder="1" applyAlignment="1">
      <alignment horizontal="center" vertical="top" wrapText="1"/>
    </xf>
    <xf numFmtId="1" fontId="1" fillId="0" borderId="67" xfId="0" applyNumberFormat="1" applyFont="1" applyFill="1" applyBorder="1" applyAlignment="1">
      <alignment horizontal="center" vertical="top" wrapText="1"/>
    </xf>
    <xf numFmtId="1" fontId="1" fillId="0" borderId="63" xfId="0" applyNumberFormat="1" applyFont="1" applyFill="1" applyBorder="1" applyAlignment="1">
      <alignment horizontal="center" vertical="top" wrapText="1"/>
    </xf>
    <xf numFmtId="1" fontId="1" fillId="0" borderId="17" xfId="0" applyNumberFormat="1" applyFont="1" applyFill="1" applyBorder="1" applyAlignment="1">
      <alignment horizontal="center" vertical="top" wrapText="1"/>
    </xf>
    <xf numFmtId="1" fontId="1" fillId="8" borderId="67" xfId="0" applyNumberFormat="1" applyFont="1" applyFill="1" applyBorder="1" applyAlignment="1">
      <alignment horizontal="center" vertical="top"/>
    </xf>
    <xf numFmtId="1" fontId="1" fillId="8" borderId="63" xfId="0" applyNumberFormat="1" applyFont="1" applyFill="1" applyBorder="1" applyAlignment="1">
      <alignment horizontal="center" vertical="top"/>
    </xf>
    <xf numFmtId="1" fontId="1" fillId="0" borderId="59" xfId="0" applyNumberFormat="1" applyFont="1" applyBorder="1" applyAlignment="1">
      <alignment horizontal="center" vertical="top"/>
    </xf>
    <xf numFmtId="1" fontId="2" fillId="9" borderId="27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1" fontId="2" fillId="2" borderId="55" xfId="0" applyNumberFormat="1" applyFont="1" applyFill="1" applyBorder="1" applyAlignment="1">
      <alignment horizontal="center" vertical="top"/>
    </xf>
    <xf numFmtId="1" fontId="5" fillId="2" borderId="55" xfId="0" applyNumberFormat="1" applyFont="1" applyFill="1" applyBorder="1" applyAlignment="1">
      <alignment horizontal="center" vertical="top"/>
    </xf>
    <xf numFmtId="1" fontId="2" fillId="4" borderId="3" xfId="0" applyNumberFormat="1" applyFont="1" applyFill="1" applyBorder="1" applyAlignment="1">
      <alignment horizontal="center" vertical="top" wrapText="1"/>
    </xf>
    <xf numFmtId="1" fontId="1" fillId="0" borderId="35" xfId="0" applyNumberFormat="1" applyFont="1" applyBorder="1" applyAlignment="1">
      <alignment horizontal="center" vertical="top" wrapText="1"/>
    </xf>
    <xf numFmtId="1" fontId="2" fillId="4" borderId="55" xfId="0" applyNumberFormat="1" applyFont="1" applyFill="1" applyBorder="1" applyAlignment="1">
      <alignment horizontal="center" vertical="top" wrapText="1"/>
    </xf>
    <xf numFmtId="1" fontId="1" fillId="5" borderId="58" xfId="0" applyNumberFormat="1" applyFont="1" applyFill="1" applyBorder="1" applyAlignment="1">
      <alignment horizontal="center" vertical="top" wrapText="1"/>
    </xf>
    <xf numFmtId="1" fontId="1" fillId="5" borderId="35" xfId="0" applyNumberFormat="1" applyFont="1" applyFill="1" applyBorder="1" applyAlignment="1">
      <alignment horizontal="center" vertical="top" wrapText="1"/>
    </xf>
    <xf numFmtId="1" fontId="2" fillId="9" borderId="55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2" fillId="3" borderId="23" xfId="0" applyNumberFormat="1" applyFont="1" applyFill="1" applyBorder="1" applyAlignment="1">
      <alignment horizontal="center" vertical="top"/>
    </xf>
    <xf numFmtId="1" fontId="2" fillId="4" borderId="50" xfId="0" applyNumberFormat="1" applyFont="1" applyFill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1" fontId="5" fillId="9" borderId="56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2" fillId="9" borderId="56" xfId="0" applyNumberFormat="1" applyFont="1" applyFill="1" applyBorder="1" applyAlignment="1">
      <alignment horizontal="center" vertical="top" wrapText="1"/>
    </xf>
    <xf numFmtId="1" fontId="2" fillId="2" borderId="2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" fontId="16" fillId="0" borderId="17" xfId="0" applyNumberFormat="1" applyFont="1" applyFill="1" applyBorder="1" applyAlignment="1">
      <alignment horizontal="center" vertical="top"/>
    </xf>
    <xf numFmtId="1" fontId="16" fillId="8" borderId="3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9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horizontal="left" vertical="top"/>
    </xf>
    <xf numFmtId="0" fontId="1" fillId="8" borderId="18" xfId="0" applyNumberFormat="1" applyFont="1" applyFill="1" applyBorder="1" applyAlignment="1">
      <alignment horizontal="center" vertical="top"/>
    </xf>
    <xf numFmtId="0" fontId="1" fillId="8" borderId="3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49" fontId="1" fillId="8" borderId="31" xfId="0" applyNumberFormat="1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1" fontId="4" fillId="0" borderId="55" xfId="0" applyNumberFormat="1" applyFont="1" applyBorder="1" applyAlignment="1">
      <alignment horizontal="center" vertical="center" wrapText="1"/>
    </xf>
    <xf numFmtId="1" fontId="4" fillId="0" borderId="67" xfId="0" applyNumberFormat="1" applyFont="1" applyFill="1" applyBorder="1" applyAlignment="1">
      <alignment horizontal="center" vertical="top" wrapText="1"/>
    </xf>
    <xf numFmtId="49" fontId="5" fillId="3" borderId="42" xfId="0" applyNumberFormat="1" applyFont="1" applyFill="1" applyBorder="1" applyAlignment="1">
      <alignment vertical="top"/>
    </xf>
    <xf numFmtId="49" fontId="5" fillId="2" borderId="43" xfId="0" applyNumberFormat="1" applyFont="1" applyFill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164" fontId="2" fillId="8" borderId="0" xfId="0" applyNumberFormat="1" applyFont="1" applyFill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right" vertical="top"/>
    </xf>
    <xf numFmtId="49" fontId="2" fillId="2" borderId="18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9" borderId="51" xfId="0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2" fillId="2" borderId="60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top" textRotation="180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vertical="top"/>
    </xf>
    <xf numFmtId="0" fontId="4" fillId="5" borderId="6" xfId="0" applyFont="1" applyFill="1" applyBorder="1" applyAlignment="1">
      <alignment horizontal="center" vertical="top" wrapText="1"/>
    </xf>
    <xf numFmtId="49" fontId="4" fillId="6" borderId="7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49" fontId="4" fillId="10" borderId="18" xfId="0" applyNumberFormat="1" applyFont="1" applyFill="1" applyBorder="1" applyAlignment="1">
      <alignment horizontal="center" vertical="top"/>
    </xf>
    <xf numFmtId="49" fontId="4" fillId="10" borderId="43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center" textRotation="90" wrapText="1"/>
    </xf>
    <xf numFmtId="0" fontId="4" fillId="8" borderId="8" xfId="0" applyFont="1" applyFill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49" fontId="1" fillId="0" borderId="18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164" fontId="1" fillId="0" borderId="26" xfId="0" applyNumberFormat="1" applyFont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49" fontId="2" fillId="6" borderId="46" xfId="0" applyNumberFormat="1" applyFont="1" applyFill="1" applyBorder="1" applyAlignment="1">
      <alignment horizontal="center" vertical="top"/>
    </xf>
    <xf numFmtId="0" fontId="14" fillId="0" borderId="22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vertical="top"/>
    </xf>
    <xf numFmtId="164" fontId="4" fillId="0" borderId="62" xfId="0" applyNumberFormat="1" applyFont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9" borderId="51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49" fontId="5" fillId="3" borderId="22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1" fillId="0" borderId="4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64" fontId="4" fillId="0" borderId="62" xfId="0" applyNumberFormat="1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49" fontId="2" fillId="6" borderId="46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1" fillId="5" borderId="41" xfId="0" applyFont="1" applyFill="1" applyBorder="1" applyAlignment="1">
      <alignment horizontal="left" vertical="top"/>
    </xf>
    <xf numFmtId="0" fontId="1" fillId="8" borderId="18" xfId="0" applyNumberFormat="1" applyFont="1" applyFill="1" applyBorder="1" applyAlignment="1">
      <alignment horizontal="center" vertical="top"/>
    </xf>
    <xf numFmtId="0" fontId="1" fillId="8" borderId="31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0" fontId="5" fillId="5" borderId="54" xfId="0" applyNumberFormat="1" applyFont="1" applyFill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" fillId="0" borderId="6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49" fontId="1" fillId="8" borderId="31" xfId="0" applyNumberFormat="1" applyFont="1" applyFill="1" applyBorder="1" applyAlignment="1">
      <alignment horizontal="center" vertical="top" wrapText="1"/>
    </xf>
    <xf numFmtId="0" fontId="1" fillId="5" borderId="38" xfId="0" applyFont="1" applyFill="1" applyBorder="1" applyAlignment="1">
      <alignment horizontal="left" vertical="top" wrapText="1"/>
    </xf>
    <xf numFmtId="0" fontId="4" fillId="8" borderId="29" xfId="0" applyFont="1" applyFill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top"/>
    </xf>
    <xf numFmtId="164" fontId="1" fillId="9" borderId="37" xfId="0" applyNumberFormat="1" applyFont="1" applyFill="1" applyBorder="1" applyAlignment="1">
      <alignment horizontal="center" vertical="top"/>
    </xf>
    <xf numFmtId="164" fontId="15" fillId="9" borderId="38" xfId="0" applyNumberFormat="1" applyFont="1" applyFill="1" applyBorder="1" applyAlignment="1">
      <alignment horizontal="center" vertical="top"/>
    </xf>
    <xf numFmtId="164" fontId="15" fillId="0" borderId="60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/>
    </xf>
    <xf numFmtId="164" fontId="15" fillId="9" borderId="41" xfId="0" applyNumberFormat="1" applyFont="1" applyFill="1" applyBorder="1" applyAlignment="1">
      <alignment horizontal="center" vertical="top"/>
    </xf>
    <xf numFmtId="164" fontId="15" fillId="0" borderId="18" xfId="0" applyNumberFormat="1" applyFont="1" applyFill="1" applyBorder="1" applyAlignment="1">
      <alignment horizontal="center" vertical="top"/>
    </xf>
    <xf numFmtId="164" fontId="15" fillId="0" borderId="31" xfId="0" applyNumberFormat="1" applyFont="1" applyFill="1" applyBorder="1" applyAlignment="1">
      <alignment horizontal="center" vertical="top"/>
    </xf>
    <xf numFmtId="164" fontId="16" fillId="9" borderId="41" xfId="0" applyNumberFormat="1" applyFont="1" applyFill="1" applyBorder="1" applyAlignment="1">
      <alignment horizontal="center" vertical="top"/>
    </xf>
    <xf numFmtId="164" fontId="16" fillId="8" borderId="18" xfId="0" applyNumberFormat="1" applyFont="1" applyFill="1" applyBorder="1" applyAlignment="1">
      <alignment horizontal="center" vertical="top"/>
    </xf>
    <xf numFmtId="164" fontId="16" fillId="8" borderId="31" xfId="0" applyNumberFormat="1" applyFont="1" applyFill="1" applyBorder="1" applyAlignment="1">
      <alignment horizontal="center" vertical="top"/>
    </xf>
    <xf numFmtId="164" fontId="5" fillId="8" borderId="69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/>
    </xf>
    <xf numFmtId="164" fontId="5" fillId="8" borderId="8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5" fillId="8" borderId="58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horizontal="center" vertical="top"/>
    </xf>
    <xf numFmtId="164" fontId="5" fillId="8" borderId="15" xfId="0" applyNumberFormat="1" applyFont="1" applyFill="1" applyBorder="1" applyAlignment="1">
      <alignment horizontal="center" vertical="top"/>
    </xf>
    <xf numFmtId="164" fontId="5" fillId="8" borderId="5" xfId="0" applyNumberFormat="1" applyFont="1" applyFill="1" applyBorder="1" applyAlignment="1">
      <alignment horizontal="center" vertical="top"/>
    </xf>
    <xf numFmtId="164" fontId="1" fillId="9" borderId="38" xfId="0" applyNumberFormat="1" applyFont="1" applyFill="1" applyBorder="1" applyAlignment="1">
      <alignment horizontal="center" vertical="top"/>
    </xf>
    <xf numFmtId="164" fontId="1" fillId="8" borderId="60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/>
    </xf>
    <xf numFmtId="164" fontId="4" fillId="8" borderId="8" xfId="0" applyNumberFormat="1" applyFont="1" applyFill="1" applyBorder="1" applyAlignment="1">
      <alignment horizontal="center" vertical="top"/>
    </xf>
    <xf numFmtId="164" fontId="1" fillId="9" borderId="6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5" fillId="8" borderId="18" xfId="0" applyNumberFormat="1" applyFont="1" applyFill="1" applyBorder="1" applyAlignment="1">
      <alignment horizontal="center" vertical="top"/>
    </xf>
    <xf numFmtId="164" fontId="2" fillId="8" borderId="72" xfId="0" applyNumberFormat="1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164" fontId="4" fillId="5" borderId="15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28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1" fillId="5" borderId="7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vertical="top"/>
    </xf>
    <xf numFmtId="164" fontId="1" fillId="9" borderId="9" xfId="0" applyNumberFormat="1" applyFont="1" applyFill="1" applyBorder="1" applyAlignment="1">
      <alignment horizontal="center" vertical="top"/>
    </xf>
    <xf numFmtId="164" fontId="4" fillId="0" borderId="2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textRotation="90" wrapText="1"/>
    </xf>
    <xf numFmtId="3" fontId="1" fillId="9" borderId="37" xfId="0" applyNumberFormat="1" applyFont="1" applyFill="1" applyBorder="1" applyAlignment="1">
      <alignment horizontal="center" vertical="top"/>
    </xf>
    <xf numFmtId="3" fontId="4" fillId="0" borderId="63" xfId="0" applyNumberFormat="1" applyFont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center" vertical="top"/>
    </xf>
    <xf numFmtId="3" fontId="1" fillId="0" borderId="61" xfId="0" applyNumberFormat="1" applyFont="1" applyFill="1" applyBorder="1" applyAlignment="1">
      <alignment horizontal="center" vertical="top"/>
    </xf>
    <xf numFmtId="3" fontId="1" fillId="9" borderId="38" xfId="0" applyNumberFormat="1" applyFont="1" applyFill="1" applyBorder="1" applyAlignment="1">
      <alignment horizontal="center" vertical="top"/>
    </xf>
    <xf numFmtId="3" fontId="1" fillId="8" borderId="60" xfId="0" applyNumberFormat="1" applyFont="1" applyFill="1" applyBorder="1" applyAlignment="1">
      <alignment horizontal="center" vertical="top"/>
    </xf>
    <xf numFmtId="3" fontId="1" fillId="8" borderId="40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3" fontId="4" fillId="9" borderId="41" xfId="0" applyNumberFormat="1" applyFont="1" applyFill="1" applyBorder="1" applyAlignment="1">
      <alignment horizontal="center" vertical="top"/>
    </xf>
    <xf numFmtId="3" fontId="4" fillId="8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1" fillId="8" borderId="8" xfId="0" applyNumberFormat="1" applyFont="1" applyFill="1" applyBorder="1" applyAlignment="1">
      <alignment horizontal="center" vertical="top"/>
    </xf>
    <xf numFmtId="3" fontId="5" fillId="8" borderId="17" xfId="0" applyNumberFormat="1" applyFont="1" applyFill="1" applyBorder="1" applyAlignment="1">
      <alignment horizontal="center" vertical="top"/>
    </xf>
    <xf numFmtId="3" fontId="5" fillId="9" borderId="41" xfId="0" applyNumberFormat="1" applyFont="1" applyFill="1" applyBorder="1" applyAlignment="1">
      <alignment horizontal="center" vertical="top"/>
    </xf>
    <xf numFmtId="3" fontId="5" fillId="8" borderId="69" xfId="0" applyNumberFormat="1" applyFont="1" applyFill="1" applyBorder="1" applyAlignment="1">
      <alignment horizontal="center" vertical="top"/>
    </xf>
    <xf numFmtId="3" fontId="5" fillId="8" borderId="7" xfId="0" applyNumberFormat="1" applyFont="1" applyFill="1" applyBorder="1" applyAlignment="1">
      <alignment horizontal="center" vertical="top"/>
    </xf>
    <xf numFmtId="3" fontId="5" fillId="8" borderId="8" xfId="0" applyNumberFormat="1" applyFont="1" applyFill="1" applyBorder="1" applyAlignment="1">
      <alignment horizontal="center" vertical="top"/>
    </xf>
    <xf numFmtId="3" fontId="4" fillId="9" borderId="17" xfId="0" applyNumberFormat="1" applyFont="1" applyFill="1" applyBorder="1" applyAlignment="1">
      <alignment horizontal="center" vertical="top"/>
    </xf>
    <xf numFmtId="3" fontId="4" fillId="8" borderId="18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 vertical="top"/>
    </xf>
    <xf numFmtId="3" fontId="4" fillId="8" borderId="17" xfId="0" applyNumberFormat="1" applyFont="1" applyFill="1" applyBorder="1" applyAlignment="1">
      <alignment horizontal="center" vertical="top"/>
    </xf>
    <xf numFmtId="3" fontId="1" fillId="9" borderId="41" xfId="0" applyNumberFormat="1" applyFont="1" applyFill="1" applyBorder="1" applyAlignment="1">
      <alignment horizontal="center" vertical="top"/>
    </xf>
    <xf numFmtId="3" fontId="1" fillId="8" borderId="69" xfId="0" applyNumberFormat="1" applyFont="1" applyFill="1" applyBorder="1" applyAlignment="1">
      <alignment horizontal="center" vertical="top"/>
    </xf>
    <xf numFmtId="3" fontId="1" fillId="8" borderId="18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3" fontId="1" fillId="8" borderId="31" xfId="0" applyNumberFormat="1" applyFont="1" applyFill="1" applyBorder="1" applyAlignment="1">
      <alignment horizontal="center" vertical="top"/>
    </xf>
    <xf numFmtId="3" fontId="5" fillId="8" borderId="0" xfId="0" applyNumberFormat="1" applyFont="1" applyFill="1" applyBorder="1" applyAlignment="1">
      <alignment horizontal="center" vertical="top"/>
    </xf>
    <xf numFmtId="3" fontId="5" fillId="8" borderId="18" xfId="0" applyNumberFormat="1" applyFont="1" applyFill="1" applyBorder="1" applyAlignment="1">
      <alignment horizontal="center" vertical="top"/>
    </xf>
    <xf numFmtId="3" fontId="1" fillId="8" borderId="7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4" fillId="8" borderId="7" xfId="0" applyNumberFormat="1" applyFont="1" applyFill="1" applyBorder="1" applyAlignment="1">
      <alignment horizontal="center" vertical="top"/>
    </xf>
    <xf numFmtId="3" fontId="1" fillId="9" borderId="17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4" fillId="8" borderId="31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3" fontId="4" fillId="0" borderId="18" xfId="0" applyNumberFormat="1" applyFont="1" applyFill="1" applyBorder="1" applyAlignment="1">
      <alignment horizontal="center" vertical="top"/>
    </xf>
    <xf numFmtId="3" fontId="1" fillId="8" borderId="17" xfId="0" applyNumberFormat="1" applyFont="1" applyFill="1" applyBorder="1" applyAlignment="1">
      <alignment horizontal="center" vertical="top"/>
    </xf>
    <xf numFmtId="3" fontId="2" fillId="8" borderId="69" xfId="0" applyNumberFormat="1" applyFont="1" applyFill="1" applyBorder="1" applyAlignment="1">
      <alignment horizontal="center" vertical="top"/>
    </xf>
    <xf numFmtId="3" fontId="2" fillId="8" borderId="31" xfId="0" applyNumberFormat="1" applyFont="1" applyFill="1" applyBorder="1" applyAlignment="1">
      <alignment horizontal="center" vertical="top"/>
    </xf>
    <xf numFmtId="3" fontId="5" fillId="9" borderId="48" xfId="0" applyNumberFormat="1" applyFont="1" applyFill="1" applyBorder="1" applyAlignment="1">
      <alignment horizontal="center" vertical="top" wrapText="1"/>
    </xf>
    <xf numFmtId="3" fontId="5" fillId="9" borderId="48" xfId="0" applyNumberFormat="1" applyFont="1" applyFill="1" applyBorder="1" applyAlignment="1">
      <alignment horizontal="center" vertical="top"/>
    </xf>
    <xf numFmtId="3" fontId="1" fillId="9" borderId="78" xfId="0" applyNumberFormat="1" applyFont="1" applyFill="1" applyBorder="1" applyAlignment="1">
      <alignment horizontal="center" vertical="top"/>
    </xf>
    <xf numFmtId="3" fontId="1" fillId="0" borderId="29" xfId="0" applyNumberFormat="1" applyFont="1" applyFill="1" applyBorder="1" applyAlignment="1">
      <alignment horizontal="center" vertical="top"/>
    </xf>
    <xf numFmtId="3" fontId="4" fillId="8" borderId="30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/>
    </xf>
    <xf numFmtId="3" fontId="1" fillId="0" borderId="58" xfId="0" applyNumberFormat="1" applyFont="1" applyFill="1" applyBorder="1" applyAlignment="1">
      <alignment horizontal="center" vertical="top"/>
    </xf>
    <xf numFmtId="3" fontId="5" fillId="9" borderId="4" xfId="0" applyNumberFormat="1" applyFont="1" applyFill="1" applyBorder="1" applyAlignment="1">
      <alignment horizontal="center" vertical="top"/>
    </xf>
    <xf numFmtId="3" fontId="5" fillId="9" borderId="73" xfId="0" applyNumberFormat="1" applyFont="1" applyFill="1" applyBorder="1" applyAlignment="1">
      <alignment horizontal="center" vertical="top"/>
    </xf>
    <xf numFmtId="3" fontId="5" fillId="9" borderId="51" xfId="0" applyNumberFormat="1" applyFont="1" applyFill="1" applyBorder="1" applyAlignment="1">
      <alignment horizontal="center" vertical="top"/>
    </xf>
    <xf numFmtId="3" fontId="5" fillId="9" borderId="56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1" fillId="0" borderId="69" xfId="0" applyNumberFormat="1" applyFont="1" applyFill="1" applyBorder="1" applyAlignment="1">
      <alignment horizontal="center" vertical="top"/>
    </xf>
    <xf numFmtId="3" fontId="2" fillId="9" borderId="56" xfId="0" applyNumberFormat="1" applyFont="1" applyFill="1" applyBorder="1" applyAlignment="1">
      <alignment horizontal="center" vertical="top"/>
    </xf>
    <xf numFmtId="3" fontId="2" fillId="9" borderId="51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3" fontId="1" fillId="9" borderId="16" xfId="0" applyNumberFormat="1" applyFont="1" applyFill="1" applyBorder="1" applyAlignment="1">
      <alignment horizontal="center" vertical="top"/>
    </xf>
    <xf numFmtId="3" fontId="1" fillId="0" borderId="13" xfId="0" applyNumberFormat="1" applyFont="1" applyFill="1" applyBorder="1" applyAlignment="1">
      <alignment horizontal="center" vertical="top"/>
    </xf>
    <xf numFmtId="3" fontId="4" fillId="8" borderId="10" xfId="0" applyNumberFormat="1" applyFont="1" applyFill="1" applyBorder="1" applyAlignment="1">
      <alignment horizontal="center" vertical="top"/>
    </xf>
    <xf numFmtId="3" fontId="4" fillId="8" borderId="24" xfId="0" applyNumberFormat="1" applyFont="1" applyFill="1" applyBorder="1" applyAlignment="1">
      <alignment horizontal="center" vertical="top"/>
    </xf>
    <xf numFmtId="3" fontId="2" fillId="2" borderId="23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top" wrapText="1"/>
    </xf>
    <xf numFmtId="3" fontId="4" fillId="9" borderId="22" xfId="0" applyNumberFormat="1" applyFont="1" applyFill="1" applyBorder="1" applyAlignment="1">
      <alignment horizontal="center" vertical="top"/>
    </xf>
    <xf numFmtId="3" fontId="4" fillId="5" borderId="13" xfId="0" applyNumberFormat="1" applyFont="1" applyFill="1" applyBorder="1" applyAlignment="1">
      <alignment horizontal="center" vertical="top"/>
    </xf>
    <xf numFmtId="3" fontId="4" fillId="5" borderId="39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/>
    </xf>
    <xf numFmtId="3" fontId="5" fillId="9" borderId="48" xfId="0" applyNumberFormat="1" applyFont="1" applyFill="1" applyBorder="1" applyAlignment="1">
      <alignment horizontal="center" wrapText="1"/>
    </xf>
    <xf numFmtId="3" fontId="5" fillId="9" borderId="48" xfId="0" applyNumberFormat="1" applyFont="1" applyFill="1" applyBorder="1" applyAlignment="1">
      <alignment horizontal="center"/>
    </xf>
    <xf numFmtId="3" fontId="5" fillId="9" borderId="4" xfId="0" applyNumberFormat="1" applyFont="1" applyFill="1" applyBorder="1" applyAlignment="1">
      <alignment horizontal="center"/>
    </xf>
    <xf numFmtId="3" fontId="5" fillId="9" borderId="46" xfId="0" applyNumberFormat="1" applyFont="1" applyFill="1" applyBorder="1" applyAlignment="1">
      <alignment horizontal="center"/>
    </xf>
    <xf numFmtId="3" fontId="5" fillId="9" borderId="45" xfId="0" applyNumberFormat="1" applyFont="1" applyFill="1" applyBorder="1" applyAlignment="1">
      <alignment horizontal="center"/>
    </xf>
    <xf numFmtId="3" fontId="5" fillId="9" borderId="56" xfId="0" applyNumberFormat="1" applyFont="1" applyFill="1" applyBorder="1" applyAlignment="1">
      <alignment horizontal="center"/>
    </xf>
    <xf numFmtId="3" fontId="4" fillId="0" borderId="74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/>
    </xf>
    <xf numFmtId="3" fontId="4" fillId="8" borderId="0" xfId="0" applyNumberFormat="1" applyFont="1" applyFill="1" applyBorder="1" applyAlignment="1">
      <alignment horizontal="center" vertical="top"/>
    </xf>
    <xf numFmtId="3" fontId="5" fillId="9" borderId="46" xfId="0" applyNumberFormat="1" applyFont="1" applyFill="1" applyBorder="1" applyAlignment="1">
      <alignment horizontal="center" vertical="top" wrapText="1"/>
    </xf>
    <xf numFmtId="3" fontId="5" fillId="9" borderId="47" xfId="0" applyNumberFormat="1" applyFont="1" applyFill="1" applyBorder="1" applyAlignment="1">
      <alignment horizontal="center" vertical="top"/>
    </xf>
    <xf numFmtId="3" fontId="5" fillId="9" borderId="46" xfId="0" applyNumberFormat="1" applyFont="1" applyFill="1" applyBorder="1" applyAlignment="1">
      <alignment horizontal="center" vertical="top"/>
    </xf>
    <xf numFmtId="3" fontId="5" fillId="9" borderId="45" xfId="0" applyNumberFormat="1" applyFont="1" applyFill="1" applyBorder="1" applyAlignment="1">
      <alignment horizontal="center" vertical="top"/>
    </xf>
    <xf numFmtId="3" fontId="4" fillId="0" borderId="3" xfId="0" applyNumberFormat="1" applyFont="1" applyFill="1" applyBorder="1" applyAlignment="1">
      <alignment horizontal="center" vertical="top" wrapText="1"/>
    </xf>
    <xf numFmtId="3" fontId="1" fillId="9" borderId="36" xfId="0" applyNumberFormat="1" applyFont="1" applyFill="1" applyBorder="1" applyAlignment="1">
      <alignment horizontal="center" vertical="top"/>
    </xf>
    <xf numFmtId="3" fontId="1" fillId="5" borderId="29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/>
    </xf>
    <xf numFmtId="3" fontId="2" fillId="9" borderId="48" xfId="0" applyNumberFormat="1" applyFont="1" applyFill="1" applyBorder="1" applyAlignment="1">
      <alignment horizontal="center" vertical="top"/>
    </xf>
    <xf numFmtId="3" fontId="2" fillId="9" borderId="4" xfId="0" applyNumberFormat="1" applyFont="1" applyFill="1" applyBorder="1" applyAlignment="1">
      <alignment horizontal="center" vertical="top"/>
    </xf>
    <xf numFmtId="3" fontId="2" fillId="9" borderId="46" xfId="0" applyNumberFormat="1" applyFont="1" applyFill="1" applyBorder="1" applyAlignment="1">
      <alignment horizontal="center" vertical="top"/>
    </xf>
    <xf numFmtId="3" fontId="2" fillId="9" borderId="45" xfId="0" applyNumberFormat="1" applyFont="1" applyFill="1" applyBorder="1" applyAlignment="1">
      <alignment horizontal="center" vertical="top"/>
    </xf>
    <xf numFmtId="3" fontId="4" fillId="0" borderId="74" xfId="0" applyNumberFormat="1" applyFont="1" applyBorder="1" applyAlignment="1">
      <alignment horizontal="center" vertical="top"/>
    </xf>
    <xf numFmtId="3" fontId="4" fillId="0" borderId="24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3" fontId="4" fillId="9" borderId="42" xfId="0" applyNumberFormat="1" applyFont="1" applyFill="1" applyBorder="1" applyAlignment="1">
      <alignment horizontal="center" vertical="top"/>
    </xf>
    <xf numFmtId="3" fontId="4" fillId="0" borderId="69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65" xfId="0" applyNumberFormat="1" applyFont="1" applyBorder="1" applyAlignment="1">
      <alignment horizontal="center" vertical="top"/>
    </xf>
    <xf numFmtId="3" fontId="2" fillId="9" borderId="47" xfId="0" applyNumberFormat="1" applyFont="1" applyFill="1" applyBorder="1" applyAlignment="1">
      <alignment horizontal="center" vertical="top"/>
    </xf>
    <xf numFmtId="3" fontId="1" fillId="9" borderId="4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5" fillId="2" borderId="23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5" fillId="3" borderId="23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3" fontId="4" fillId="0" borderId="24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/>
    </xf>
    <xf numFmtId="3" fontId="4" fillId="9" borderId="37" xfId="0" applyNumberFormat="1" applyFont="1" applyFill="1" applyBorder="1" applyAlignment="1">
      <alignment horizontal="center" vertical="top"/>
    </xf>
    <xf numFmtId="3" fontId="4" fillId="5" borderId="52" xfId="0" applyNumberFormat="1" applyFont="1" applyFill="1" applyBorder="1" applyAlignment="1">
      <alignment horizontal="center" vertical="top"/>
    </xf>
    <xf numFmtId="3" fontId="4" fillId="5" borderId="53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/>
    </xf>
    <xf numFmtId="3" fontId="4" fillId="0" borderId="28" xfId="0" applyNumberFormat="1" applyFont="1" applyFill="1" applyBorder="1" applyAlignment="1">
      <alignment horizontal="center" vertical="top"/>
    </xf>
    <xf numFmtId="3" fontId="4" fillId="9" borderId="38" xfId="0" applyNumberFormat="1" applyFont="1" applyFill="1" applyBorder="1" applyAlignment="1">
      <alignment horizontal="center" vertical="top"/>
    </xf>
    <xf numFmtId="3" fontId="4" fillId="5" borderId="34" xfId="0" applyNumberFormat="1" applyFont="1" applyFill="1" applyBorder="1" applyAlignment="1">
      <alignment horizontal="center" vertical="top"/>
    </xf>
    <xf numFmtId="3" fontId="4" fillId="5" borderId="40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/>
    </xf>
    <xf numFmtId="3" fontId="4" fillId="5" borderId="54" xfId="0" applyNumberFormat="1" applyFont="1" applyFill="1" applyBorder="1" applyAlignment="1">
      <alignment horizontal="center" vertical="top"/>
    </xf>
    <xf numFmtId="3" fontId="4" fillId="5" borderId="61" xfId="0" applyNumberFormat="1" applyFont="1" applyFill="1" applyBorder="1" applyAlignment="1">
      <alignment horizontal="center" vertical="top"/>
    </xf>
    <xf numFmtId="3" fontId="4" fillId="5" borderId="8" xfId="0" applyNumberFormat="1" applyFont="1" applyFill="1" applyBorder="1" applyAlignment="1">
      <alignment horizontal="center" vertical="top"/>
    </xf>
    <xf numFmtId="3" fontId="5" fillId="9" borderId="67" xfId="0" applyNumberFormat="1" applyFont="1" applyFill="1" applyBorder="1" applyAlignment="1">
      <alignment horizontal="center" vertical="top"/>
    </xf>
    <xf numFmtId="3" fontId="5" fillId="9" borderId="68" xfId="0" applyNumberFormat="1" applyFont="1" applyFill="1" applyBorder="1" applyAlignment="1">
      <alignment horizontal="center" vertical="top"/>
    </xf>
    <xf numFmtId="3" fontId="5" fillId="9" borderId="26" xfId="0" applyNumberFormat="1" applyFont="1" applyFill="1" applyBorder="1" applyAlignment="1">
      <alignment horizontal="center" vertical="top"/>
    </xf>
    <xf numFmtId="3" fontId="5" fillId="9" borderId="2" xfId="0" applyNumberFormat="1" applyFont="1" applyFill="1" applyBorder="1" applyAlignment="1">
      <alignment horizontal="center" vertical="top"/>
    </xf>
    <xf numFmtId="3" fontId="4" fillId="5" borderId="62" xfId="0" applyNumberFormat="1" applyFont="1" applyFill="1" applyBorder="1" applyAlignment="1">
      <alignment horizontal="center" vertical="top"/>
    </xf>
    <xf numFmtId="3" fontId="4" fillId="5" borderId="60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26" xfId="0" applyNumberFormat="1" applyFont="1" applyFill="1" applyBorder="1" applyAlignment="1">
      <alignment horizontal="center" vertical="top"/>
    </xf>
    <xf numFmtId="3" fontId="4" fillId="5" borderId="17" xfId="0" applyNumberFormat="1" applyFont="1" applyFill="1" applyBorder="1" applyAlignment="1">
      <alignment horizontal="center" vertical="top"/>
    </xf>
    <xf numFmtId="3" fontId="4" fillId="5" borderId="18" xfId="0" applyNumberFormat="1" applyFont="1" applyFill="1" applyBorder="1" applyAlignment="1">
      <alignment horizontal="center" vertical="top"/>
    </xf>
    <xf numFmtId="3" fontId="4" fillId="5" borderId="7" xfId="0" applyNumberFormat="1" applyFont="1" applyFill="1" applyBorder="1" applyAlignment="1">
      <alignment horizontal="center" vertical="top"/>
    </xf>
    <xf numFmtId="3" fontId="4" fillId="5" borderId="63" xfId="0" applyNumberFormat="1" applyFont="1" applyFill="1" applyBorder="1" applyAlignment="1">
      <alignment horizontal="center" vertical="top"/>
    </xf>
    <xf numFmtId="3" fontId="4" fillId="9" borderId="63" xfId="0" applyNumberFormat="1" applyFont="1" applyFill="1" applyBorder="1" applyAlignment="1">
      <alignment horizontal="center" vertical="top"/>
    </xf>
    <xf numFmtId="3" fontId="4" fillId="5" borderId="43" xfId="0" applyNumberFormat="1" applyFont="1" applyFill="1" applyBorder="1" applyAlignment="1">
      <alignment horizontal="center" vertical="top"/>
    </xf>
    <xf numFmtId="3" fontId="4" fillId="5" borderId="15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/>
    </xf>
    <xf numFmtId="3" fontId="4" fillId="5" borderId="31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 wrapText="1"/>
    </xf>
    <xf numFmtId="3" fontId="4" fillId="5" borderId="27" xfId="0" applyNumberFormat="1" applyFont="1" applyFill="1" applyBorder="1" applyAlignment="1">
      <alignment horizontal="center" vertical="top"/>
    </xf>
    <xf numFmtId="3" fontId="4" fillId="5" borderId="28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5" borderId="35" xfId="0" applyNumberFormat="1" applyFont="1" applyFill="1" applyBorder="1" applyAlignment="1">
      <alignment horizontal="center" vertical="top"/>
    </xf>
    <xf numFmtId="3" fontId="4" fillId="5" borderId="68" xfId="0" applyNumberFormat="1" applyFont="1" applyFill="1" applyBorder="1" applyAlignment="1">
      <alignment horizontal="center" vertical="top"/>
    </xf>
    <xf numFmtId="3" fontId="4" fillId="5" borderId="26" xfId="0" applyNumberFormat="1" applyFont="1" applyFill="1" applyBorder="1" applyAlignment="1">
      <alignment horizontal="center" vertical="top"/>
    </xf>
    <xf numFmtId="3" fontId="5" fillId="9" borderId="62" xfId="0" applyNumberFormat="1" applyFont="1" applyFill="1" applyBorder="1" applyAlignment="1">
      <alignment horizontal="center" vertical="top" wrapText="1"/>
    </xf>
    <xf numFmtId="3" fontId="2" fillId="9" borderId="38" xfId="0" applyNumberFormat="1" applyFont="1" applyFill="1" applyBorder="1" applyAlignment="1">
      <alignment horizontal="center" vertical="top"/>
    </xf>
    <xf numFmtId="3" fontId="2" fillId="9" borderId="27" xfId="0" applyNumberFormat="1" applyFont="1" applyFill="1" applyBorder="1" applyAlignment="1">
      <alignment horizontal="center" vertical="top"/>
    </xf>
    <xf numFmtId="3" fontId="2" fillId="9" borderId="60" xfId="0" applyNumberFormat="1" applyFont="1" applyFill="1" applyBorder="1" applyAlignment="1">
      <alignment horizontal="center" vertical="top"/>
    </xf>
    <xf numFmtId="3" fontId="2" fillId="9" borderId="28" xfId="0" applyNumberFormat="1" applyFont="1" applyFill="1" applyBorder="1" applyAlignment="1">
      <alignment horizontal="center" vertical="top"/>
    </xf>
    <xf numFmtId="3" fontId="4" fillId="5" borderId="74" xfId="0" applyNumberFormat="1" applyFont="1" applyFill="1" applyBorder="1" applyAlignment="1">
      <alignment horizontal="center" vertical="top"/>
    </xf>
    <xf numFmtId="3" fontId="4" fillId="8" borderId="33" xfId="0" applyNumberFormat="1" applyFont="1" applyFill="1" applyBorder="1" applyAlignment="1">
      <alignment horizontal="center" vertical="top"/>
    </xf>
    <xf numFmtId="3" fontId="4" fillId="8" borderId="68" xfId="0" applyNumberFormat="1" applyFont="1" applyFill="1" applyBorder="1" applyAlignment="1">
      <alignment horizontal="center" vertical="top"/>
    </xf>
    <xf numFmtId="3" fontId="4" fillId="8" borderId="53" xfId="0" applyNumberFormat="1" applyFont="1" applyFill="1" applyBorder="1" applyAlignment="1">
      <alignment horizontal="center" vertical="top"/>
    </xf>
    <xf numFmtId="3" fontId="4" fillId="5" borderId="67" xfId="0" applyNumberFormat="1" applyFont="1" applyFill="1" applyBorder="1" applyAlignment="1">
      <alignment horizontal="center" vertical="top" wrapText="1"/>
    </xf>
    <xf numFmtId="3" fontId="4" fillId="5" borderId="33" xfId="0" applyNumberFormat="1" applyFont="1" applyFill="1" applyBorder="1" applyAlignment="1">
      <alignment horizontal="center" vertical="top"/>
    </xf>
    <xf numFmtId="3" fontId="4" fillId="5" borderId="62" xfId="0" applyNumberFormat="1" applyFont="1" applyFill="1" applyBorder="1" applyAlignment="1">
      <alignment horizontal="center" vertical="top" wrapText="1"/>
    </xf>
    <xf numFmtId="3" fontId="4" fillId="5" borderId="72" xfId="0" applyNumberFormat="1" applyFont="1" applyFill="1" applyBorder="1" applyAlignment="1">
      <alignment horizontal="center" vertical="top"/>
    </xf>
    <xf numFmtId="3" fontId="2" fillId="9" borderId="72" xfId="0" applyNumberFormat="1" applyFont="1" applyFill="1" applyBorder="1" applyAlignment="1">
      <alignment horizontal="center" vertical="top"/>
    </xf>
    <xf numFmtId="3" fontId="2" fillId="9" borderId="40" xfId="0" applyNumberFormat="1" applyFont="1" applyFill="1" applyBorder="1" applyAlignment="1">
      <alignment horizontal="center" vertical="top"/>
    </xf>
    <xf numFmtId="3" fontId="2" fillId="9" borderId="6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/>
    </xf>
    <xf numFmtId="3" fontId="5" fillId="9" borderId="67" xfId="0" applyNumberFormat="1" applyFont="1" applyFill="1" applyBorder="1" applyAlignment="1">
      <alignment horizontal="center" vertical="top" wrapText="1"/>
    </xf>
    <xf numFmtId="3" fontId="5" fillId="9" borderId="35" xfId="0" applyNumberFormat="1" applyFont="1" applyFill="1" applyBorder="1" applyAlignment="1">
      <alignment horizontal="center" vertical="top"/>
    </xf>
    <xf numFmtId="3" fontId="5" fillId="9" borderId="37" xfId="0" applyNumberFormat="1" applyFont="1" applyFill="1" applyBorder="1" applyAlignment="1">
      <alignment horizontal="center" vertical="top"/>
    </xf>
    <xf numFmtId="3" fontId="5" fillId="9" borderId="6" xfId="0" applyNumberFormat="1" applyFont="1" applyFill="1" applyBorder="1" applyAlignment="1">
      <alignment horizontal="center" vertical="top"/>
    </xf>
    <xf numFmtId="3" fontId="5" fillId="9" borderId="28" xfId="0" applyNumberFormat="1" applyFont="1" applyFill="1" applyBorder="1" applyAlignment="1">
      <alignment horizontal="center" vertical="top"/>
    </xf>
    <xf numFmtId="3" fontId="2" fillId="9" borderId="49" xfId="0" applyNumberFormat="1" applyFont="1" applyFill="1" applyBorder="1" applyAlignment="1">
      <alignment horizontal="center" vertical="top"/>
    </xf>
    <xf numFmtId="3" fontId="2" fillId="9" borderId="73" xfId="0" applyNumberFormat="1" applyFont="1" applyFill="1" applyBorder="1" applyAlignment="1">
      <alignment horizontal="center" vertical="top"/>
    </xf>
    <xf numFmtId="3" fontId="1" fillId="9" borderId="2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66" xfId="0" applyNumberFormat="1" applyFont="1" applyFill="1" applyBorder="1" applyAlignment="1">
      <alignment horizontal="center" vertical="top"/>
    </xf>
    <xf numFmtId="3" fontId="1" fillId="5" borderId="39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1" fillId="5" borderId="54" xfId="0" applyNumberFormat="1" applyFont="1" applyFill="1" applyBorder="1" applyAlignment="1">
      <alignment horizontal="center" vertical="top"/>
    </xf>
    <xf numFmtId="3" fontId="1" fillId="5" borderId="61" xfId="0" applyNumberFormat="1" applyFont="1" applyFill="1" applyBorder="1" applyAlignment="1">
      <alignment horizontal="center" vertical="top"/>
    </xf>
    <xf numFmtId="3" fontId="1" fillId="8" borderId="10" xfId="0" applyNumberFormat="1" applyFont="1" applyFill="1" applyBorder="1" applyAlignment="1">
      <alignment horizontal="center" vertical="top"/>
    </xf>
    <xf numFmtId="3" fontId="4" fillId="0" borderId="78" xfId="0" applyNumberFormat="1" applyFont="1" applyFill="1" applyBorder="1" applyAlignment="1">
      <alignment horizontal="center" vertical="top" wrapText="1"/>
    </xf>
    <xf numFmtId="3" fontId="1" fillId="5" borderId="59" xfId="0" applyNumberFormat="1" applyFont="1" applyFill="1" applyBorder="1" applyAlignment="1">
      <alignment horizontal="center" vertical="top"/>
    </xf>
    <xf numFmtId="3" fontId="1" fillId="5" borderId="77" xfId="0" applyNumberFormat="1" applyFont="1" applyFill="1" applyBorder="1" applyAlignment="1">
      <alignment horizontal="center" vertical="top"/>
    </xf>
    <xf numFmtId="3" fontId="4" fillId="8" borderId="60" xfId="0" applyNumberFormat="1" applyFont="1" applyFill="1" applyBorder="1" applyAlignment="1">
      <alignment horizontal="center" vertical="top"/>
    </xf>
    <xf numFmtId="3" fontId="4" fillId="8" borderId="40" xfId="0" applyNumberFormat="1" applyFont="1" applyFill="1" applyBorder="1" applyAlignment="1">
      <alignment horizontal="center" vertical="top"/>
    </xf>
    <xf numFmtId="3" fontId="4" fillId="5" borderId="6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 wrapText="1"/>
    </xf>
    <xf numFmtId="3" fontId="5" fillId="9" borderId="49" xfId="0" applyNumberFormat="1" applyFont="1" applyFill="1" applyBorder="1" applyAlignment="1">
      <alignment horizontal="center" vertical="top"/>
    </xf>
    <xf numFmtId="3" fontId="4" fillId="0" borderId="63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horizontal="center" vertical="top"/>
    </xf>
    <xf numFmtId="3" fontId="5" fillId="9" borderId="57" xfId="0" applyNumberFormat="1" applyFont="1" applyFill="1" applyBorder="1" applyAlignment="1">
      <alignment horizontal="center" vertical="top" wrapText="1"/>
    </xf>
    <xf numFmtId="3" fontId="5" fillId="9" borderId="20" xfId="0" applyNumberFormat="1" applyFont="1" applyFill="1" applyBorder="1" applyAlignment="1">
      <alignment horizontal="center" vertical="top"/>
    </xf>
    <xf numFmtId="3" fontId="5" fillId="9" borderId="44" xfId="0" applyNumberFormat="1" applyFont="1" applyFill="1" applyBorder="1" applyAlignment="1">
      <alignment horizontal="center" vertical="top"/>
    </xf>
    <xf numFmtId="3" fontId="5" fillId="9" borderId="19" xfId="0" applyNumberFormat="1" applyFont="1" applyFill="1" applyBorder="1" applyAlignment="1">
      <alignment horizontal="center" vertical="top"/>
    </xf>
    <xf numFmtId="3" fontId="2" fillId="9" borderId="71" xfId="0" applyNumberFormat="1" applyFont="1" applyFill="1" applyBorder="1" applyAlignment="1">
      <alignment horizontal="center" vertical="top"/>
    </xf>
    <xf numFmtId="3" fontId="2" fillId="9" borderId="50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horizontal="center" vertical="top"/>
    </xf>
    <xf numFmtId="3" fontId="5" fillId="2" borderId="12" xfId="0" applyNumberFormat="1" applyFont="1" applyFill="1" applyBorder="1" applyAlignment="1">
      <alignment horizontal="center" vertical="top"/>
    </xf>
    <xf numFmtId="3" fontId="5" fillId="2" borderId="11" xfId="0" applyNumberFormat="1" applyFont="1" applyFill="1" applyBorder="1" applyAlignment="1">
      <alignment horizontal="center" vertical="top"/>
    </xf>
    <xf numFmtId="3" fontId="5" fillId="2" borderId="55" xfId="0" applyNumberFormat="1" applyFont="1" applyFill="1" applyBorder="1" applyAlignment="1">
      <alignment horizontal="center" vertical="top"/>
    </xf>
    <xf numFmtId="3" fontId="5" fillId="2" borderId="79" xfId="0" applyNumberFormat="1" applyFont="1" applyFill="1" applyBorder="1" applyAlignment="1">
      <alignment horizontal="center" vertical="top"/>
    </xf>
    <xf numFmtId="3" fontId="2" fillId="2" borderId="55" xfId="0" applyNumberFormat="1" applyFont="1" applyFill="1" applyBorder="1" applyAlignment="1">
      <alignment vertical="top"/>
    </xf>
    <xf numFmtId="3" fontId="5" fillId="9" borderId="56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/>
    </xf>
    <xf numFmtId="3" fontId="1" fillId="8" borderId="13" xfId="0" applyNumberFormat="1" applyFont="1" applyFill="1" applyBorder="1" applyAlignment="1">
      <alignment horizontal="center" vertical="top"/>
    </xf>
    <xf numFmtId="3" fontId="1" fillId="8" borderId="39" xfId="0" applyNumberFormat="1" applyFont="1" applyFill="1" applyBorder="1" applyAlignment="1">
      <alignment horizontal="center" vertical="top"/>
    </xf>
    <xf numFmtId="3" fontId="1" fillId="8" borderId="24" xfId="0" applyNumberFormat="1" applyFont="1" applyFill="1" applyBorder="1" applyAlignment="1">
      <alignment horizontal="center" vertical="top"/>
    </xf>
    <xf numFmtId="3" fontId="1" fillId="8" borderId="43" xfId="0" applyNumberFormat="1" applyFont="1" applyFill="1" applyBorder="1" applyAlignment="1">
      <alignment horizontal="center" vertical="top"/>
    </xf>
    <xf numFmtId="3" fontId="2" fillId="9" borderId="56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25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/>
    </xf>
    <xf numFmtId="3" fontId="1" fillId="5" borderId="31" xfId="0" applyNumberFormat="1" applyFont="1" applyFill="1" applyBorder="1" applyAlignment="1">
      <alignment horizontal="center" vertical="top"/>
    </xf>
    <xf numFmtId="3" fontId="1" fillId="8" borderId="5" xfId="0" applyNumberFormat="1" applyFont="1" applyFill="1" applyBorder="1" applyAlignment="1">
      <alignment horizontal="center" vertical="top"/>
    </xf>
    <xf numFmtId="3" fontId="1" fillId="8" borderId="15" xfId="0" applyNumberFormat="1" applyFont="1" applyFill="1" applyBorder="1" applyAlignment="1">
      <alignment horizontal="center" vertical="top"/>
    </xf>
    <xf numFmtId="3" fontId="1" fillId="8" borderId="63" xfId="0" applyNumberFormat="1" applyFont="1" applyFill="1" applyBorder="1" applyAlignment="1">
      <alignment horizontal="center" vertical="top"/>
    </xf>
    <xf numFmtId="3" fontId="2" fillId="9" borderId="48" xfId="0" applyNumberFormat="1" applyFont="1" applyFill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/>
    </xf>
    <xf numFmtId="3" fontId="1" fillId="9" borderId="9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/>
    </xf>
    <xf numFmtId="3" fontId="2" fillId="9" borderId="27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2" fillId="2" borderId="12" xfId="0" applyNumberFormat="1" applyFont="1" applyFill="1" applyBorder="1" applyAlignment="1">
      <alignment horizontal="center" vertical="top"/>
    </xf>
    <xf numFmtId="3" fontId="2" fillId="2" borderId="79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3" borderId="21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/>
    </xf>
    <xf numFmtId="3" fontId="2" fillId="4" borderId="50" xfId="0" applyNumberFormat="1" applyFont="1" applyFill="1" applyBorder="1" applyAlignment="1">
      <alignment horizontal="center" vertical="top"/>
    </xf>
    <xf numFmtId="3" fontId="2" fillId="4" borderId="20" xfId="0" applyNumberFormat="1" applyFont="1" applyFill="1" applyBorder="1" applyAlignment="1">
      <alignment horizontal="center" vertical="top"/>
    </xf>
    <xf numFmtId="3" fontId="2" fillId="4" borderId="19" xfId="0" applyNumberFormat="1" applyFont="1" applyFill="1" applyBorder="1" applyAlignment="1">
      <alignment horizontal="center" vertical="top"/>
    </xf>
    <xf numFmtId="3" fontId="2" fillId="4" borderId="21" xfId="0" applyNumberFormat="1" applyFont="1" applyFill="1" applyBorder="1" applyAlignment="1">
      <alignment horizontal="center" vertical="top"/>
    </xf>
    <xf numFmtId="3" fontId="2" fillId="4" borderId="44" xfId="0" applyNumberFormat="1" applyFont="1" applyFill="1" applyBorder="1" applyAlignment="1">
      <alignment horizontal="center" vertical="top"/>
    </xf>
    <xf numFmtId="3" fontId="2" fillId="8" borderId="3" xfId="0" applyNumberFormat="1" applyFont="1" applyFill="1" applyBorder="1" applyAlignment="1">
      <alignment horizontal="center" vertical="top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5" fillId="4" borderId="10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2" fillId="4" borderId="55" xfId="0" applyNumberFormat="1" applyFont="1" applyFill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1" fillId="5" borderId="58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1" fillId="5" borderId="35" xfId="0" applyNumberFormat="1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2" fillId="9" borderId="55" xfId="0" applyNumberFormat="1" applyFont="1" applyFill="1" applyBorder="1" applyAlignment="1">
      <alignment horizontal="center" vertical="top" wrapText="1"/>
    </xf>
    <xf numFmtId="3" fontId="5" fillId="9" borderId="2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textRotation="90" wrapText="1"/>
    </xf>
    <xf numFmtId="3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49" fontId="2" fillId="8" borderId="0" xfId="0" applyNumberFormat="1" applyFont="1" applyFill="1" applyBorder="1" applyAlignment="1">
      <alignment horizontal="center" vertical="top"/>
    </xf>
    <xf numFmtId="49" fontId="2" fillId="8" borderId="0" xfId="0" applyNumberFormat="1" applyFont="1" applyFill="1" applyBorder="1" applyAlignment="1">
      <alignment horizontal="right" vertical="top"/>
    </xf>
    <xf numFmtId="1" fontId="2" fillId="8" borderId="0" xfId="0" applyNumberFormat="1" applyFont="1" applyFill="1" applyBorder="1" applyAlignment="1">
      <alignment horizontal="center" vertical="top"/>
    </xf>
    <xf numFmtId="3" fontId="4" fillId="8" borderId="3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2" borderId="55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49" fontId="2" fillId="2" borderId="14" xfId="0" applyNumberFormat="1" applyFont="1" applyFill="1" applyBorder="1" applyAlignment="1">
      <alignment vertical="top"/>
    </xf>
    <xf numFmtId="49" fontId="2" fillId="2" borderId="76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horizontal="center" vertical="top"/>
    </xf>
    <xf numFmtId="3" fontId="2" fillId="5" borderId="31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61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49" fontId="5" fillId="5" borderId="43" xfId="0" applyNumberFormat="1" applyFont="1" applyFill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center" vertical="top" wrapText="1"/>
    </xf>
    <xf numFmtId="3" fontId="4" fillId="5" borderId="0" xfId="0" applyNumberFormat="1" applyFont="1" applyFill="1" applyBorder="1" applyAlignment="1">
      <alignment horizontal="center" vertical="top"/>
    </xf>
    <xf numFmtId="3" fontId="5" fillId="5" borderId="0" xfId="0" applyNumberFormat="1" applyFont="1" applyFill="1" applyBorder="1" applyAlignment="1">
      <alignment horizontal="center" vertical="top"/>
    </xf>
    <xf numFmtId="3" fontId="5" fillId="5" borderId="0" xfId="0" applyNumberFormat="1" applyFont="1" applyFill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 textRotation="90"/>
    </xf>
    <xf numFmtId="0" fontId="13" fillId="0" borderId="19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5" fillId="9" borderId="47" xfId="0" applyFont="1" applyFill="1" applyBorder="1" applyAlignment="1">
      <alignment horizontal="center" vertical="top" wrapText="1"/>
    </xf>
    <xf numFmtId="0" fontId="5" fillId="9" borderId="46" xfId="0" applyFont="1" applyFill="1" applyBorder="1" applyAlignment="1">
      <alignment horizontal="center" vertical="top" wrapText="1"/>
    </xf>
    <xf numFmtId="0" fontId="5" fillId="9" borderId="5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5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49" fontId="2" fillId="7" borderId="12" xfId="0" applyNumberFormat="1" applyFont="1" applyFill="1" applyBorder="1" applyAlignment="1">
      <alignment horizontal="left" vertical="top" wrapText="1"/>
    </xf>
    <xf numFmtId="49" fontId="2" fillId="7" borderId="55" xfId="0" applyNumberFormat="1" applyFont="1" applyFill="1" applyBorder="1" applyAlignment="1">
      <alignment horizontal="left" vertical="top" wrapText="1"/>
    </xf>
    <xf numFmtId="49" fontId="2" fillId="7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63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center" textRotation="90" wrapText="1"/>
    </xf>
    <xf numFmtId="49" fontId="4" fillId="0" borderId="68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41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right" vertical="top"/>
    </xf>
    <xf numFmtId="49" fontId="2" fillId="2" borderId="14" xfId="0" applyNumberFormat="1" applyFont="1" applyFill="1" applyBorder="1" applyAlignment="1">
      <alignment horizontal="right" vertical="top"/>
    </xf>
    <xf numFmtId="0" fontId="2" fillId="0" borderId="30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13" fillId="0" borderId="18" xfId="0" applyFont="1" applyBorder="1" applyAlignment="1">
      <alignment horizontal="center" vertical="center" textRotation="90"/>
    </xf>
    <xf numFmtId="49" fontId="4" fillId="0" borderId="18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right" vertical="top"/>
    </xf>
    <xf numFmtId="164" fontId="5" fillId="9" borderId="12" xfId="0" applyNumberFormat="1" applyFont="1" applyFill="1" applyBorder="1" applyAlignment="1">
      <alignment horizontal="center" vertical="top" wrapText="1"/>
    </xf>
    <xf numFmtId="164" fontId="5" fillId="9" borderId="55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lef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right" vertical="top" wrapText="1"/>
    </xf>
    <xf numFmtId="0" fontId="2" fillId="9" borderId="55" xfId="0" applyFont="1" applyFill="1" applyBorder="1" applyAlignment="1">
      <alignment horizontal="right" vertical="top" wrapText="1"/>
    </xf>
    <xf numFmtId="0" fontId="2" fillId="9" borderId="76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4" fillId="5" borderId="2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5" fillId="0" borderId="39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8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horizontal="left" vertical="top" wrapText="1"/>
    </xf>
    <xf numFmtId="0" fontId="2" fillId="0" borderId="31" xfId="0" applyNumberFormat="1" applyFont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" fillId="8" borderId="34" xfId="0" applyFont="1" applyFill="1" applyBorder="1" applyAlignment="1">
      <alignment horizontal="left" vertical="top" wrapText="1"/>
    </xf>
    <xf numFmtId="0" fontId="1" fillId="8" borderId="7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21" xfId="0" applyNumberFormat="1" applyFont="1" applyBorder="1" applyAlignment="1">
      <alignment horizontal="center" vertical="top"/>
    </xf>
    <xf numFmtId="0" fontId="4" fillId="5" borderId="34" xfId="0" applyFont="1" applyFill="1" applyBorder="1" applyAlignment="1">
      <alignment horizontal="left" vertical="top" wrapText="1"/>
    </xf>
    <xf numFmtId="0" fontId="4" fillId="5" borderId="70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57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5" fillId="9" borderId="47" xfId="0" applyFont="1" applyFill="1" applyBorder="1" applyAlignment="1">
      <alignment horizontal="right" vertical="top" wrapText="1"/>
    </xf>
    <xf numFmtId="0" fontId="5" fillId="9" borderId="46" xfId="0" applyFont="1" applyFill="1" applyBorder="1" applyAlignment="1">
      <alignment horizontal="right" vertical="top" wrapText="1"/>
    </xf>
    <xf numFmtId="0" fontId="5" fillId="9" borderId="51" xfId="0" applyFont="1" applyFill="1" applyBorder="1" applyAlignment="1">
      <alignment horizontal="right" vertical="top" wrapText="1"/>
    </xf>
    <xf numFmtId="3" fontId="5" fillId="9" borderId="12" xfId="0" applyNumberFormat="1" applyFont="1" applyFill="1" applyBorder="1" applyAlignment="1">
      <alignment horizontal="center" vertical="top" wrapText="1"/>
    </xf>
    <xf numFmtId="3" fontId="5" fillId="9" borderId="55" xfId="0" applyNumberFormat="1" applyFont="1" applyFill="1" applyBorder="1" applyAlignment="1">
      <alignment horizontal="center" vertical="top" wrapText="1"/>
    </xf>
    <xf numFmtId="0" fontId="1" fillId="5" borderId="67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3" fontId="5" fillId="4" borderId="12" xfId="0" applyNumberFormat="1" applyFont="1" applyFill="1" applyBorder="1" applyAlignment="1">
      <alignment horizontal="center" vertical="top" wrapText="1"/>
    </xf>
    <xf numFmtId="3" fontId="5" fillId="4" borderId="55" xfId="0" applyNumberFormat="1" applyFont="1" applyFill="1" applyBorder="1" applyAlignment="1">
      <alignment horizontal="center" vertical="top" wrapText="1"/>
    </xf>
    <xf numFmtId="3" fontId="5" fillId="4" borderId="76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4" fillId="0" borderId="35" xfId="0" applyNumberFormat="1" applyFont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 vertical="top"/>
    </xf>
    <xf numFmtId="3" fontId="1" fillId="0" borderId="35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5" fillId="4" borderId="16" xfId="0" applyNumberFormat="1" applyFont="1" applyFill="1" applyBorder="1" applyAlignment="1">
      <alignment horizontal="center" vertical="top" wrapText="1"/>
    </xf>
    <xf numFmtId="3" fontId="5" fillId="4" borderId="3" xfId="0" applyNumberFormat="1" applyFont="1" applyFill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76" xfId="0" applyNumberFormat="1" applyFont="1" applyBorder="1" applyAlignment="1">
      <alignment horizontal="center" vertical="center" wrapText="1"/>
    </xf>
    <xf numFmtId="49" fontId="2" fillId="2" borderId="76" xfId="0" applyNumberFormat="1" applyFont="1" applyFill="1" applyBorder="1" applyAlignment="1">
      <alignment horizontal="right" vertical="top"/>
    </xf>
    <xf numFmtId="0" fontId="2" fillId="0" borderId="13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70" xfId="0" applyFont="1" applyFill="1" applyBorder="1" applyAlignment="1">
      <alignment horizontal="center" vertical="center" textRotation="90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2" fillId="0" borderId="39" xfId="0" applyNumberFormat="1" applyFont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8" xfId="0" applyFont="1" applyFill="1" applyBorder="1" applyAlignment="1">
      <alignment vertical="center" textRotation="90" wrapText="1"/>
    </xf>
    <xf numFmtId="0" fontId="2" fillId="0" borderId="19" xfId="0" applyFont="1" applyFill="1" applyBorder="1" applyAlignment="1">
      <alignment vertical="center" textRotation="90" wrapText="1"/>
    </xf>
    <xf numFmtId="0" fontId="2" fillId="0" borderId="75" xfId="0" applyNumberFormat="1" applyFont="1" applyBorder="1" applyAlignment="1">
      <alignment horizontal="center" vertical="top"/>
    </xf>
    <xf numFmtId="0" fontId="2" fillId="0" borderId="32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4" fillId="0" borderId="74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5" fillId="5" borderId="66" xfId="0" applyNumberFormat="1" applyFont="1" applyFill="1" applyBorder="1" applyAlignment="1">
      <alignment horizontal="center" vertical="top"/>
    </xf>
    <xf numFmtId="0" fontId="5" fillId="5" borderId="32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left" vertical="top" wrapText="1"/>
    </xf>
    <xf numFmtId="165" fontId="1" fillId="5" borderId="41" xfId="0" applyNumberFormat="1" applyFont="1" applyFill="1" applyBorder="1" applyAlignment="1">
      <alignment horizontal="left" vertical="top" wrapText="1"/>
    </xf>
    <xf numFmtId="165" fontId="1" fillId="5" borderId="20" xfId="0" applyNumberFormat="1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44" xfId="0" applyFont="1" applyFill="1" applyBorder="1" applyAlignment="1">
      <alignment horizontal="center" vertical="top" wrapText="1"/>
    </xf>
    <xf numFmtId="49" fontId="1" fillId="8" borderId="31" xfId="0" applyNumberFormat="1" applyFont="1" applyFill="1" applyBorder="1" applyAlignment="1">
      <alignment horizontal="center" vertical="top" wrapText="1"/>
    </xf>
    <xf numFmtId="49" fontId="1" fillId="8" borderId="21" xfId="0" applyNumberFormat="1" applyFont="1" applyFill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0" fontId="4" fillId="8" borderId="60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center" textRotation="90" wrapText="1"/>
    </xf>
    <xf numFmtId="0" fontId="1" fillId="8" borderId="60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8" borderId="34" xfId="0" applyFont="1" applyFill="1" applyBorder="1" applyAlignment="1">
      <alignment horizontal="left" vertical="top" wrapText="1"/>
    </xf>
    <xf numFmtId="0" fontId="4" fillId="8" borderId="32" xfId="0" applyFont="1" applyFill="1" applyBorder="1" applyAlignment="1">
      <alignment horizontal="left" vertical="top" wrapText="1"/>
    </xf>
    <xf numFmtId="0" fontId="2" fillId="0" borderId="34" xfId="0" applyNumberFormat="1" applyFont="1" applyFill="1" applyBorder="1" applyAlignment="1">
      <alignment horizontal="center" vertical="top"/>
    </xf>
    <xf numFmtId="0" fontId="4" fillId="8" borderId="4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55" xfId="0" applyNumberFormat="1" applyFont="1" applyFill="1" applyBorder="1" applyAlignment="1">
      <alignment horizontal="center" vertical="top"/>
    </xf>
    <xf numFmtId="0" fontId="5" fillId="2" borderId="76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right" vertical="top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5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left" vertical="top" wrapText="1"/>
    </xf>
    <xf numFmtId="0" fontId="2" fillId="0" borderId="40" xfId="0" applyNumberFormat="1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0" borderId="2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8" borderId="29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horizontal="left" vertical="top" wrapText="1"/>
    </xf>
    <xf numFmtId="0" fontId="5" fillId="0" borderId="45" xfId="0" applyNumberFormat="1" applyFont="1" applyBorder="1" applyAlignment="1">
      <alignment horizontal="center" vertical="top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4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4" fillId="0" borderId="29" xfId="0" applyFont="1" applyFill="1" applyBorder="1" applyAlignment="1">
      <alignment vertical="center" textRotation="90" wrapText="1"/>
    </xf>
    <xf numFmtId="0" fontId="4" fillId="0" borderId="4" xfId="0" applyFont="1" applyFill="1" applyBorder="1" applyAlignment="1">
      <alignment vertical="center" textRotation="90" wrapText="1"/>
    </xf>
    <xf numFmtId="164" fontId="4" fillId="5" borderId="41" xfId="0" applyNumberFormat="1" applyFont="1" applyFill="1" applyBorder="1" applyAlignment="1">
      <alignment horizontal="left" vertical="top" wrapText="1"/>
    </xf>
    <xf numFmtId="49" fontId="5" fillId="0" borderId="61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5" fillId="0" borderId="6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textRotation="180" wrapText="1"/>
    </xf>
    <xf numFmtId="49" fontId="5" fillId="0" borderId="53" xfId="0" applyNumberFormat="1" applyFont="1" applyFill="1" applyBorder="1" applyAlignment="1">
      <alignment horizontal="center" vertical="top"/>
    </xf>
    <xf numFmtId="49" fontId="5" fillId="0" borderId="40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24" xfId="0" applyNumberFormat="1" applyFont="1" applyBorder="1" applyAlignment="1">
      <alignment horizontal="center" vertical="center" textRotation="90" wrapText="1"/>
    </xf>
    <xf numFmtId="3" fontId="4" fillId="0" borderId="17" xfId="0" applyNumberFormat="1" applyFont="1" applyBorder="1" applyAlignment="1">
      <alignment horizontal="center" vertical="center" textRotation="90" wrapText="1"/>
    </xf>
    <xf numFmtId="3" fontId="4" fillId="0" borderId="0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/>
    </xf>
    <xf numFmtId="3" fontId="4" fillId="0" borderId="57" xfId="0" applyNumberFormat="1" applyFont="1" applyBorder="1" applyAlignment="1">
      <alignment horizontal="center" vertical="center" textRotation="90" wrapText="1"/>
    </xf>
    <xf numFmtId="3" fontId="4" fillId="0" borderId="44" xfId="0" applyNumberFormat="1" applyFont="1" applyBorder="1" applyAlignment="1">
      <alignment horizontal="center" vertical="center" textRotation="90" wrapText="1"/>
    </xf>
    <xf numFmtId="3" fontId="4" fillId="0" borderId="71" xfId="0" applyNumberFormat="1" applyFont="1" applyBorder="1" applyAlignment="1">
      <alignment horizontal="center" vertical="center" textRotation="90" wrapText="1"/>
    </xf>
    <xf numFmtId="3" fontId="4" fillId="0" borderId="10" xfId="0" applyNumberFormat="1" applyFont="1" applyBorder="1" applyAlignment="1">
      <alignment horizontal="center" vertical="center" textRotation="90" wrapText="1"/>
    </xf>
    <xf numFmtId="3" fontId="4" fillId="0" borderId="8" xfId="0" applyNumberFormat="1" applyFont="1" applyBorder="1" applyAlignment="1">
      <alignment horizontal="center" vertical="center" textRotation="90" wrapText="1"/>
    </xf>
    <xf numFmtId="3" fontId="4" fillId="0" borderId="50" xfId="0" applyNumberFormat="1" applyFont="1" applyBorder="1" applyAlignment="1">
      <alignment horizontal="center" vertical="center" textRotation="90" wrapText="1"/>
    </xf>
    <xf numFmtId="0" fontId="4" fillId="0" borderId="6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49" fontId="5" fillId="0" borderId="61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0" fontId="1" fillId="5" borderId="38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left" vertical="top" wrapText="1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17" xfId="0" applyNumberFormat="1" applyFont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5" fontId="4" fillId="0" borderId="42" xfId="0" applyNumberFormat="1" applyFont="1" applyFill="1" applyBorder="1" applyAlignment="1">
      <alignment horizontal="left" vertical="top" wrapText="1"/>
    </xf>
    <xf numFmtId="49" fontId="4" fillId="10" borderId="60" xfId="0" applyNumberFormat="1" applyFont="1" applyFill="1" applyBorder="1" applyAlignment="1">
      <alignment horizontal="center" vertical="top"/>
    </xf>
    <xf numFmtId="49" fontId="4" fillId="10" borderId="18" xfId="0" applyNumberFormat="1" applyFont="1" applyFill="1" applyBorder="1" applyAlignment="1">
      <alignment horizontal="center" vertical="top"/>
    </xf>
    <xf numFmtId="0" fontId="4" fillId="8" borderId="54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/>
    </xf>
    <xf numFmtId="49" fontId="4" fillId="0" borderId="54" xfId="0" applyNumberFormat="1" applyFont="1" applyBorder="1" applyAlignment="1">
      <alignment horizontal="center" vertical="top"/>
    </xf>
    <xf numFmtId="0" fontId="2" fillId="0" borderId="54" xfId="0" applyNumberFormat="1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 wrapText="1"/>
    </xf>
    <xf numFmtId="165" fontId="4" fillId="5" borderId="42" xfId="0" applyNumberFormat="1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42" xfId="0" applyFont="1" applyFill="1" applyBorder="1" applyAlignment="1">
      <alignment horizontal="left" vertical="top" wrapText="1"/>
    </xf>
    <xf numFmtId="165" fontId="1" fillId="5" borderId="42" xfId="0" applyNumberFormat="1" applyFont="1" applyFill="1" applyBorder="1" applyAlignment="1">
      <alignment horizontal="left" vertical="top" wrapText="1"/>
    </xf>
    <xf numFmtId="165" fontId="5" fillId="6" borderId="48" xfId="0" applyNumberFormat="1" applyFont="1" applyFill="1" applyBorder="1" applyAlignment="1">
      <alignment horizontal="center" vertical="top" wrapText="1"/>
    </xf>
    <xf numFmtId="165" fontId="5" fillId="6" borderId="46" xfId="0" applyNumberFormat="1" applyFont="1" applyFill="1" applyBorder="1" applyAlignment="1">
      <alignment horizontal="center" vertical="top" wrapText="1"/>
    </xf>
    <xf numFmtId="165" fontId="5" fillId="6" borderId="51" xfId="0" applyNumberFormat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49" fontId="2" fillId="6" borderId="46" xfId="0" applyNumberFormat="1" applyFont="1" applyFill="1" applyBorder="1" applyAlignment="1">
      <alignment horizontal="center" vertical="top"/>
    </xf>
    <xf numFmtId="49" fontId="2" fillId="6" borderId="51" xfId="0" applyNumberFormat="1" applyFont="1" applyFill="1" applyBorder="1" applyAlignment="1">
      <alignment horizontal="center" vertical="top"/>
    </xf>
    <xf numFmtId="0" fontId="1" fillId="5" borderId="54" xfId="0" applyFont="1" applyFill="1" applyBorder="1" applyAlignment="1">
      <alignment horizontal="left" vertical="top" wrapText="1"/>
    </xf>
    <xf numFmtId="0" fontId="1" fillId="5" borderId="52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164" fontId="1" fillId="0" borderId="67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0" fontId="2" fillId="0" borderId="66" xfId="0" applyFont="1" applyFill="1" applyBorder="1" applyAlignment="1">
      <alignment horizontal="center" vertical="center" textRotation="90" wrapText="1"/>
    </xf>
    <xf numFmtId="0" fontId="2" fillId="0" borderId="70" xfId="0" applyFont="1" applyFill="1" applyBorder="1" applyAlignment="1">
      <alignment horizontal="center" vertical="center" textRotation="90" wrapText="1"/>
    </xf>
    <xf numFmtId="0" fontId="1" fillId="0" borderId="3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textRotation="90" wrapText="1"/>
    </xf>
    <xf numFmtId="0" fontId="1" fillId="5" borderId="41" xfId="0" applyFont="1" applyFill="1" applyBorder="1" applyAlignment="1">
      <alignment horizontal="left" vertical="top"/>
    </xf>
    <xf numFmtId="0" fontId="1" fillId="5" borderId="42" xfId="0" applyFont="1" applyFill="1" applyBorder="1" applyAlignment="1">
      <alignment horizontal="left" vertical="top"/>
    </xf>
    <xf numFmtId="0" fontId="1" fillId="8" borderId="18" xfId="0" applyNumberFormat="1" applyFont="1" applyFill="1" applyBorder="1" applyAlignment="1">
      <alignment horizontal="center" vertical="top"/>
    </xf>
    <xf numFmtId="0" fontId="1" fillId="8" borderId="43" xfId="0" applyNumberFormat="1" applyFont="1" applyFill="1" applyBorder="1" applyAlignment="1">
      <alignment horizontal="center" vertical="top"/>
    </xf>
    <xf numFmtId="0" fontId="1" fillId="8" borderId="31" xfId="0" applyNumberFormat="1" applyFont="1" applyFill="1" applyBorder="1" applyAlignment="1">
      <alignment horizontal="center" vertical="top"/>
    </xf>
    <xf numFmtId="0" fontId="1" fillId="8" borderId="61" xfId="0" applyNumberFormat="1" applyFont="1" applyFill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44" xfId="0" applyNumberFormat="1" applyFont="1" applyBorder="1" applyAlignment="1">
      <alignment horizontal="center" vertical="top"/>
    </xf>
    <xf numFmtId="49" fontId="1" fillId="10" borderId="60" xfId="0" applyNumberFormat="1" applyFont="1" applyFill="1" applyBorder="1" applyAlignment="1">
      <alignment horizontal="center" vertical="top"/>
    </xf>
    <xf numFmtId="49" fontId="1" fillId="10" borderId="18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5" fillId="0" borderId="74" xfId="0" applyFont="1" applyFill="1" applyBorder="1" applyAlignment="1">
      <alignment horizontal="center" vertical="center" textRotation="90" wrapText="1"/>
    </xf>
    <xf numFmtId="0" fontId="5" fillId="0" borderId="65" xfId="0" applyFont="1" applyFill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0" fontId="5" fillId="5" borderId="54" xfId="0" applyNumberFormat="1" applyFont="1" applyFill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49" fontId="1" fillId="5" borderId="29" xfId="0" applyNumberFormat="1" applyFont="1" applyFill="1" applyBorder="1" applyAlignment="1">
      <alignment horizontal="center" vertical="top"/>
    </xf>
    <xf numFmtId="49" fontId="1" fillId="5" borderId="4" xfId="0" applyNumberFormat="1" applyFont="1" applyFill="1" applyBorder="1" applyAlignment="1">
      <alignment horizontal="center" vertical="top"/>
    </xf>
    <xf numFmtId="49" fontId="4" fillId="10" borderId="68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left" vertical="top" wrapText="1"/>
    </xf>
    <xf numFmtId="0" fontId="5" fillId="0" borderId="34" xfId="0" applyNumberFormat="1" applyFont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right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49" fontId="4" fillId="10" borderId="43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60" xfId="0" applyFont="1" applyFill="1" applyBorder="1" applyAlignment="1">
      <alignment horizontal="center" vertical="top" textRotation="180" wrapText="1"/>
    </xf>
    <xf numFmtId="49" fontId="4" fillId="10" borderId="35" xfId="0" applyNumberFormat="1" applyFont="1" applyFill="1" applyBorder="1" applyAlignment="1">
      <alignment horizontal="center" vertical="top"/>
    </xf>
    <xf numFmtId="49" fontId="4" fillId="10" borderId="27" xfId="0" applyNumberFormat="1" applyFont="1" applyFill="1" applyBorder="1" applyAlignment="1">
      <alignment horizontal="center" vertical="top"/>
    </xf>
    <xf numFmtId="49" fontId="5" fillId="6" borderId="46" xfId="0" applyNumberFormat="1" applyFont="1" applyFill="1" applyBorder="1" applyAlignment="1">
      <alignment horizontal="center" vertical="top"/>
    </xf>
    <xf numFmtId="49" fontId="5" fillId="6" borderId="51" xfId="0" applyNumberFormat="1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49" fontId="5" fillId="0" borderId="34" xfId="0" applyNumberFormat="1" applyFont="1" applyFill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4" fillId="10" borderId="13" xfId="0" applyNumberFormat="1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left" vertical="top" wrapText="1"/>
    </xf>
    <xf numFmtId="49" fontId="4" fillId="6" borderId="70" xfId="0" applyNumberFormat="1" applyFont="1" applyFill="1" applyBorder="1" applyAlignment="1">
      <alignment horizontal="center" vertical="top"/>
    </xf>
    <xf numFmtId="49" fontId="4" fillId="6" borderId="44" xfId="0" applyNumberFormat="1" applyFont="1" applyFill="1" applyBorder="1" applyAlignment="1">
      <alignment horizontal="center" vertical="top"/>
    </xf>
    <xf numFmtId="49" fontId="4" fillId="6" borderId="71" xfId="0" applyNumberFormat="1" applyFont="1" applyFill="1" applyBorder="1" applyAlignment="1">
      <alignment horizontal="center" vertical="top"/>
    </xf>
    <xf numFmtId="0" fontId="1" fillId="5" borderId="22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center" vertical="top"/>
    </xf>
    <xf numFmtId="0" fontId="3" fillId="0" borderId="6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60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40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center" textRotation="90" wrapText="1"/>
    </xf>
    <xf numFmtId="1" fontId="4" fillId="0" borderId="8" xfId="0" applyNumberFormat="1" applyFont="1" applyBorder="1" applyAlignment="1">
      <alignment horizontal="center" vertical="center" textRotation="90" wrapText="1"/>
    </xf>
    <xf numFmtId="1" fontId="4" fillId="0" borderId="50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4" fontId="4" fillId="0" borderId="3" xfId="0" applyNumberFormat="1" applyFont="1" applyBorder="1" applyAlignment="1">
      <alignment horizontal="center" vertical="center" textRotation="90" wrapText="1"/>
    </xf>
    <xf numFmtId="164" fontId="4" fillId="0" borderId="24" xfId="0" applyNumberFormat="1" applyFont="1" applyBorder="1" applyAlignment="1">
      <alignment horizontal="center" vertical="center" textRotation="90" wrapText="1"/>
    </xf>
    <xf numFmtId="164" fontId="4" fillId="0" borderId="17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Border="1" applyAlignment="1">
      <alignment horizontal="center" vertical="center" textRotation="90" wrapText="1"/>
    </xf>
    <xf numFmtId="164" fontId="4" fillId="0" borderId="7" xfId="0" applyNumberFormat="1" applyFont="1" applyBorder="1" applyAlignment="1">
      <alignment horizontal="center" vertical="center" textRotation="90" wrapText="1"/>
    </xf>
    <xf numFmtId="164" fontId="4" fillId="0" borderId="57" xfId="0" applyNumberFormat="1" applyFont="1" applyBorder="1" applyAlignment="1">
      <alignment horizontal="center" vertical="center" textRotation="90" wrapText="1"/>
    </xf>
    <xf numFmtId="164" fontId="4" fillId="0" borderId="44" xfId="0" applyNumberFormat="1" applyFont="1" applyBorder="1" applyAlignment="1">
      <alignment horizontal="center" vertical="center" textRotation="90" wrapText="1"/>
    </xf>
    <xf numFmtId="164" fontId="4" fillId="0" borderId="71" xfId="0" applyNumberFormat="1" applyFont="1" applyBorder="1" applyAlignment="1">
      <alignment horizontal="center" vertical="center" textRotation="90" wrapText="1"/>
    </xf>
    <xf numFmtId="164" fontId="4" fillId="0" borderId="10" xfId="0" applyNumberFormat="1" applyFont="1" applyBorder="1" applyAlignment="1">
      <alignment horizontal="center" vertical="center" textRotation="90" wrapText="1"/>
    </xf>
    <xf numFmtId="164" fontId="4" fillId="0" borderId="8" xfId="0" applyNumberFormat="1" applyFont="1" applyBorder="1" applyAlignment="1">
      <alignment horizontal="center" vertical="center" textRotation="90" wrapText="1"/>
    </xf>
    <xf numFmtId="164" fontId="4" fillId="0" borderId="50" xfId="0" applyNumberFormat="1" applyFont="1" applyBorder="1" applyAlignment="1">
      <alignment horizontal="center" vertical="center" textRotation="90" wrapText="1"/>
    </xf>
    <xf numFmtId="0" fontId="5" fillId="0" borderId="53" xfId="0" applyNumberFormat="1" applyFont="1" applyBorder="1" applyAlignment="1">
      <alignment horizontal="center" vertical="top"/>
    </xf>
    <xf numFmtId="0" fontId="4" fillId="5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/>
    </xf>
    <xf numFmtId="0" fontId="4" fillId="0" borderId="61" xfId="0" applyFont="1" applyFill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76" xfId="0" applyNumberFormat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="110" zoomScaleNormal="110" zoomScaleSheetLayoutView="100" workbookViewId="0">
      <selection activeCell="V24" sqref="V24:V25"/>
    </sheetView>
  </sheetViews>
  <sheetFormatPr defaultRowHeight="12.75" x14ac:dyDescent="0.2"/>
  <cols>
    <col min="1" max="3" width="2.42578125" style="6" customWidth="1"/>
    <col min="4" max="4" width="36.7109375" style="6" customWidth="1"/>
    <col min="5" max="5" width="3.5703125" style="250" customWidth="1"/>
    <col min="6" max="6" width="2.85546875" style="250" customWidth="1"/>
    <col min="7" max="7" width="3" style="72" customWidth="1"/>
    <col min="8" max="8" width="8.140625" style="294" customWidth="1"/>
    <col min="9" max="9" width="9.5703125" style="6" customWidth="1"/>
    <col min="10" max="11" width="8.140625" style="6" customWidth="1"/>
    <col min="12" max="12" width="7.42578125" style="6" customWidth="1"/>
    <col min="13" max="13" width="8.42578125" style="6" customWidth="1"/>
    <col min="14" max="14" width="8.28515625" style="6" customWidth="1"/>
    <col min="15" max="15" width="19.7109375" style="6" customWidth="1"/>
    <col min="16" max="16" width="6.140625" style="18" customWidth="1"/>
    <col min="17" max="17" width="6.85546875" style="72" customWidth="1"/>
    <col min="18" max="18" width="5.85546875" style="71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 x14ac:dyDescent="0.2">
      <c r="A1" s="2079" t="s">
        <v>222</v>
      </c>
      <c r="B1" s="2079"/>
      <c r="C1" s="2079"/>
      <c r="D1" s="2079"/>
      <c r="E1" s="2079"/>
      <c r="F1" s="2079"/>
      <c r="G1" s="2079"/>
      <c r="H1" s="2079"/>
      <c r="I1" s="2079"/>
      <c r="J1" s="2079"/>
      <c r="K1" s="2079"/>
      <c r="L1" s="2079"/>
      <c r="M1" s="2079"/>
      <c r="N1" s="2079"/>
      <c r="O1" s="2079"/>
      <c r="P1" s="2079"/>
      <c r="Q1" s="2079"/>
      <c r="R1" s="2079"/>
    </row>
    <row r="2" spans="1:24" ht="18" customHeight="1" x14ac:dyDescent="0.2">
      <c r="A2" s="2086" t="s">
        <v>39</v>
      </c>
      <c r="B2" s="2086"/>
      <c r="C2" s="2086"/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2086"/>
      <c r="O2" s="2086"/>
      <c r="P2" s="2086"/>
      <c r="Q2" s="2086"/>
      <c r="R2" s="2086"/>
    </row>
    <row r="3" spans="1:24" ht="15" customHeight="1" x14ac:dyDescent="0.2">
      <c r="A3" s="2087" t="s">
        <v>230</v>
      </c>
      <c r="B3" s="2087"/>
      <c r="C3" s="2087"/>
      <c r="D3" s="2087"/>
      <c r="E3" s="2087"/>
      <c r="F3" s="2087"/>
      <c r="G3" s="2087"/>
      <c r="H3" s="2087"/>
      <c r="I3" s="2087"/>
      <c r="J3" s="2087"/>
      <c r="K3" s="2087"/>
      <c r="L3" s="2087"/>
      <c r="M3" s="2087"/>
      <c r="N3" s="2087"/>
      <c r="O3" s="2087"/>
      <c r="P3" s="2087"/>
      <c r="Q3" s="2087"/>
      <c r="R3" s="2087"/>
    </row>
    <row r="4" spans="1:24" ht="15" customHeight="1" thickBot="1" x14ac:dyDescent="0.25">
      <c r="A4" s="468"/>
      <c r="B4" s="468"/>
      <c r="C4" s="2100" t="s">
        <v>8</v>
      </c>
      <c r="D4" s="2100"/>
      <c r="E4" s="2100"/>
      <c r="F4" s="2100"/>
      <c r="G4" s="2100"/>
      <c r="H4" s="2100"/>
      <c r="I4" s="2100"/>
      <c r="J4" s="2100"/>
      <c r="K4" s="2100"/>
      <c r="L4" s="2100"/>
      <c r="M4" s="2100"/>
      <c r="N4" s="2100"/>
      <c r="O4" s="2100"/>
      <c r="P4" s="2100"/>
      <c r="Q4" s="2100"/>
      <c r="R4" s="2100"/>
    </row>
    <row r="5" spans="1:24" ht="36.75" customHeight="1" x14ac:dyDescent="0.2">
      <c r="A5" s="2101" t="s">
        <v>12</v>
      </c>
      <c r="B5" s="2120" t="s">
        <v>13</v>
      </c>
      <c r="C5" s="2120" t="s">
        <v>14</v>
      </c>
      <c r="D5" s="2107" t="s">
        <v>31</v>
      </c>
      <c r="E5" s="2080" t="s">
        <v>15</v>
      </c>
      <c r="F5" s="2083" t="s">
        <v>228</v>
      </c>
      <c r="G5" s="2088" t="s">
        <v>16</v>
      </c>
      <c r="H5" s="2110" t="s">
        <v>17</v>
      </c>
      <c r="I5" s="2104" t="s">
        <v>108</v>
      </c>
      <c r="J5" s="2105"/>
      <c r="K5" s="2105"/>
      <c r="L5" s="2106"/>
      <c r="M5" s="2097" t="s">
        <v>231</v>
      </c>
      <c r="N5" s="2097" t="s">
        <v>232</v>
      </c>
      <c r="O5" s="2091" t="s">
        <v>74</v>
      </c>
      <c r="P5" s="2092"/>
      <c r="Q5" s="2092"/>
      <c r="R5" s="2093"/>
    </row>
    <row r="6" spans="1:24" ht="15" customHeight="1" x14ac:dyDescent="0.2">
      <c r="A6" s="2102"/>
      <c r="B6" s="2121"/>
      <c r="C6" s="2121"/>
      <c r="D6" s="2108"/>
      <c r="E6" s="2081"/>
      <c r="F6" s="2084"/>
      <c r="G6" s="2089"/>
      <c r="H6" s="2111"/>
      <c r="I6" s="2115" t="s">
        <v>18</v>
      </c>
      <c r="J6" s="2117" t="s">
        <v>19</v>
      </c>
      <c r="K6" s="2117"/>
      <c r="L6" s="2118" t="s">
        <v>42</v>
      </c>
      <c r="M6" s="2098"/>
      <c r="N6" s="2098"/>
      <c r="O6" s="2113" t="s">
        <v>31</v>
      </c>
      <c r="P6" s="2094" t="s">
        <v>75</v>
      </c>
      <c r="Q6" s="2095"/>
      <c r="R6" s="2096"/>
    </row>
    <row r="7" spans="1:24" ht="105.75" customHeight="1" thickBot="1" x14ac:dyDescent="0.25">
      <c r="A7" s="2103"/>
      <c r="B7" s="2122"/>
      <c r="C7" s="2122"/>
      <c r="D7" s="2109"/>
      <c r="E7" s="2082"/>
      <c r="F7" s="2085"/>
      <c r="G7" s="2090"/>
      <c r="H7" s="2112"/>
      <c r="I7" s="2116"/>
      <c r="J7" s="472" t="s">
        <v>18</v>
      </c>
      <c r="K7" s="8" t="s">
        <v>32</v>
      </c>
      <c r="L7" s="2119"/>
      <c r="M7" s="2099"/>
      <c r="N7" s="2099"/>
      <c r="O7" s="2114"/>
      <c r="P7" s="295" t="s">
        <v>76</v>
      </c>
      <c r="Q7" s="295" t="s">
        <v>77</v>
      </c>
      <c r="R7" s="296" t="s">
        <v>110</v>
      </c>
    </row>
    <row r="8" spans="1:24" ht="15.75" customHeight="1" thickBot="1" x14ac:dyDescent="0.25">
      <c r="A8" s="2044" t="s">
        <v>41</v>
      </c>
      <c r="B8" s="2045"/>
      <c r="C8" s="2045"/>
      <c r="D8" s="2045"/>
      <c r="E8" s="2045"/>
      <c r="F8" s="2045"/>
      <c r="G8" s="2045"/>
      <c r="H8" s="2045"/>
      <c r="I8" s="2045"/>
      <c r="J8" s="2045"/>
      <c r="K8" s="2045"/>
      <c r="L8" s="2045"/>
      <c r="M8" s="2045"/>
      <c r="N8" s="2045"/>
      <c r="O8" s="2045"/>
      <c r="P8" s="2045"/>
      <c r="Q8" s="2045"/>
      <c r="R8" s="2046"/>
    </row>
    <row r="9" spans="1:24" ht="14.25" customHeight="1" thickBot="1" x14ac:dyDescent="0.25">
      <c r="A9" s="2047" t="s">
        <v>40</v>
      </c>
      <c r="B9" s="2048"/>
      <c r="C9" s="2048"/>
      <c r="D9" s="2048"/>
      <c r="E9" s="2048"/>
      <c r="F9" s="2048"/>
      <c r="G9" s="2048"/>
      <c r="H9" s="2048"/>
      <c r="I9" s="2048"/>
      <c r="J9" s="2048"/>
      <c r="K9" s="2048"/>
      <c r="L9" s="2048"/>
      <c r="M9" s="2048"/>
      <c r="N9" s="2048"/>
      <c r="O9" s="2048"/>
      <c r="P9" s="2048"/>
      <c r="Q9" s="2048"/>
      <c r="R9" s="2049"/>
    </row>
    <row r="10" spans="1:24" ht="15.75" customHeight="1" thickBot="1" x14ac:dyDescent="0.25">
      <c r="A10" s="136" t="s">
        <v>20</v>
      </c>
      <c r="B10" s="2056" t="s">
        <v>51</v>
      </c>
      <c r="C10" s="2057"/>
      <c r="D10" s="2057"/>
      <c r="E10" s="2057"/>
      <c r="F10" s="2057"/>
      <c r="G10" s="2057"/>
      <c r="H10" s="2057"/>
      <c r="I10" s="2057"/>
      <c r="J10" s="2057"/>
      <c r="K10" s="2057"/>
      <c r="L10" s="2057"/>
      <c r="M10" s="2057"/>
      <c r="N10" s="2057"/>
      <c r="O10" s="2057"/>
      <c r="P10" s="2057"/>
      <c r="Q10" s="2057"/>
      <c r="R10" s="2058"/>
    </row>
    <row r="11" spans="1:24" ht="15.75" customHeight="1" thickBot="1" x14ac:dyDescent="0.25">
      <c r="A11" s="258" t="s">
        <v>20</v>
      </c>
      <c r="B11" s="109" t="s">
        <v>20</v>
      </c>
      <c r="C11" s="2060" t="s">
        <v>194</v>
      </c>
      <c r="D11" s="2061"/>
      <c r="E11" s="2061"/>
      <c r="F11" s="2061"/>
      <c r="G11" s="2061"/>
      <c r="H11" s="2062"/>
      <c r="I11" s="2062"/>
      <c r="J11" s="2062"/>
      <c r="K11" s="2062"/>
      <c r="L11" s="2062"/>
      <c r="M11" s="2062"/>
      <c r="N11" s="2062"/>
      <c r="O11" s="2062"/>
      <c r="P11" s="2062"/>
      <c r="Q11" s="2062"/>
      <c r="R11" s="2063"/>
    </row>
    <row r="12" spans="1:24" ht="13.5" customHeight="1" x14ac:dyDescent="0.2">
      <c r="A12" s="25" t="s">
        <v>20</v>
      </c>
      <c r="B12" s="16" t="s">
        <v>20</v>
      </c>
      <c r="C12" s="2059" t="s">
        <v>20</v>
      </c>
      <c r="D12" s="2052" t="s">
        <v>107</v>
      </c>
      <c r="E12" s="2054"/>
      <c r="F12" s="2050" t="s">
        <v>21</v>
      </c>
      <c r="G12" s="2065" t="s">
        <v>43</v>
      </c>
      <c r="H12" s="481" t="s">
        <v>22</v>
      </c>
      <c r="I12" s="429">
        <f>J12+L12</f>
        <v>68821.5</v>
      </c>
      <c r="J12" s="373">
        <v>68821.5</v>
      </c>
      <c r="K12" s="373">
        <v>47823.7</v>
      </c>
      <c r="L12" s="417"/>
      <c r="M12" s="550">
        <v>68591.3</v>
      </c>
      <c r="N12" s="75">
        <v>68591.3</v>
      </c>
      <c r="O12" s="108"/>
      <c r="P12" s="88"/>
      <c r="Q12" s="89"/>
      <c r="R12" s="505"/>
      <c r="U12" s="554"/>
      <c r="V12" s="71"/>
      <c r="W12" s="71"/>
      <c r="X12" s="71"/>
    </row>
    <row r="13" spans="1:24" ht="13.5" customHeight="1" x14ac:dyDescent="0.2">
      <c r="A13" s="26"/>
      <c r="B13" s="27"/>
      <c r="C13" s="2003"/>
      <c r="D13" s="2053"/>
      <c r="E13" s="2055"/>
      <c r="F13" s="2051"/>
      <c r="G13" s="2066"/>
      <c r="H13" s="149" t="s">
        <v>25</v>
      </c>
      <c r="I13" s="549">
        <f>J13+L13</f>
        <v>102602.59999999999</v>
      </c>
      <c r="J13" s="378">
        <f>102558.9-23.7</f>
        <v>102535.2</v>
      </c>
      <c r="K13" s="378">
        <v>75915.100000000006</v>
      </c>
      <c r="L13" s="528">
        <v>67.400000000000006</v>
      </c>
      <c r="M13" s="551">
        <v>104160.9</v>
      </c>
      <c r="N13" s="3">
        <v>103447.5</v>
      </c>
      <c r="O13" s="552"/>
      <c r="P13" s="428"/>
      <c r="Q13" s="71"/>
      <c r="R13" s="514"/>
      <c r="U13" s="555"/>
      <c r="V13" s="71"/>
      <c r="W13" s="71"/>
      <c r="X13" s="71"/>
    </row>
    <row r="14" spans="1:24" ht="13.5" customHeight="1" x14ac:dyDescent="0.2">
      <c r="A14" s="26"/>
      <c r="B14" s="27"/>
      <c r="C14" s="487"/>
      <c r="D14" s="500"/>
      <c r="E14" s="488"/>
      <c r="F14" s="486"/>
      <c r="G14" s="496"/>
      <c r="H14" s="430" t="s">
        <v>96</v>
      </c>
      <c r="I14" s="337">
        <f>J14+L14</f>
        <v>16236.6</v>
      </c>
      <c r="J14" s="323">
        <v>16125.6</v>
      </c>
      <c r="K14" s="323">
        <v>3021.4</v>
      </c>
      <c r="L14" s="335">
        <v>111</v>
      </c>
      <c r="M14" s="560">
        <v>16189.6</v>
      </c>
      <c r="N14" s="561">
        <v>16189.6</v>
      </c>
      <c r="O14" s="556"/>
      <c r="P14" s="428"/>
      <c r="Q14" s="71"/>
      <c r="R14" s="514"/>
      <c r="U14" s="555"/>
      <c r="V14" s="71"/>
      <c r="W14" s="71"/>
      <c r="X14" s="71"/>
    </row>
    <row r="15" spans="1:24" ht="13.5" customHeight="1" x14ac:dyDescent="0.2">
      <c r="A15" s="26"/>
      <c r="B15" s="27"/>
      <c r="C15" s="2003"/>
      <c r="D15" s="2020" t="s">
        <v>203</v>
      </c>
      <c r="E15" s="2005"/>
      <c r="F15" s="2021"/>
      <c r="G15" s="2023"/>
      <c r="H15" s="430"/>
      <c r="I15" s="337"/>
      <c r="J15" s="323"/>
      <c r="K15" s="323"/>
      <c r="L15" s="335"/>
      <c r="M15" s="560"/>
      <c r="N15" s="561"/>
      <c r="O15" s="562" t="s">
        <v>113</v>
      </c>
      <c r="P15" s="134">
        <v>45</v>
      </c>
      <c r="Q15" s="170">
        <v>45</v>
      </c>
      <c r="R15" s="490">
        <v>45</v>
      </c>
      <c r="U15" s="554"/>
      <c r="V15" s="71"/>
      <c r="W15" s="71"/>
      <c r="X15" s="71"/>
    </row>
    <row r="16" spans="1:24" ht="13.5" customHeight="1" x14ac:dyDescent="0.2">
      <c r="A16" s="26"/>
      <c r="B16" s="27"/>
      <c r="C16" s="2003"/>
      <c r="D16" s="2020"/>
      <c r="E16" s="2005"/>
      <c r="F16" s="2021"/>
      <c r="G16" s="2023"/>
      <c r="H16" s="483"/>
      <c r="I16" s="559"/>
      <c r="J16" s="320"/>
      <c r="K16" s="320"/>
      <c r="L16" s="346"/>
      <c r="M16" s="566"/>
      <c r="N16" s="217"/>
      <c r="O16" s="2064" t="s">
        <v>114</v>
      </c>
      <c r="P16" s="205">
        <v>7580</v>
      </c>
      <c r="Q16" s="206">
        <v>7645</v>
      </c>
      <c r="R16" s="491">
        <v>7720</v>
      </c>
      <c r="U16" s="555"/>
      <c r="V16" s="71"/>
      <c r="W16" s="71"/>
      <c r="X16" s="71"/>
    </row>
    <row r="17" spans="1:24" ht="13.5" customHeight="1" x14ac:dyDescent="0.2">
      <c r="A17" s="26"/>
      <c r="B17" s="27"/>
      <c r="C17" s="2003"/>
      <c r="D17" s="2020"/>
      <c r="E17" s="2005"/>
      <c r="F17" s="2021"/>
      <c r="G17" s="2023"/>
      <c r="H17" s="427"/>
      <c r="I17" s="559"/>
      <c r="J17" s="320"/>
      <c r="K17" s="320"/>
      <c r="L17" s="346"/>
      <c r="M17" s="566"/>
      <c r="N17" s="217"/>
      <c r="O17" s="2064"/>
      <c r="P17" s="205"/>
      <c r="Q17" s="206"/>
      <c r="R17" s="491"/>
      <c r="U17" s="554"/>
      <c r="V17" s="71"/>
      <c r="W17" s="71"/>
      <c r="X17" s="93"/>
    </row>
    <row r="18" spans="1:24" ht="15" customHeight="1" x14ac:dyDescent="0.2">
      <c r="A18" s="2123"/>
      <c r="B18" s="27"/>
      <c r="C18" s="2002"/>
      <c r="D18" s="2006" t="s">
        <v>95</v>
      </c>
      <c r="E18" s="2004"/>
      <c r="F18" s="2013"/>
      <c r="G18" s="2022"/>
      <c r="H18" s="297"/>
      <c r="I18" s="334"/>
      <c r="J18" s="334"/>
      <c r="K18" s="323"/>
      <c r="L18" s="325"/>
      <c r="M18" s="567"/>
      <c r="N18" s="561"/>
      <c r="O18" s="562" t="s">
        <v>67</v>
      </c>
      <c r="P18" s="134">
        <v>8</v>
      </c>
      <c r="Q18" s="170">
        <v>6</v>
      </c>
      <c r="R18" s="563">
        <v>5</v>
      </c>
      <c r="U18" s="556"/>
      <c r="V18" s="71"/>
      <c r="W18" s="553"/>
      <c r="X18" s="71"/>
    </row>
    <row r="19" spans="1:24" ht="13.5" customHeight="1" x14ac:dyDescent="0.2">
      <c r="A19" s="2123"/>
      <c r="B19" s="27"/>
      <c r="C19" s="2003"/>
      <c r="D19" s="2020"/>
      <c r="E19" s="2005"/>
      <c r="F19" s="2021"/>
      <c r="G19" s="2023"/>
      <c r="H19" s="483"/>
      <c r="I19" s="322"/>
      <c r="J19" s="320"/>
      <c r="K19" s="320"/>
      <c r="L19" s="321"/>
      <c r="M19" s="476"/>
      <c r="N19" s="217"/>
      <c r="O19" s="208" t="s">
        <v>68</v>
      </c>
      <c r="P19" s="205">
        <v>1</v>
      </c>
      <c r="Q19" s="209">
        <v>1</v>
      </c>
      <c r="R19" s="491">
        <v>1</v>
      </c>
      <c r="U19" s="556"/>
      <c r="V19" s="71"/>
      <c r="W19" s="206"/>
      <c r="X19" s="71"/>
    </row>
    <row r="20" spans="1:24" ht="13.5" customHeight="1" x14ac:dyDescent="0.2">
      <c r="A20" s="2123"/>
      <c r="B20" s="27"/>
      <c r="C20" s="2003"/>
      <c r="D20" s="2020"/>
      <c r="E20" s="2005"/>
      <c r="F20" s="2021"/>
      <c r="G20" s="2023"/>
      <c r="H20" s="427"/>
      <c r="I20" s="322"/>
      <c r="J20" s="320"/>
      <c r="K20" s="320"/>
      <c r="L20" s="321"/>
      <c r="M20" s="476"/>
      <c r="N20" s="217"/>
      <c r="O20" s="207" t="s">
        <v>114</v>
      </c>
      <c r="P20" s="205">
        <v>2170</v>
      </c>
      <c r="Q20" s="206">
        <v>2150</v>
      </c>
      <c r="R20" s="491">
        <v>2120</v>
      </c>
      <c r="U20" s="556"/>
      <c r="V20" s="71"/>
      <c r="W20" s="71"/>
      <c r="X20" s="71"/>
    </row>
    <row r="21" spans="1:24" ht="27.75" customHeight="1" x14ac:dyDescent="0.2">
      <c r="A21" s="2067"/>
      <c r="B21" s="489"/>
      <c r="C21" s="2068"/>
      <c r="D21" s="2020" t="s">
        <v>145</v>
      </c>
      <c r="E21" s="2005"/>
      <c r="F21" s="2078"/>
      <c r="G21" s="2001"/>
      <c r="H21" s="297"/>
      <c r="I21" s="324"/>
      <c r="J21" s="323"/>
      <c r="K21" s="323"/>
      <c r="L21" s="325"/>
      <c r="M21" s="561"/>
      <c r="N21" s="568"/>
      <c r="O21" s="210" t="s">
        <v>204</v>
      </c>
      <c r="P21" s="134">
        <v>17119</v>
      </c>
      <c r="Q21" s="170">
        <v>17000</v>
      </c>
      <c r="R21" s="490">
        <v>17000</v>
      </c>
      <c r="U21" s="556"/>
      <c r="V21" s="71"/>
      <c r="W21" s="71"/>
      <c r="X21" s="71"/>
    </row>
    <row r="22" spans="1:24" ht="15.75" customHeight="1" x14ac:dyDescent="0.2">
      <c r="A22" s="2067"/>
      <c r="B22" s="489"/>
      <c r="C22" s="2068"/>
      <c r="D22" s="2020"/>
      <c r="E22" s="2005"/>
      <c r="F22" s="2078"/>
      <c r="G22" s="2001"/>
      <c r="H22" s="483"/>
      <c r="I22" s="322"/>
      <c r="J22" s="320"/>
      <c r="K22" s="320"/>
      <c r="L22" s="321"/>
      <c r="M22" s="217"/>
      <c r="N22" s="569"/>
      <c r="O22" s="208" t="s">
        <v>87</v>
      </c>
      <c r="P22" s="205">
        <v>13</v>
      </c>
      <c r="Q22" s="205">
        <v>13</v>
      </c>
      <c r="R22" s="491">
        <v>13</v>
      </c>
      <c r="U22" s="556"/>
      <c r="V22" s="71"/>
      <c r="W22" s="93"/>
      <c r="X22" s="71"/>
    </row>
    <row r="23" spans="1:24" ht="15.75" customHeight="1" x14ac:dyDescent="0.2">
      <c r="A23" s="2067"/>
      <c r="B23" s="489"/>
      <c r="C23" s="2068"/>
      <c r="D23" s="2020"/>
      <c r="E23" s="2005"/>
      <c r="F23" s="2078"/>
      <c r="G23" s="2001"/>
      <c r="H23" s="483"/>
      <c r="I23" s="322"/>
      <c r="J23" s="320"/>
      <c r="K23" s="320"/>
      <c r="L23" s="321"/>
      <c r="M23" s="217"/>
      <c r="N23" s="569"/>
      <c r="O23" s="208" t="s">
        <v>89</v>
      </c>
      <c r="P23" s="205">
        <v>4</v>
      </c>
      <c r="Q23" s="205">
        <v>4</v>
      </c>
      <c r="R23" s="491">
        <v>4</v>
      </c>
      <c r="U23" s="556"/>
      <c r="V23" s="71"/>
      <c r="W23" s="93"/>
      <c r="X23" s="71"/>
    </row>
    <row r="24" spans="1:24" ht="15.75" customHeight="1" x14ac:dyDescent="0.2">
      <c r="A24" s="2067"/>
      <c r="B24" s="489"/>
      <c r="C24" s="2068"/>
      <c r="D24" s="2020"/>
      <c r="E24" s="2005"/>
      <c r="F24" s="2078"/>
      <c r="G24" s="2001"/>
      <c r="H24" s="483"/>
      <c r="I24" s="322"/>
      <c r="J24" s="320"/>
      <c r="K24" s="355"/>
      <c r="L24" s="321"/>
      <c r="M24" s="564"/>
      <c r="N24" s="564"/>
      <c r="O24" s="208" t="s">
        <v>88</v>
      </c>
      <c r="P24" s="205">
        <v>10</v>
      </c>
      <c r="Q24" s="205">
        <v>10</v>
      </c>
      <c r="R24" s="491">
        <v>10</v>
      </c>
      <c r="U24" s="1981"/>
      <c r="V24" s="1980"/>
      <c r="W24" s="1980"/>
      <c r="X24" s="1980"/>
    </row>
    <row r="25" spans="1:24" ht="15.75" customHeight="1" x14ac:dyDescent="0.2">
      <c r="A25" s="493"/>
      <c r="B25" s="489"/>
      <c r="C25" s="487"/>
      <c r="D25" s="2020"/>
      <c r="E25" s="2005"/>
      <c r="F25" s="2078"/>
      <c r="G25" s="2001"/>
      <c r="H25" s="427"/>
      <c r="I25" s="322"/>
      <c r="J25" s="320"/>
      <c r="K25" s="355"/>
      <c r="L25" s="321"/>
      <c r="M25" s="564"/>
      <c r="N25" s="10"/>
      <c r="O25" s="211" t="s">
        <v>181</v>
      </c>
      <c r="P25" s="212">
        <v>11</v>
      </c>
      <c r="Q25" s="212">
        <v>9</v>
      </c>
      <c r="R25" s="492">
        <v>8</v>
      </c>
      <c r="U25" s="1981"/>
      <c r="V25" s="1980"/>
      <c r="W25" s="1980"/>
      <c r="X25" s="1980"/>
    </row>
    <row r="26" spans="1:24" ht="14.25" customHeight="1" x14ac:dyDescent="0.2">
      <c r="A26" s="2069"/>
      <c r="B26" s="2070"/>
      <c r="C26" s="2003"/>
      <c r="D26" s="2006" t="s">
        <v>146</v>
      </c>
      <c r="E26" s="2019"/>
      <c r="F26" s="2073"/>
      <c r="G26" s="2042"/>
      <c r="H26" s="297"/>
      <c r="I26" s="334"/>
      <c r="J26" s="323"/>
      <c r="K26" s="323"/>
      <c r="L26" s="325"/>
      <c r="M26" s="561"/>
      <c r="N26" s="568"/>
      <c r="O26" s="208" t="s">
        <v>115</v>
      </c>
      <c r="P26" s="205">
        <v>6</v>
      </c>
      <c r="Q26" s="100">
        <v>6</v>
      </c>
      <c r="R26" s="491">
        <v>6</v>
      </c>
      <c r="U26" s="557"/>
      <c r="V26" s="508"/>
      <c r="W26" s="508"/>
      <c r="X26" s="1982"/>
    </row>
    <row r="27" spans="1:24" ht="27.75" customHeight="1" x14ac:dyDescent="0.2">
      <c r="A27" s="2067"/>
      <c r="B27" s="2071"/>
      <c r="C27" s="2003"/>
      <c r="D27" s="2006"/>
      <c r="E27" s="2019"/>
      <c r="F27" s="2073"/>
      <c r="G27" s="2042"/>
      <c r="H27" s="431"/>
      <c r="I27" s="318"/>
      <c r="J27" s="318"/>
      <c r="K27" s="314"/>
      <c r="L27" s="319"/>
      <c r="M27" s="565"/>
      <c r="N27" s="21"/>
      <c r="O27" s="208" t="s">
        <v>116</v>
      </c>
      <c r="P27" s="205">
        <v>4950</v>
      </c>
      <c r="Q27" s="100">
        <v>5050</v>
      </c>
      <c r="R27" s="491">
        <v>5100</v>
      </c>
      <c r="U27" s="45"/>
      <c r="V27" s="508"/>
      <c r="W27" s="508"/>
      <c r="X27" s="1982"/>
    </row>
    <row r="28" spans="1:24" ht="14.25" customHeight="1" x14ac:dyDescent="0.2">
      <c r="A28" s="2067"/>
      <c r="B28" s="2071"/>
      <c r="C28" s="2003"/>
      <c r="D28" s="2072" t="s">
        <v>147</v>
      </c>
      <c r="E28" s="2077"/>
      <c r="F28" s="2021"/>
      <c r="G28" s="2043"/>
      <c r="H28" s="297"/>
      <c r="I28" s="334"/>
      <c r="J28" s="323"/>
      <c r="K28" s="323"/>
      <c r="L28" s="335"/>
      <c r="M28" s="32"/>
      <c r="N28" s="38"/>
      <c r="O28" s="2038" t="s">
        <v>84</v>
      </c>
      <c r="P28" s="2036">
        <v>4</v>
      </c>
      <c r="Q28" s="2036">
        <v>4.5</v>
      </c>
      <c r="R28" s="2026">
        <v>5</v>
      </c>
      <c r="S28" s="171"/>
      <c r="U28" s="558"/>
      <c r="V28" s="507"/>
      <c r="W28" s="507"/>
      <c r="X28" s="71"/>
    </row>
    <row r="29" spans="1:24" ht="14.25" customHeight="1" x14ac:dyDescent="0.2">
      <c r="A29" s="2067"/>
      <c r="B29" s="2071"/>
      <c r="C29" s="2003"/>
      <c r="D29" s="2072"/>
      <c r="E29" s="2077"/>
      <c r="F29" s="2021"/>
      <c r="G29" s="2043"/>
      <c r="H29" s="427"/>
      <c r="I29" s="559"/>
      <c r="J29" s="320"/>
      <c r="K29" s="320"/>
      <c r="L29" s="346"/>
      <c r="M29" s="564"/>
      <c r="N29" s="10"/>
      <c r="O29" s="2039"/>
      <c r="P29" s="2037"/>
      <c r="Q29" s="2037"/>
      <c r="R29" s="2027"/>
    </row>
    <row r="30" spans="1:24" ht="15" customHeight="1" x14ac:dyDescent="0.2">
      <c r="A30" s="214"/>
      <c r="B30" s="27"/>
      <c r="C30" s="215"/>
      <c r="D30" s="2015" t="s">
        <v>148</v>
      </c>
      <c r="E30" s="2011"/>
      <c r="F30" s="2013"/>
      <c r="G30" s="2024"/>
      <c r="H30" s="297"/>
      <c r="I30" s="334"/>
      <c r="J30" s="323"/>
      <c r="K30" s="323"/>
      <c r="L30" s="324"/>
      <c r="M30" s="561"/>
      <c r="N30" s="561"/>
      <c r="O30" s="216" t="s">
        <v>119</v>
      </c>
      <c r="P30" s="497">
        <v>130</v>
      </c>
      <c r="Q30" s="183">
        <v>130</v>
      </c>
      <c r="R30" s="2040">
        <v>145</v>
      </c>
    </row>
    <row r="31" spans="1:24" ht="13.5" customHeight="1" thickBot="1" x14ac:dyDescent="0.25">
      <c r="A31" s="602"/>
      <c r="B31" s="28"/>
      <c r="C31" s="603"/>
      <c r="D31" s="2016"/>
      <c r="E31" s="2012"/>
      <c r="F31" s="2014"/>
      <c r="G31" s="2025"/>
      <c r="H31" s="482"/>
      <c r="I31" s="316"/>
      <c r="J31" s="317"/>
      <c r="K31" s="317"/>
      <c r="L31" s="604"/>
      <c r="M31" s="605"/>
      <c r="N31" s="605"/>
      <c r="O31" s="606"/>
      <c r="P31" s="499"/>
      <c r="Q31" s="590"/>
      <c r="R31" s="2041"/>
    </row>
    <row r="32" spans="1:24" ht="16.5" customHeight="1" x14ac:dyDescent="0.2">
      <c r="A32" s="2067"/>
      <c r="B32" s="2071"/>
      <c r="C32" s="2002"/>
      <c r="D32" s="2032" t="s">
        <v>195</v>
      </c>
      <c r="E32" s="515"/>
      <c r="F32" s="520"/>
      <c r="G32" s="535"/>
      <c r="H32" s="483"/>
      <c r="I32" s="559"/>
      <c r="J32" s="320"/>
      <c r="K32" s="320"/>
      <c r="L32" s="346"/>
      <c r="M32" s="217"/>
      <c r="N32" s="217"/>
      <c r="O32" s="2034" t="s">
        <v>120</v>
      </c>
      <c r="P32" s="498">
        <v>280</v>
      </c>
      <c r="Q32" s="508">
        <v>275</v>
      </c>
      <c r="R32" s="491">
        <v>290</v>
      </c>
      <c r="T32" s="175"/>
    </row>
    <row r="33" spans="1:20" ht="13.5" customHeight="1" thickBot="1" x14ac:dyDescent="0.25">
      <c r="A33" s="2074"/>
      <c r="B33" s="2075"/>
      <c r="C33" s="2076"/>
      <c r="D33" s="2033"/>
      <c r="E33" s="570"/>
      <c r="F33" s="571"/>
      <c r="G33" s="570"/>
      <c r="H33" s="348" t="s">
        <v>23</v>
      </c>
      <c r="I33" s="349">
        <f t="shared" ref="I33:N33" si="0">SUM(I12:I32)</f>
        <v>187660.69999999998</v>
      </c>
      <c r="J33" s="349">
        <f t="shared" si="0"/>
        <v>187482.30000000002</v>
      </c>
      <c r="K33" s="349">
        <f t="shared" si="0"/>
        <v>126760.2</v>
      </c>
      <c r="L33" s="349">
        <f t="shared" si="0"/>
        <v>178.4</v>
      </c>
      <c r="M33" s="349">
        <f t="shared" si="0"/>
        <v>188941.80000000002</v>
      </c>
      <c r="N33" s="349">
        <f t="shared" si="0"/>
        <v>188228.4</v>
      </c>
      <c r="O33" s="2035"/>
      <c r="P33" s="94"/>
      <c r="Q33" s="94"/>
      <c r="R33" s="218"/>
      <c r="T33" s="242"/>
    </row>
    <row r="34" spans="1:20" ht="24.75" customHeight="1" x14ac:dyDescent="0.2">
      <c r="A34" s="455" t="s">
        <v>20</v>
      </c>
      <c r="B34" s="259" t="s">
        <v>20</v>
      </c>
      <c r="C34" s="456" t="s">
        <v>24</v>
      </c>
      <c r="D34" s="2007" t="s">
        <v>208</v>
      </c>
      <c r="E34" s="2017" t="s">
        <v>132</v>
      </c>
      <c r="F34" s="2009" t="s">
        <v>21</v>
      </c>
      <c r="G34" s="1983">
        <v>2</v>
      </c>
      <c r="H34" s="129" t="s">
        <v>25</v>
      </c>
      <c r="I34" s="310">
        <f t="shared" ref="I34" si="1">J34+L34</f>
        <v>51.1</v>
      </c>
      <c r="J34" s="311">
        <v>51.1</v>
      </c>
      <c r="K34" s="311">
        <v>39</v>
      </c>
      <c r="L34" s="336"/>
      <c r="M34" s="22">
        <v>51.1</v>
      </c>
      <c r="N34" s="42">
        <v>51.1</v>
      </c>
      <c r="O34" s="2028" t="s">
        <v>117</v>
      </c>
      <c r="P34" s="205">
        <v>1</v>
      </c>
      <c r="Q34" s="100">
        <v>1</v>
      </c>
      <c r="R34" s="473">
        <v>1</v>
      </c>
      <c r="T34" s="241"/>
    </row>
    <row r="35" spans="1:20" ht="18.75" customHeight="1" thickBot="1" x14ac:dyDescent="0.25">
      <c r="A35" s="470"/>
      <c r="B35" s="28"/>
      <c r="C35" s="457"/>
      <c r="D35" s="2008"/>
      <c r="E35" s="2018"/>
      <c r="F35" s="2010"/>
      <c r="G35" s="1984"/>
      <c r="H35" s="348" t="s">
        <v>23</v>
      </c>
      <c r="I35" s="361">
        <f t="shared" ref="I35:I41" si="2">J35+L35</f>
        <v>51.1</v>
      </c>
      <c r="J35" s="342">
        <f>SUM(J34:J34)</f>
        <v>51.1</v>
      </c>
      <c r="K35" s="342">
        <f>SUM(K34:K34)</f>
        <v>39</v>
      </c>
      <c r="L35" s="341">
        <f>SUM(L34:L34)</f>
        <v>0</v>
      </c>
      <c r="M35" s="350">
        <f>SUM(M34:M34)</f>
        <v>51.1</v>
      </c>
      <c r="N35" s="351">
        <f>SUM(N34:N34)</f>
        <v>51.1</v>
      </c>
      <c r="O35" s="2029"/>
      <c r="P35" s="94"/>
      <c r="Q35" s="459"/>
      <c r="R35" s="219"/>
    </row>
    <row r="36" spans="1:20" ht="15.75" customHeight="1" x14ac:dyDescent="0.2">
      <c r="A36" s="437" t="s">
        <v>20</v>
      </c>
      <c r="B36" s="442" t="s">
        <v>20</v>
      </c>
      <c r="C36" s="439" t="s">
        <v>26</v>
      </c>
      <c r="D36" s="2007" t="s">
        <v>155</v>
      </c>
      <c r="E36" s="2030"/>
      <c r="F36" s="2009" t="s">
        <v>21</v>
      </c>
      <c r="G36" s="1983">
        <v>2</v>
      </c>
      <c r="H36" s="129" t="s">
        <v>25</v>
      </c>
      <c r="I36" s="421">
        <f t="shared" si="2"/>
        <v>157.4</v>
      </c>
      <c r="J36" s="339">
        <v>157.4</v>
      </c>
      <c r="K36" s="339">
        <v>120.1</v>
      </c>
      <c r="L36" s="381"/>
      <c r="M36" s="541">
        <v>157.4</v>
      </c>
      <c r="N36" s="542">
        <v>157.4</v>
      </c>
      <c r="O36" s="1996" t="s">
        <v>171</v>
      </c>
      <c r="P36" s="1993">
        <v>5</v>
      </c>
      <c r="Q36" s="1993">
        <v>5</v>
      </c>
      <c r="R36" s="1988">
        <v>5</v>
      </c>
    </row>
    <row r="37" spans="1:20" ht="15.75" customHeight="1" thickBot="1" x14ac:dyDescent="0.25">
      <c r="A37" s="438"/>
      <c r="B37" s="28"/>
      <c r="C37" s="440"/>
      <c r="D37" s="2008"/>
      <c r="E37" s="2031"/>
      <c r="F37" s="2010"/>
      <c r="G37" s="1984"/>
      <c r="H37" s="348" t="s">
        <v>23</v>
      </c>
      <c r="I37" s="361">
        <f t="shared" si="2"/>
        <v>157.4</v>
      </c>
      <c r="J37" s="342">
        <f>SUM(J36:J36)</f>
        <v>157.4</v>
      </c>
      <c r="K37" s="342">
        <f>SUM(K36:K36)</f>
        <v>120.1</v>
      </c>
      <c r="L37" s="341">
        <f>SUM(L36:L36)</f>
        <v>0</v>
      </c>
      <c r="M37" s="350">
        <f>SUM(M36:M36)</f>
        <v>157.4</v>
      </c>
      <c r="N37" s="351">
        <f>SUM(N36:N36)</f>
        <v>157.4</v>
      </c>
      <c r="O37" s="1998"/>
      <c r="P37" s="1995"/>
      <c r="Q37" s="1995"/>
      <c r="R37" s="1990"/>
    </row>
    <row r="38" spans="1:20" ht="21" customHeight="1" x14ac:dyDescent="0.2">
      <c r="A38" s="2271" t="s">
        <v>20</v>
      </c>
      <c r="B38" s="2167" t="s">
        <v>20</v>
      </c>
      <c r="C38" s="2280" t="s">
        <v>28</v>
      </c>
      <c r="D38" s="2052" t="s">
        <v>213</v>
      </c>
      <c r="E38" s="2030"/>
      <c r="F38" s="2009" t="s">
        <v>21</v>
      </c>
      <c r="G38" s="1983">
        <v>2</v>
      </c>
      <c r="H38" s="715" t="s">
        <v>25</v>
      </c>
      <c r="I38" s="422">
        <f t="shared" si="2"/>
        <v>7.8</v>
      </c>
      <c r="J38" s="373">
        <v>7.8</v>
      </c>
      <c r="K38" s="373">
        <v>6</v>
      </c>
      <c r="L38" s="423"/>
      <c r="M38" s="541">
        <v>7.8</v>
      </c>
      <c r="N38" s="542">
        <v>7.8</v>
      </c>
      <c r="O38" s="1996" t="s">
        <v>172</v>
      </c>
      <c r="P38" s="1993">
        <v>1</v>
      </c>
      <c r="Q38" s="1993">
        <v>1</v>
      </c>
      <c r="R38" s="1988">
        <v>1</v>
      </c>
    </row>
    <row r="39" spans="1:20" ht="21" customHeight="1" x14ac:dyDescent="0.2">
      <c r="A39" s="2205"/>
      <c r="B39" s="2209"/>
      <c r="C39" s="2278"/>
      <c r="D39" s="2144"/>
      <c r="E39" s="2296"/>
      <c r="F39" s="2073"/>
      <c r="G39" s="2042"/>
      <c r="H39" s="716"/>
      <c r="I39" s="717"/>
      <c r="J39" s="340"/>
      <c r="K39" s="340"/>
      <c r="L39" s="418"/>
      <c r="M39" s="718"/>
      <c r="N39" s="41"/>
      <c r="O39" s="1997"/>
      <c r="P39" s="1994"/>
      <c r="Q39" s="1994"/>
      <c r="R39" s="1989"/>
    </row>
    <row r="40" spans="1:20" ht="36.75" customHeight="1" x14ac:dyDescent="0.2">
      <c r="A40" s="2205"/>
      <c r="B40" s="2209"/>
      <c r="C40" s="2278"/>
      <c r="D40" s="2144"/>
      <c r="E40" s="2296"/>
      <c r="F40" s="2073"/>
      <c r="G40" s="2042"/>
      <c r="H40" s="130"/>
      <c r="I40" s="425"/>
      <c r="J40" s="402"/>
      <c r="K40" s="402"/>
      <c r="L40" s="418"/>
      <c r="M40" s="121"/>
      <c r="N40" s="122"/>
      <c r="O40" s="1997"/>
      <c r="P40" s="1994"/>
      <c r="Q40" s="1994"/>
      <c r="R40" s="1989"/>
    </row>
    <row r="41" spans="1:20" ht="27" customHeight="1" thickBot="1" x14ac:dyDescent="0.25">
      <c r="A41" s="438"/>
      <c r="B41" s="28"/>
      <c r="C41" s="440"/>
      <c r="D41" s="2008"/>
      <c r="E41" s="2031"/>
      <c r="F41" s="2010"/>
      <c r="G41" s="1984"/>
      <c r="H41" s="348" t="s">
        <v>23</v>
      </c>
      <c r="I41" s="361">
        <f t="shared" si="2"/>
        <v>7.8</v>
      </c>
      <c r="J41" s="342">
        <f>SUM(J38:J40)</f>
        <v>7.8</v>
      </c>
      <c r="K41" s="342">
        <f>SUM(K38:K40)</f>
        <v>6</v>
      </c>
      <c r="L41" s="341">
        <f>SUM(L38:L40)</f>
        <v>0</v>
      </c>
      <c r="M41" s="350">
        <f>SUM(M38:M40)</f>
        <v>7.8</v>
      </c>
      <c r="N41" s="351">
        <f>SUM(N38:N40)</f>
        <v>7.8</v>
      </c>
      <c r="O41" s="1998"/>
      <c r="P41" s="1995"/>
      <c r="Q41" s="1995"/>
      <c r="R41" s="1990"/>
    </row>
    <row r="42" spans="1:20" ht="15" customHeight="1" thickBot="1" x14ac:dyDescent="0.25">
      <c r="A42" s="438" t="s">
        <v>20</v>
      </c>
      <c r="B42" s="443" t="s">
        <v>20</v>
      </c>
      <c r="C42" s="2138" t="s">
        <v>27</v>
      </c>
      <c r="D42" s="2138"/>
      <c r="E42" s="2138"/>
      <c r="F42" s="2138"/>
      <c r="G42" s="2138"/>
      <c r="H42" s="2139"/>
      <c r="I42" s="704">
        <f t="shared" ref="I42:M42" si="3">I41+I37+I35+I33</f>
        <v>187876.99999999997</v>
      </c>
      <c r="J42" s="290">
        <f>J41+J37+J35+J33</f>
        <v>187698.6</v>
      </c>
      <c r="K42" s="290">
        <f>K41+K37+K35+K33</f>
        <v>126925.3</v>
      </c>
      <c r="L42" s="289">
        <f>L41+L37+L35+L33</f>
        <v>178.4</v>
      </c>
      <c r="M42" s="1">
        <f t="shared" si="3"/>
        <v>189158.1</v>
      </c>
      <c r="N42" s="1">
        <f>N41+N37+N35+N33</f>
        <v>188444.69999999998</v>
      </c>
      <c r="O42" s="1985"/>
      <c r="P42" s="1986"/>
      <c r="Q42" s="1986"/>
      <c r="R42" s="1987"/>
    </row>
    <row r="43" spans="1:20" ht="15" customHeight="1" thickBot="1" x14ac:dyDescent="0.25">
      <c r="A43" s="15" t="s">
        <v>20</v>
      </c>
      <c r="B43" s="17" t="s">
        <v>24</v>
      </c>
      <c r="C43" s="2300" t="s">
        <v>118</v>
      </c>
      <c r="D43" s="2237"/>
      <c r="E43" s="2237"/>
      <c r="F43" s="2237"/>
      <c r="G43" s="2237"/>
      <c r="H43" s="2237"/>
      <c r="I43" s="2237"/>
      <c r="J43" s="2237"/>
      <c r="K43" s="2237"/>
      <c r="L43" s="2237"/>
      <c r="M43" s="2237"/>
      <c r="N43" s="2237"/>
      <c r="O43" s="2237"/>
      <c r="P43" s="2237"/>
      <c r="Q43" s="2237"/>
      <c r="R43" s="2238"/>
    </row>
    <row r="44" spans="1:20" ht="16.5" customHeight="1" x14ac:dyDescent="0.2">
      <c r="A44" s="258" t="s">
        <v>20</v>
      </c>
      <c r="B44" s="2167" t="s">
        <v>24</v>
      </c>
      <c r="C44" s="1962" t="s">
        <v>20</v>
      </c>
      <c r="D44" s="2292" t="s">
        <v>121</v>
      </c>
      <c r="E44" s="2302"/>
      <c r="F44" s="2009" t="s">
        <v>21</v>
      </c>
      <c r="G44" s="2297">
        <v>2</v>
      </c>
      <c r="H44" s="467" t="s">
        <v>22</v>
      </c>
      <c r="I44" s="358">
        <f t="shared" ref="I44:I46" si="4">J44+L44</f>
        <v>65.400000000000006</v>
      </c>
      <c r="J44" s="327">
        <v>65.400000000000006</v>
      </c>
      <c r="K44" s="327"/>
      <c r="L44" s="359"/>
      <c r="M44" s="19">
        <v>65.400000000000006</v>
      </c>
      <c r="N44" s="22">
        <v>65.400000000000006</v>
      </c>
      <c r="O44" s="220" t="s">
        <v>123</v>
      </c>
      <c r="P44" s="221">
        <v>20</v>
      </c>
      <c r="Q44" s="221">
        <v>20</v>
      </c>
      <c r="R44" s="222">
        <v>20</v>
      </c>
    </row>
    <row r="45" spans="1:20" ht="27.75" customHeight="1" thickBot="1" x14ac:dyDescent="0.25">
      <c r="A45" s="469"/>
      <c r="B45" s="2301"/>
      <c r="C45" s="2068"/>
      <c r="D45" s="2293"/>
      <c r="E45" s="2303"/>
      <c r="F45" s="2299"/>
      <c r="G45" s="2298"/>
      <c r="H45" s="348" t="s">
        <v>23</v>
      </c>
      <c r="I45" s="349">
        <f t="shared" si="4"/>
        <v>65.400000000000006</v>
      </c>
      <c r="J45" s="342">
        <f>SUM(J44)</f>
        <v>65.400000000000006</v>
      </c>
      <c r="K45" s="341"/>
      <c r="L45" s="345"/>
      <c r="M45" s="349">
        <f>SUM(M44)</f>
        <v>65.400000000000006</v>
      </c>
      <c r="N45" s="350">
        <f>SUM(N44)</f>
        <v>65.400000000000006</v>
      </c>
      <c r="O45" s="223" t="s">
        <v>122</v>
      </c>
      <c r="P45" s="224">
        <v>36</v>
      </c>
      <c r="Q45" s="224">
        <v>36</v>
      </c>
      <c r="R45" s="225">
        <v>36</v>
      </c>
    </row>
    <row r="46" spans="1:20" ht="27.75" customHeight="1" x14ac:dyDescent="0.2">
      <c r="A46" s="2271" t="s">
        <v>20</v>
      </c>
      <c r="B46" s="2167" t="s">
        <v>24</v>
      </c>
      <c r="C46" s="2277" t="s">
        <v>24</v>
      </c>
      <c r="D46" s="2145" t="s">
        <v>124</v>
      </c>
      <c r="E46" s="2302"/>
      <c r="F46" s="2050" t="s">
        <v>21</v>
      </c>
      <c r="G46" s="2294">
        <v>2</v>
      </c>
      <c r="H46" s="474" t="s">
        <v>25</v>
      </c>
      <c r="I46" s="360">
        <f t="shared" si="4"/>
        <v>105.4</v>
      </c>
      <c r="J46" s="320">
        <v>105.4</v>
      </c>
      <c r="K46" s="355"/>
      <c r="L46" s="346"/>
      <c r="M46" s="10">
        <v>105.5</v>
      </c>
      <c r="N46" s="11">
        <v>105.5</v>
      </c>
      <c r="O46" s="226" t="s">
        <v>86</v>
      </c>
      <c r="P46" s="153">
        <v>17</v>
      </c>
      <c r="Q46" s="153">
        <v>17</v>
      </c>
      <c r="R46" s="152">
        <v>17</v>
      </c>
    </row>
    <row r="47" spans="1:20" ht="13.5" customHeight="1" thickBot="1" x14ac:dyDescent="0.25">
      <c r="A47" s="2291"/>
      <c r="B47" s="2301"/>
      <c r="C47" s="2290"/>
      <c r="D47" s="2146"/>
      <c r="E47" s="2303"/>
      <c r="F47" s="2051"/>
      <c r="G47" s="2295"/>
      <c r="H47" s="348" t="s">
        <v>23</v>
      </c>
      <c r="I47" s="363">
        <f>I46</f>
        <v>105.4</v>
      </c>
      <c r="J47" s="363">
        <f>J46</f>
        <v>105.4</v>
      </c>
      <c r="K47" s="342"/>
      <c r="L47" s="345"/>
      <c r="M47" s="350">
        <f>SUM(M46)</f>
        <v>105.5</v>
      </c>
      <c r="N47" s="341">
        <f>SUM(N46)</f>
        <v>105.5</v>
      </c>
      <c r="O47" s="117" t="s">
        <v>85</v>
      </c>
      <c r="P47" s="118">
        <v>11</v>
      </c>
      <c r="Q47" s="118">
        <v>11</v>
      </c>
      <c r="R47" s="243">
        <v>10</v>
      </c>
    </row>
    <row r="48" spans="1:20" ht="28.5" customHeight="1" x14ac:dyDescent="0.2">
      <c r="A48" s="2204" t="s">
        <v>20</v>
      </c>
      <c r="B48" s="442" t="s">
        <v>24</v>
      </c>
      <c r="C48" s="2280" t="s">
        <v>26</v>
      </c>
      <c r="D48" s="2258" t="s">
        <v>45</v>
      </c>
      <c r="E48" s="2260"/>
      <c r="F48" s="2265" t="s">
        <v>21</v>
      </c>
      <c r="G48" s="2142">
        <v>2</v>
      </c>
      <c r="H48" s="227" t="s">
        <v>22</v>
      </c>
      <c r="I48" s="338">
        <f>J48+L48</f>
        <v>136.69999999999999</v>
      </c>
      <c r="J48" s="339">
        <v>136.69999999999999</v>
      </c>
      <c r="K48" s="339"/>
      <c r="L48" s="417"/>
      <c r="M48" s="75">
        <v>140</v>
      </c>
      <c r="N48" s="7">
        <v>140</v>
      </c>
      <c r="O48" s="115" t="s">
        <v>128</v>
      </c>
      <c r="P48" s="451">
        <v>180</v>
      </c>
      <c r="Q48" s="97">
        <v>180</v>
      </c>
      <c r="R48" s="453">
        <v>180</v>
      </c>
    </row>
    <row r="49" spans="1:18" ht="13.5" customHeight="1" thickBot="1" x14ac:dyDescent="0.25">
      <c r="A49" s="2206"/>
      <c r="B49" s="443"/>
      <c r="C49" s="2281"/>
      <c r="D49" s="2259"/>
      <c r="E49" s="2261"/>
      <c r="F49" s="2266"/>
      <c r="G49" s="2143"/>
      <c r="H49" s="419" t="s">
        <v>23</v>
      </c>
      <c r="I49" s="367">
        <f>J49+L49</f>
        <v>136.69999999999999</v>
      </c>
      <c r="J49" s="370">
        <f>SUM(J48)</f>
        <v>136.69999999999999</v>
      </c>
      <c r="K49" s="367"/>
      <c r="L49" s="387"/>
      <c r="M49" s="365">
        <f>SUM(M48)</f>
        <v>140</v>
      </c>
      <c r="N49" s="366">
        <f>SUM(N48)</f>
        <v>140</v>
      </c>
      <c r="O49" s="77"/>
      <c r="P49" s="95"/>
      <c r="Q49" s="96"/>
      <c r="R49" s="454"/>
    </row>
    <row r="50" spans="1:18" ht="13.5" customHeight="1" x14ac:dyDescent="0.2">
      <c r="A50" s="2271" t="s">
        <v>20</v>
      </c>
      <c r="B50" s="2167" t="s">
        <v>24</v>
      </c>
      <c r="C50" s="2277" t="s">
        <v>28</v>
      </c>
      <c r="D50" s="2258" t="s">
        <v>125</v>
      </c>
      <c r="E50" s="2260" t="s">
        <v>126</v>
      </c>
      <c r="F50" s="2265" t="s">
        <v>21</v>
      </c>
      <c r="G50" s="2140">
        <v>2</v>
      </c>
      <c r="H50" s="609" t="s">
        <v>22</v>
      </c>
      <c r="I50" s="372"/>
      <c r="J50" s="373"/>
      <c r="K50" s="423"/>
      <c r="L50" s="610"/>
      <c r="M50" s="74">
        <v>100</v>
      </c>
      <c r="N50" s="7">
        <v>100</v>
      </c>
      <c r="O50" s="116" t="s">
        <v>66</v>
      </c>
      <c r="P50" s="88">
        <v>1</v>
      </c>
      <c r="Q50" s="88">
        <v>2</v>
      </c>
      <c r="R50" s="641">
        <v>2</v>
      </c>
    </row>
    <row r="51" spans="1:18" ht="13.5" customHeight="1" x14ac:dyDescent="0.2">
      <c r="A51" s="2205"/>
      <c r="B51" s="2209"/>
      <c r="C51" s="2278"/>
      <c r="D51" s="2313"/>
      <c r="E51" s="2312"/>
      <c r="F51" s="2311"/>
      <c r="G51" s="2289"/>
      <c r="H51" s="525" t="s">
        <v>25</v>
      </c>
      <c r="I51" s="377">
        <f>J51+L51</f>
        <v>31</v>
      </c>
      <c r="J51" s="378"/>
      <c r="K51" s="424"/>
      <c r="L51" s="529">
        <v>31</v>
      </c>
      <c r="M51" s="39"/>
      <c r="N51" s="39"/>
      <c r="O51" s="524"/>
      <c r="P51" s="428"/>
      <c r="Q51" s="428"/>
      <c r="R51" s="643"/>
    </row>
    <row r="52" spans="1:18" ht="13.5" customHeight="1" thickBot="1" x14ac:dyDescent="0.25">
      <c r="A52" s="2272"/>
      <c r="B52" s="2168"/>
      <c r="C52" s="2279"/>
      <c r="D52" s="2259"/>
      <c r="E52" s="2261"/>
      <c r="F52" s="2266"/>
      <c r="G52" s="2141"/>
      <c r="H52" s="420" t="s">
        <v>23</v>
      </c>
      <c r="I52" s="387">
        <f>J52+L52</f>
        <v>31</v>
      </c>
      <c r="J52" s="387"/>
      <c r="K52" s="370"/>
      <c r="L52" s="368">
        <f>SUM(L51)</f>
        <v>31</v>
      </c>
      <c r="M52" s="365">
        <f>SUM(M50)</f>
        <v>100</v>
      </c>
      <c r="N52" s="367">
        <f>SUM(N50)</f>
        <v>100</v>
      </c>
      <c r="O52" s="614"/>
      <c r="P52" s="639"/>
      <c r="Q52" s="639"/>
      <c r="R52" s="150"/>
    </row>
    <row r="53" spans="1:18" ht="41.25" customHeight="1" x14ac:dyDescent="0.2">
      <c r="A53" s="2271" t="s">
        <v>20</v>
      </c>
      <c r="B53" s="2167" t="s">
        <v>24</v>
      </c>
      <c r="C53" s="2277" t="s">
        <v>29</v>
      </c>
      <c r="D53" s="2258" t="s">
        <v>127</v>
      </c>
      <c r="E53" s="2260"/>
      <c r="F53" s="2265" t="s">
        <v>21</v>
      </c>
      <c r="G53" s="2140">
        <v>2</v>
      </c>
      <c r="H53" s="609" t="s">
        <v>25</v>
      </c>
      <c r="I53" s="372">
        <f>J53+L53</f>
        <v>992.1</v>
      </c>
      <c r="J53" s="373">
        <v>992.1</v>
      </c>
      <c r="K53" s="423"/>
      <c r="L53" s="610"/>
      <c r="M53" s="74">
        <v>4730.8999999999996</v>
      </c>
      <c r="N53" s="74">
        <v>4730.8999999999996</v>
      </c>
      <c r="O53" s="116" t="s">
        <v>66</v>
      </c>
      <c r="P53" s="88">
        <v>36</v>
      </c>
      <c r="Q53" s="88">
        <v>36</v>
      </c>
      <c r="R53" s="505">
        <v>36</v>
      </c>
    </row>
    <row r="54" spans="1:18" ht="13.5" customHeight="1" thickBot="1" x14ac:dyDescent="0.25">
      <c r="A54" s="2272"/>
      <c r="B54" s="2168"/>
      <c r="C54" s="2279"/>
      <c r="D54" s="2259"/>
      <c r="E54" s="2261"/>
      <c r="F54" s="2266"/>
      <c r="G54" s="2141"/>
      <c r="H54" s="420" t="s">
        <v>23</v>
      </c>
      <c r="I54" s="387">
        <f>I53</f>
        <v>992.1</v>
      </c>
      <c r="J54" s="387">
        <f>J53</f>
        <v>992.1</v>
      </c>
      <c r="K54" s="370"/>
      <c r="L54" s="368"/>
      <c r="M54" s="365">
        <f>SUM(M53)</f>
        <v>4730.8999999999996</v>
      </c>
      <c r="N54" s="367">
        <f>SUM(N53)</f>
        <v>4730.8999999999996</v>
      </c>
      <c r="O54" s="503"/>
      <c r="P54" s="504"/>
      <c r="Q54" s="504"/>
      <c r="R54" s="150"/>
    </row>
    <row r="55" spans="1:18" ht="16.5" customHeight="1" x14ac:dyDescent="0.2">
      <c r="A55" s="2204" t="s">
        <v>20</v>
      </c>
      <c r="B55" s="442" t="s">
        <v>24</v>
      </c>
      <c r="C55" s="2280" t="s">
        <v>30</v>
      </c>
      <c r="D55" s="2258" t="s">
        <v>157</v>
      </c>
      <c r="E55" s="2260"/>
      <c r="F55" s="2265" t="s">
        <v>21</v>
      </c>
      <c r="G55" s="2142">
        <v>2</v>
      </c>
      <c r="H55" s="227" t="s">
        <v>22</v>
      </c>
      <c r="I55" s="338">
        <f>J55+L55</f>
        <v>30</v>
      </c>
      <c r="J55" s="339">
        <v>30</v>
      </c>
      <c r="K55" s="339"/>
      <c r="L55" s="417"/>
      <c r="M55" s="75">
        <v>40</v>
      </c>
      <c r="N55" s="7">
        <v>40</v>
      </c>
      <c r="O55" s="115" t="s">
        <v>144</v>
      </c>
      <c r="P55" s="531">
        <v>5000</v>
      </c>
      <c r="Q55" s="532">
        <v>5000</v>
      </c>
      <c r="R55" s="533">
        <v>5000</v>
      </c>
    </row>
    <row r="56" spans="1:18" ht="13.5" customHeight="1" thickBot="1" x14ac:dyDescent="0.25">
      <c r="A56" s="2206"/>
      <c r="B56" s="443"/>
      <c r="C56" s="2281"/>
      <c r="D56" s="2259"/>
      <c r="E56" s="2261"/>
      <c r="F56" s="2266"/>
      <c r="G56" s="2143"/>
      <c r="H56" s="419" t="s">
        <v>23</v>
      </c>
      <c r="I56" s="367">
        <f>J56+L56</f>
        <v>30</v>
      </c>
      <c r="J56" s="370">
        <f>SUM(J55)</f>
        <v>30</v>
      </c>
      <c r="K56" s="367"/>
      <c r="L56" s="387"/>
      <c r="M56" s="365">
        <f>SUM(M55)</f>
        <v>40</v>
      </c>
      <c r="N56" s="366">
        <f>SUM(N55)</f>
        <v>40</v>
      </c>
      <c r="O56" s="77"/>
      <c r="P56" s="95"/>
      <c r="Q56" s="96"/>
      <c r="R56" s="454"/>
    </row>
    <row r="57" spans="1:18" ht="42.75" customHeight="1" x14ac:dyDescent="0.2">
      <c r="A57" s="2204" t="s">
        <v>20</v>
      </c>
      <c r="B57" s="442" t="s">
        <v>24</v>
      </c>
      <c r="C57" s="2280" t="s">
        <v>55</v>
      </c>
      <c r="D57" s="2258" t="s">
        <v>134</v>
      </c>
      <c r="E57" s="2260" t="s">
        <v>136</v>
      </c>
      <c r="F57" s="2265" t="s">
        <v>21</v>
      </c>
      <c r="G57" s="2142">
        <v>2</v>
      </c>
      <c r="H57" s="227" t="s">
        <v>22</v>
      </c>
      <c r="I57" s="338">
        <f>J57+L57</f>
        <v>218.2</v>
      </c>
      <c r="J57" s="339">
        <v>218.2</v>
      </c>
      <c r="K57" s="339"/>
      <c r="L57" s="417"/>
      <c r="M57" s="75">
        <v>220.4</v>
      </c>
      <c r="N57" s="7">
        <v>295.39999999999998</v>
      </c>
      <c r="O57" s="2251" t="s">
        <v>205</v>
      </c>
      <c r="P57" s="519">
        <v>29</v>
      </c>
      <c r="Q57" s="97">
        <v>17</v>
      </c>
      <c r="R57" s="514">
        <v>16</v>
      </c>
    </row>
    <row r="58" spans="1:18" ht="13.5" customHeight="1" thickBot="1" x14ac:dyDescent="0.25">
      <c r="A58" s="2206"/>
      <c r="B58" s="443"/>
      <c r="C58" s="2281"/>
      <c r="D58" s="2259"/>
      <c r="E58" s="2261"/>
      <c r="F58" s="2266"/>
      <c r="G58" s="2143"/>
      <c r="H58" s="419" t="s">
        <v>23</v>
      </c>
      <c r="I58" s="367">
        <f>J58+L58</f>
        <v>218.2</v>
      </c>
      <c r="J58" s="370">
        <f>SUM(J57)</f>
        <v>218.2</v>
      </c>
      <c r="K58" s="367"/>
      <c r="L58" s="387"/>
      <c r="M58" s="365">
        <f>SUM(M57)</f>
        <v>220.4</v>
      </c>
      <c r="N58" s="366">
        <f>SUM(N57)</f>
        <v>295.39999999999998</v>
      </c>
      <c r="O58" s="2252"/>
      <c r="P58" s="95"/>
      <c r="Q58" s="96"/>
      <c r="R58" s="454"/>
    </row>
    <row r="59" spans="1:18" ht="15" customHeight="1" thickBot="1" x14ac:dyDescent="0.25">
      <c r="A59" s="15" t="s">
        <v>20</v>
      </c>
      <c r="B59" s="14" t="s">
        <v>24</v>
      </c>
      <c r="C59" s="2154" t="s">
        <v>27</v>
      </c>
      <c r="D59" s="2154"/>
      <c r="E59" s="2154"/>
      <c r="F59" s="2154"/>
      <c r="G59" s="2154"/>
      <c r="H59" s="2154"/>
      <c r="I59" s="1">
        <f t="shared" ref="I59:N59" si="5">I49+I54+I52+I47+I45+I56+I58</f>
        <v>1578.8000000000002</v>
      </c>
      <c r="J59" s="1">
        <f>J49+J54+J52+J47+J45+J56+J58</f>
        <v>1547.8000000000002</v>
      </c>
      <c r="K59" s="1">
        <f t="shared" si="5"/>
        <v>0</v>
      </c>
      <c r="L59" s="1">
        <f t="shared" si="5"/>
        <v>31</v>
      </c>
      <c r="M59" s="1">
        <f t="shared" si="5"/>
        <v>5402.1999999999989</v>
      </c>
      <c r="N59" s="1">
        <f t="shared" si="5"/>
        <v>5477.1999999999989</v>
      </c>
      <c r="O59" s="463"/>
      <c r="P59" s="2254"/>
      <c r="Q59" s="2254"/>
      <c r="R59" s="2255"/>
    </row>
    <row r="60" spans="1:18" ht="14.25" customHeight="1" thickBot="1" x14ac:dyDescent="0.25">
      <c r="A60" s="438" t="s">
        <v>20</v>
      </c>
      <c r="B60" s="2306" t="s">
        <v>10</v>
      </c>
      <c r="C60" s="2307"/>
      <c r="D60" s="2307"/>
      <c r="E60" s="2307"/>
      <c r="F60" s="2307"/>
      <c r="G60" s="2307"/>
      <c r="H60" s="2307"/>
      <c r="I60" s="20">
        <f t="shared" ref="I60:N60" si="6">I59+I42</f>
        <v>189455.79999999996</v>
      </c>
      <c r="J60" s="20">
        <f t="shared" si="6"/>
        <v>189246.4</v>
      </c>
      <c r="K60" s="20">
        <f t="shared" si="6"/>
        <v>126925.3</v>
      </c>
      <c r="L60" s="20">
        <f>L59+L42</f>
        <v>209.4</v>
      </c>
      <c r="M60" s="20">
        <f t="shared" si="6"/>
        <v>194560.30000000002</v>
      </c>
      <c r="N60" s="20">
        <f t="shared" si="6"/>
        <v>193921.9</v>
      </c>
      <c r="O60" s="2159"/>
      <c r="P60" s="2160"/>
      <c r="Q60" s="2160"/>
      <c r="R60" s="2161"/>
    </row>
    <row r="61" spans="1:18" ht="15.75" customHeight="1" thickBot="1" x14ac:dyDescent="0.25">
      <c r="A61" s="437" t="s">
        <v>24</v>
      </c>
      <c r="B61" s="2308" t="s">
        <v>56</v>
      </c>
      <c r="C61" s="2309"/>
      <c r="D61" s="2309"/>
      <c r="E61" s="2309"/>
      <c r="F61" s="2309"/>
      <c r="G61" s="2309"/>
      <c r="H61" s="2309"/>
      <c r="I61" s="2309"/>
      <c r="J61" s="2309"/>
      <c r="K61" s="2309"/>
      <c r="L61" s="2309"/>
      <c r="M61" s="2309"/>
      <c r="N61" s="2309"/>
      <c r="O61" s="2309"/>
      <c r="P61" s="2309"/>
      <c r="Q61" s="2309"/>
      <c r="R61" s="2310"/>
    </row>
    <row r="62" spans="1:18" ht="17.25" customHeight="1" x14ac:dyDescent="0.2">
      <c r="A62" s="258" t="s">
        <v>24</v>
      </c>
      <c r="B62" s="693" t="s">
        <v>20</v>
      </c>
      <c r="C62" s="2060" t="s">
        <v>47</v>
      </c>
      <c r="D62" s="2061"/>
      <c r="E62" s="2061"/>
      <c r="F62" s="2061"/>
      <c r="G62" s="2061"/>
      <c r="H62" s="2061"/>
      <c r="I62" s="2061"/>
      <c r="J62" s="2061"/>
      <c r="K62" s="2061"/>
      <c r="L62" s="2061"/>
      <c r="M62" s="2061"/>
      <c r="N62" s="2061"/>
      <c r="O62" s="2061"/>
      <c r="P62" s="2061"/>
      <c r="Q62" s="2061"/>
      <c r="R62" s="2253"/>
    </row>
    <row r="63" spans="1:18" ht="26.25" customHeight="1" x14ac:dyDescent="0.2">
      <c r="A63" s="694" t="s">
        <v>24</v>
      </c>
      <c r="B63" s="681" t="s">
        <v>20</v>
      </c>
      <c r="C63" s="695" t="s">
        <v>20</v>
      </c>
      <c r="D63" s="696" t="s">
        <v>57</v>
      </c>
      <c r="E63" s="664" t="s">
        <v>4</v>
      </c>
      <c r="F63" s="663" t="s">
        <v>21</v>
      </c>
      <c r="G63" s="261">
        <v>5</v>
      </c>
      <c r="H63" s="24"/>
      <c r="I63" s="405"/>
      <c r="J63" s="331"/>
      <c r="K63" s="331"/>
      <c r="L63" s="331"/>
      <c r="M63" s="32"/>
      <c r="N63" s="38"/>
      <c r="O63" s="682"/>
      <c r="P63" s="164"/>
      <c r="Q63" s="99"/>
      <c r="R63" s="110"/>
    </row>
    <row r="64" spans="1:18" s="4" customFormat="1" ht="12.75" customHeight="1" x14ac:dyDescent="0.2">
      <c r="A64" s="163"/>
      <c r="B64" s="673"/>
      <c r="C64" s="680"/>
      <c r="D64" s="2245" t="s">
        <v>229</v>
      </c>
      <c r="E64" s="676" t="s">
        <v>58</v>
      </c>
      <c r="F64" s="666"/>
      <c r="G64" s="262"/>
      <c r="H64" s="24" t="s">
        <v>22</v>
      </c>
      <c r="I64" s="405">
        <f>J64+L64</f>
        <v>114.3</v>
      </c>
      <c r="J64" s="331"/>
      <c r="K64" s="331"/>
      <c r="L64" s="331">
        <v>114.3</v>
      </c>
      <c r="M64" s="591"/>
      <c r="N64" s="10"/>
      <c r="O64" s="2262" t="s">
        <v>106</v>
      </c>
      <c r="P64" s="164">
        <v>100</v>
      </c>
      <c r="Q64" s="99"/>
      <c r="R64" s="112"/>
    </row>
    <row r="65" spans="1:18" s="4" customFormat="1" ht="12.75" customHeight="1" x14ac:dyDescent="0.2">
      <c r="A65" s="163"/>
      <c r="B65" s="673"/>
      <c r="C65" s="680"/>
      <c r="D65" s="2246"/>
      <c r="E65" s="676"/>
      <c r="F65" s="666"/>
      <c r="G65" s="262"/>
      <c r="H65" s="24" t="s">
        <v>5</v>
      </c>
      <c r="I65" s="405"/>
      <c r="J65" s="331"/>
      <c r="K65" s="331"/>
      <c r="L65" s="331"/>
      <c r="M65" s="591"/>
      <c r="N65" s="10"/>
      <c r="O65" s="2263"/>
      <c r="P65" s="689"/>
      <c r="Q65" s="100"/>
      <c r="R65" s="113"/>
    </row>
    <row r="66" spans="1:18" s="4" customFormat="1" ht="14.25" customHeight="1" x14ac:dyDescent="0.2">
      <c r="A66" s="163"/>
      <c r="B66" s="673"/>
      <c r="C66" s="680"/>
      <c r="D66" s="2246"/>
      <c r="E66" s="676"/>
      <c r="F66" s="666"/>
      <c r="G66" s="262"/>
      <c r="H66" s="24" t="s">
        <v>6</v>
      </c>
      <c r="I66" s="329">
        <f>J66+L66</f>
        <v>1178.9000000000001</v>
      </c>
      <c r="J66" s="331">
        <v>23</v>
      </c>
      <c r="K66" s="331">
        <v>18.5</v>
      </c>
      <c r="L66" s="331">
        <v>1155.9000000000001</v>
      </c>
      <c r="M66" s="591"/>
      <c r="N66" s="10"/>
      <c r="O66" s="2264"/>
      <c r="P66" s="689"/>
      <c r="Q66" s="100"/>
      <c r="R66" s="113"/>
    </row>
    <row r="67" spans="1:18" s="4" customFormat="1" ht="12.75" customHeight="1" x14ac:dyDescent="0.2">
      <c r="A67" s="163"/>
      <c r="B67" s="673"/>
      <c r="C67" s="680"/>
      <c r="D67" s="2247"/>
      <c r="E67" s="676"/>
      <c r="F67" s="666"/>
      <c r="G67" s="262"/>
      <c r="H67" s="414" t="s">
        <v>23</v>
      </c>
      <c r="I67" s="384">
        <f>SUM(I64:I66)</f>
        <v>1293.2</v>
      </c>
      <c r="J67" s="383">
        <f>SUM(J64:J66)</f>
        <v>23</v>
      </c>
      <c r="K67" s="383">
        <f>SUM(K64:K66)</f>
        <v>18.5</v>
      </c>
      <c r="L67" s="356">
        <f>SUM(L64:L66)</f>
        <v>1270.2</v>
      </c>
      <c r="M67" s="648"/>
      <c r="N67" s="478"/>
      <c r="O67" s="79"/>
      <c r="P67" s="101"/>
      <c r="Q67" s="102"/>
      <c r="R67" s="114"/>
    </row>
    <row r="68" spans="1:18" s="4" customFormat="1" ht="13.5" customHeight="1" x14ac:dyDescent="0.2">
      <c r="A68" s="163"/>
      <c r="B68" s="673"/>
      <c r="C68" s="680"/>
      <c r="D68" s="2245" t="s">
        <v>182</v>
      </c>
      <c r="E68" s="676"/>
      <c r="F68" s="666"/>
      <c r="G68" s="262"/>
      <c r="H68" s="431" t="s">
        <v>7</v>
      </c>
      <c r="I68" s="405">
        <f>J68+L68</f>
        <v>56.9</v>
      </c>
      <c r="J68" s="331"/>
      <c r="K68" s="331"/>
      <c r="L68" s="331">
        <v>56.9</v>
      </c>
      <c r="M68" s="591"/>
      <c r="N68" s="10"/>
      <c r="O68" s="2262" t="s">
        <v>226</v>
      </c>
      <c r="P68" s="164">
        <v>100</v>
      </c>
      <c r="Q68" s="99"/>
      <c r="R68" s="112"/>
    </row>
    <row r="69" spans="1:18" s="4" customFormat="1" ht="13.5" customHeight="1" x14ac:dyDescent="0.2">
      <c r="A69" s="163"/>
      <c r="B69" s="673"/>
      <c r="C69" s="680"/>
      <c r="D69" s="2246"/>
      <c r="E69" s="676"/>
      <c r="F69" s="666"/>
      <c r="G69" s="262"/>
      <c r="H69" s="24" t="s">
        <v>6</v>
      </c>
      <c r="I69" s="405">
        <f>J69+L69</f>
        <v>539.70000000000005</v>
      </c>
      <c r="J69" s="331">
        <v>5</v>
      </c>
      <c r="K69" s="331">
        <v>3.8</v>
      </c>
      <c r="L69" s="331">
        <v>534.70000000000005</v>
      </c>
      <c r="M69" s="591"/>
      <c r="N69" s="10"/>
      <c r="O69" s="2263"/>
      <c r="P69" s="689"/>
      <c r="Q69" s="100"/>
      <c r="R69" s="113"/>
    </row>
    <row r="70" spans="1:18" s="4" customFormat="1" ht="13.5" customHeight="1" x14ac:dyDescent="0.2">
      <c r="A70" s="163"/>
      <c r="B70" s="673"/>
      <c r="C70" s="680"/>
      <c r="D70" s="2247"/>
      <c r="E70" s="676"/>
      <c r="F70" s="666"/>
      <c r="G70" s="262"/>
      <c r="H70" s="414" t="s">
        <v>23</v>
      </c>
      <c r="I70" s="384">
        <f>SUM(I68:I69)</f>
        <v>596.6</v>
      </c>
      <c r="J70" s="383">
        <f>SUM(J68:J69)</f>
        <v>5</v>
      </c>
      <c r="K70" s="383">
        <f>SUM(K68:K69)</f>
        <v>3.8</v>
      </c>
      <c r="L70" s="356">
        <f>SUM(L68:L69)</f>
        <v>591.6</v>
      </c>
      <c r="M70" s="648"/>
      <c r="N70" s="478"/>
      <c r="O70" s="683" t="s">
        <v>227</v>
      </c>
      <c r="P70" s="101"/>
      <c r="Q70" s="102"/>
      <c r="R70" s="114"/>
    </row>
    <row r="71" spans="1:18" s="4" customFormat="1" ht="17.25" customHeight="1" x14ac:dyDescent="0.2">
      <c r="A71" s="163"/>
      <c r="B71" s="673"/>
      <c r="C71" s="680"/>
      <c r="D71" s="2245" t="s">
        <v>183</v>
      </c>
      <c r="E71" s="676"/>
      <c r="F71" s="666"/>
      <c r="G71" s="262"/>
      <c r="H71" s="24" t="s">
        <v>22</v>
      </c>
      <c r="I71" s="405">
        <f>J71+L71</f>
        <v>168.4</v>
      </c>
      <c r="J71" s="331"/>
      <c r="K71" s="331"/>
      <c r="L71" s="331">
        <v>168.4</v>
      </c>
      <c r="M71" s="591"/>
      <c r="N71" s="10"/>
      <c r="O71" s="2147" t="s">
        <v>224</v>
      </c>
      <c r="P71" s="2136">
        <v>100</v>
      </c>
      <c r="Q71" s="2136"/>
      <c r="R71" s="184"/>
    </row>
    <row r="72" spans="1:18" s="4" customFormat="1" ht="13.5" customHeight="1" x14ac:dyDescent="0.2">
      <c r="A72" s="163"/>
      <c r="B72" s="673"/>
      <c r="C72" s="161"/>
      <c r="D72" s="2246"/>
      <c r="E72" s="676"/>
      <c r="F72" s="666"/>
      <c r="G72" s="262"/>
      <c r="H72" s="572" t="s">
        <v>23</v>
      </c>
      <c r="I72" s="353">
        <f>SUM(I71:I71)</f>
        <v>168.4</v>
      </c>
      <c r="J72" s="352"/>
      <c r="K72" s="352"/>
      <c r="L72" s="352">
        <f>SUM(L71:L71)</f>
        <v>168.4</v>
      </c>
      <c r="M72" s="656"/>
      <c r="N72" s="479"/>
      <c r="O72" s="1974"/>
      <c r="P72" s="2137"/>
      <c r="Q72" s="2137"/>
      <c r="R72" s="186"/>
    </row>
    <row r="73" spans="1:18" ht="13.5" customHeight="1" x14ac:dyDescent="0.2">
      <c r="A73" s="163"/>
      <c r="B73" s="673"/>
      <c r="C73" s="665"/>
      <c r="D73" s="2245" t="s">
        <v>184</v>
      </c>
      <c r="E73" s="522"/>
      <c r="F73" s="666"/>
      <c r="G73" s="262"/>
      <c r="H73" s="12" t="s">
        <v>5</v>
      </c>
      <c r="I73" s="405">
        <f>J73+L73</f>
        <v>0.2</v>
      </c>
      <c r="J73" s="330"/>
      <c r="K73" s="330"/>
      <c r="L73" s="406">
        <v>0.2</v>
      </c>
      <c r="M73" s="32"/>
      <c r="N73" s="38"/>
      <c r="O73" s="2267" t="s">
        <v>162</v>
      </c>
      <c r="P73" s="164">
        <v>100</v>
      </c>
      <c r="Q73" s="99"/>
      <c r="R73" s="110"/>
    </row>
    <row r="74" spans="1:18" ht="13.5" customHeight="1" x14ac:dyDescent="0.2">
      <c r="A74" s="163"/>
      <c r="B74" s="673"/>
      <c r="C74" s="665"/>
      <c r="D74" s="2246"/>
      <c r="E74" s="522"/>
      <c r="F74" s="666"/>
      <c r="G74" s="262"/>
      <c r="H74" s="690" t="s">
        <v>6</v>
      </c>
      <c r="I74" s="313">
        <f>J74+L74</f>
        <v>1.3</v>
      </c>
      <c r="J74" s="314"/>
      <c r="K74" s="314"/>
      <c r="L74" s="315">
        <v>1.3</v>
      </c>
      <c r="M74" s="564"/>
      <c r="N74" s="10"/>
      <c r="O74" s="2268"/>
      <c r="P74" s="689"/>
      <c r="Q74" s="100"/>
      <c r="R74" s="688"/>
    </row>
    <row r="75" spans="1:18" ht="13.5" customHeight="1" thickBot="1" x14ac:dyDescent="0.25">
      <c r="A75" s="668"/>
      <c r="B75" s="671"/>
      <c r="C75" s="661"/>
      <c r="D75" s="2133"/>
      <c r="E75" s="697"/>
      <c r="F75" s="662"/>
      <c r="G75" s="263"/>
      <c r="H75" s="698" t="s">
        <v>23</v>
      </c>
      <c r="I75" s="388">
        <f>J75+L75</f>
        <v>1.5</v>
      </c>
      <c r="J75" s="390"/>
      <c r="K75" s="390"/>
      <c r="L75" s="577">
        <f>SUM(L73:L74)</f>
        <v>1.5</v>
      </c>
      <c r="M75" s="658"/>
      <c r="N75" s="659"/>
      <c r="O75" s="2269"/>
      <c r="P75" s="685"/>
      <c r="Q75" s="92"/>
      <c r="R75" s="687"/>
    </row>
    <row r="76" spans="1:18" ht="13.5" customHeight="1" x14ac:dyDescent="0.2">
      <c r="A76" s="163"/>
      <c r="B76" s="513"/>
      <c r="C76" s="523"/>
      <c r="D76" s="2246" t="s">
        <v>196</v>
      </c>
      <c r="E76" s="299"/>
      <c r="F76" s="520"/>
      <c r="G76" s="262"/>
      <c r="H76" s="690" t="s">
        <v>53</v>
      </c>
      <c r="I76" s="313"/>
      <c r="J76" s="314"/>
      <c r="K76" s="314"/>
      <c r="L76" s="319"/>
      <c r="M76" s="564"/>
      <c r="N76" s="10"/>
      <c r="O76" s="2257" t="s">
        <v>173</v>
      </c>
      <c r="P76" s="689">
        <v>100</v>
      </c>
      <c r="Q76" s="100"/>
      <c r="R76" s="688"/>
    </row>
    <row r="77" spans="1:18" ht="13.5" customHeight="1" x14ac:dyDescent="0.2">
      <c r="A77" s="163"/>
      <c r="B77" s="619"/>
      <c r="C77" s="622"/>
      <c r="D77" s="2246"/>
      <c r="E77" s="611"/>
      <c r="F77" s="624"/>
      <c r="G77" s="262"/>
      <c r="H77" s="12" t="s">
        <v>5</v>
      </c>
      <c r="I77" s="313">
        <f t="shared" ref="I77:I84" si="7">J77+L77</f>
        <v>11.7</v>
      </c>
      <c r="J77" s="319"/>
      <c r="K77" s="319"/>
      <c r="L77" s="319">
        <v>11.7</v>
      </c>
      <c r="M77" s="564"/>
      <c r="N77" s="10"/>
      <c r="O77" s="2257"/>
      <c r="P77" s="644"/>
      <c r="Q77" s="100"/>
      <c r="R77" s="643"/>
    </row>
    <row r="78" spans="1:18" ht="13.5" customHeight="1" x14ac:dyDescent="0.2">
      <c r="A78" s="163"/>
      <c r="B78" s="619"/>
      <c r="C78" s="622"/>
      <c r="D78" s="2246"/>
      <c r="E78" s="611"/>
      <c r="F78" s="624"/>
      <c r="G78" s="262"/>
      <c r="H78" s="636" t="s">
        <v>6</v>
      </c>
      <c r="I78" s="405">
        <f t="shared" si="7"/>
        <v>66.099999999999994</v>
      </c>
      <c r="J78" s="331"/>
      <c r="K78" s="331"/>
      <c r="L78" s="331">
        <v>66.099999999999994</v>
      </c>
      <c r="M78" s="564"/>
      <c r="N78" s="10"/>
      <c r="O78" s="2257"/>
      <c r="P78" s="644"/>
      <c r="Q78" s="100"/>
      <c r="R78" s="643"/>
    </row>
    <row r="79" spans="1:18" ht="13.5" customHeight="1" x14ac:dyDescent="0.2">
      <c r="A79" s="163"/>
      <c r="B79" s="619"/>
      <c r="C79" s="622"/>
      <c r="D79" s="2247"/>
      <c r="E79" s="611"/>
      <c r="F79" s="624"/>
      <c r="G79" s="262"/>
      <c r="H79" s="433" t="s">
        <v>23</v>
      </c>
      <c r="I79" s="408">
        <f t="shared" si="7"/>
        <v>77.8</v>
      </c>
      <c r="J79" s="357"/>
      <c r="K79" s="357"/>
      <c r="L79" s="357">
        <f>SUM(L76:L78)</f>
        <v>77.8</v>
      </c>
      <c r="M79" s="648"/>
      <c r="N79" s="478"/>
      <c r="O79" s="2270"/>
      <c r="P79" s="165"/>
      <c r="Q79" s="104"/>
      <c r="R79" s="111"/>
    </row>
    <row r="80" spans="1:18" s="4" customFormat="1" ht="13.5" customHeight="1" x14ac:dyDescent="0.2">
      <c r="A80" s="163"/>
      <c r="B80" s="513"/>
      <c r="C80" s="523"/>
      <c r="D80" s="2245" t="s">
        <v>185</v>
      </c>
      <c r="E80" s="299"/>
      <c r="F80" s="520"/>
      <c r="G80" s="262"/>
      <c r="H80" s="430" t="s">
        <v>53</v>
      </c>
      <c r="I80" s="337">
        <f t="shared" si="7"/>
        <v>47</v>
      </c>
      <c r="J80" s="325"/>
      <c r="K80" s="325"/>
      <c r="L80" s="331">
        <v>47</v>
      </c>
      <c r="M80" s="564"/>
      <c r="N80" s="10"/>
      <c r="O80" s="2304" t="s">
        <v>163</v>
      </c>
      <c r="P80" s="1999">
        <v>100</v>
      </c>
      <c r="Q80" s="128"/>
      <c r="R80" s="112"/>
    </row>
    <row r="81" spans="1:18" s="4" customFormat="1" ht="13.5" customHeight="1" x14ac:dyDescent="0.2">
      <c r="A81" s="163"/>
      <c r="B81" s="619"/>
      <c r="C81" s="622"/>
      <c r="D81" s="2246"/>
      <c r="E81" s="611"/>
      <c r="F81" s="624"/>
      <c r="G81" s="262"/>
      <c r="H81" s="24" t="s">
        <v>5</v>
      </c>
      <c r="I81" s="405">
        <f t="shared" si="7"/>
        <v>15.8</v>
      </c>
      <c r="J81" s="331"/>
      <c r="K81" s="331"/>
      <c r="L81" s="331">
        <v>15.8</v>
      </c>
      <c r="M81" s="564"/>
      <c r="N81" s="10"/>
      <c r="O81" s="2305"/>
      <c r="P81" s="2000"/>
      <c r="Q81" s="93"/>
      <c r="R81" s="113"/>
    </row>
    <row r="82" spans="1:18" s="4" customFormat="1" ht="13.5" customHeight="1" x14ac:dyDescent="0.2">
      <c r="A82" s="163"/>
      <c r="B82" s="619"/>
      <c r="C82" s="622"/>
      <c r="D82" s="2246"/>
      <c r="E82" s="611"/>
      <c r="F82" s="624"/>
      <c r="G82" s="262"/>
      <c r="H82" s="24" t="s">
        <v>6</v>
      </c>
      <c r="I82" s="405">
        <f t="shared" si="7"/>
        <v>89.2</v>
      </c>
      <c r="J82" s="331"/>
      <c r="K82" s="331"/>
      <c r="L82" s="331">
        <v>89.2</v>
      </c>
      <c r="M82" s="564"/>
      <c r="N82" s="10"/>
      <c r="O82" s="2305"/>
      <c r="P82" s="2000"/>
      <c r="Q82" s="100"/>
      <c r="R82" s="113"/>
    </row>
    <row r="83" spans="1:18" s="4" customFormat="1" ht="13.5" customHeight="1" x14ac:dyDescent="0.2">
      <c r="A83" s="163"/>
      <c r="B83" s="513"/>
      <c r="C83" s="523"/>
      <c r="D83" s="2247"/>
      <c r="E83" s="711"/>
      <c r="F83" s="706"/>
      <c r="G83" s="262"/>
      <c r="H83" s="649" t="s">
        <v>23</v>
      </c>
      <c r="I83" s="650">
        <f t="shared" si="7"/>
        <v>152</v>
      </c>
      <c r="J83" s="651"/>
      <c r="K83" s="651"/>
      <c r="L83" s="651">
        <f>SUM(L80:L82)</f>
        <v>152</v>
      </c>
      <c r="M83" s="656"/>
      <c r="N83" s="479"/>
      <c r="O83" s="2305"/>
      <c r="P83" s="2000"/>
      <c r="Q83" s="657"/>
      <c r="R83" s="113"/>
    </row>
    <row r="84" spans="1:18" ht="13.5" customHeight="1" x14ac:dyDescent="0.2">
      <c r="A84" s="163"/>
      <c r="B84" s="513"/>
      <c r="C84" s="494"/>
      <c r="D84" s="2245" t="s">
        <v>70</v>
      </c>
      <c r="E84" s="522"/>
      <c r="F84" s="706"/>
      <c r="G84" s="262"/>
      <c r="H84" s="190" t="s">
        <v>53</v>
      </c>
      <c r="I84" s="337">
        <f t="shared" si="7"/>
        <v>24.8</v>
      </c>
      <c r="J84" s="323"/>
      <c r="K84" s="323"/>
      <c r="L84" s="325">
        <v>24.8</v>
      </c>
      <c r="M84" s="32"/>
      <c r="N84" s="38"/>
      <c r="O84" s="1991" t="s">
        <v>163</v>
      </c>
      <c r="P84" s="637">
        <v>100</v>
      </c>
      <c r="Q84" s="183"/>
      <c r="R84" s="184"/>
    </row>
    <row r="85" spans="1:18" ht="13.5" customHeight="1" x14ac:dyDescent="0.2">
      <c r="A85" s="163"/>
      <c r="B85" s="513"/>
      <c r="C85" s="494"/>
      <c r="D85" s="2246"/>
      <c r="E85" s="611"/>
      <c r="F85" s="624"/>
      <c r="G85" s="262"/>
      <c r="H85" s="190" t="s">
        <v>6</v>
      </c>
      <c r="I85" s="337"/>
      <c r="J85" s="323"/>
      <c r="K85" s="323"/>
      <c r="L85" s="325"/>
      <c r="M85" s="564"/>
      <c r="N85" s="10"/>
      <c r="O85" s="1992"/>
      <c r="P85" s="185"/>
      <c r="Q85" s="630"/>
      <c r="R85" s="186"/>
    </row>
    <row r="86" spans="1:18" ht="13.5" customHeight="1" x14ac:dyDescent="0.2">
      <c r="A86" s="163"/>
      <c r="B86" s="619"/>
      <c r="C86" s="634"/>
      <c r="D86" s="2246"/>
      <c r="E86" s="611"/>
      <c r="F86" s="624"/>
      <c r="G86" s="262"/>
      <c r="H86" s="392" t="s">
        <v>23</v>
      </c>
      <c r="I86" s="412">
        <f>J86+L86</f>
        <v>24.8</v>
      </c>
      <c r="J86" s="344"/>
      <c r="K86" s="344"/>
      <c r="L86" s="415">
        <f>SUM(L84:L85)</f>
        <v>24.8</v>
      </c>
      <c r="M86" s="416"/>
      <c r="N86" s="413"/>
      <c r="O86" s="187"/>
      <c r="P86" s="615"/>
      <c r="Q86" s="630"/>
      <c r="R86" s="186"/>
    </row>
    <row r="87" spans="1:18" ht="13.5" customHeight="1" thickBot="1" x14ac:dyDescent="0.25">
      <c r="A87" s="163"/>
      <c r="B87" s="619"/>
      <c r="C87" s="632"/>
      <c r="D87" s="2133"/>
      <c r="E87" s="1977" t="s">
        <v>225</v>
      </c>
      <c r="F87" s="1978"/>
      <c r="G87" s="1978"/>
      <c r="H87" s="1979"/>
      <c r="I87" s="341">
        <f t="shared" ref="I87:N87" si="8">I86+I83+I79+I75+I72+I70+I67</f>
        <v>2314.3000000000002</v>
      </c>
      <c r="J87" s="342">
        <f t="shared" si="8"/>
        <v>28</v>
      </c>
      <c r="K87" s="341">
        <f t="shared" si="8"/>
        <v>22.3</v>
      </c>
      <c r="L87" s="363">
        <f t="shared" si="8"/>
        <v>2286.3000000000002</v>
      </c>
      <c r="M87" s="350">
        <f t="shared" si="8"/>
        <v>0</v>
      </c>
      <c r="N87" s="351">
        <f t="shared" si="8"/>
        <v>0</v>
      </c>
      <c r="O87" s="589"/>
      <c r="P87" s="499"/>
      <c r="Q87" s="590"/>
      <c r="R87" s="435"/>
    </row>
    <row r="88" spans="1:18" ht="27.75" customHeight="1" x14ac:dyDescent="0.2">
      <c r="A88" s="667" t="s">
        <v>24</v>
      </c>
      <c r="B88" s="670" t="s">
        <v>20</v>
      </c>
      <c r="C88" s="660" t="s">
        <v>24</v>
      </c>
      <c r="D88" s="141" t="s">
        <v>46</v>
      </c>
      <c r="E88" s="592" t="s">
        <v>4</v>
      </c>
      <c r="F88" s="679" t="s">
        <v>21</v>
      </c>
      <c r="G88" s="138">
        <v>5</v>
      </c>
      <c r="H88" s="593"/>
      <c r="I88" s="326"/>
      <c r="J88" s="327"/>
      <c r="K88" s="327"/>
      <c r="L88" s="326"/>
      <c r="M88" s="22"/>
      <c r="N88" s="19"/>
      <c r="O88" s="116"/>
      <c r="P88" s="684"/>
      <c r="Q88" s="98"/>
      <c r="R88" s="686"/>
    </row>
    <row r="89" spans="1:18" s="4" customFormat="1" ht="23.25" customHeight="1" x14ac:dyDescent="0.2">
      <c r="A89" s="163"/>
      <c r="B89" s="673"/>
      <c r="C89" s="680"/>
      <c r="D89" s="2283" t="s">
        <v>186</v>
      </c>
      <c r="E89" s="676"/>
      <c r="F89" s="666"/>
      <c r="G89" s="262"/>
      <c r="H89" s="191" t="s">
        <v>53</v>
      </c>
      <c r="I89" s="332">
        <f>J89+L89</f>
        <v>725.7</v>
      </c>
      <c r="J89" s="330"/>
      <c r="K89" s="330"/>
      <c r="L89" s="332">
        <v>725.7</v>
      </c>
      <c r="M89" s="137"/>
      <c r="N89" s="36"/>
      <c r="O89" s="2267" t="s">
        <v>159</v>
      </c>
      <c r="P89" s="164"/>
      <c r="Q89" s="99"/>
      <c r="R89" s="110"/>
    </row>
    <row r="90" spans="1:18" s="4" customFormat="1" ht="23.25" customHeight="1" x14ac:dyDescent="0.2">
      <c r="A90" s="163"/>
      <c r="B90" s="673"/>
      <c r="C90" s="680"/>
      <c r="D90" s="2284"/>
      <c r="E90" s="676"/>
      <c r="F90" s="666"/>
      <c r="G90" s="262"/>
      <c r="H90" s="691" t="s">
        <v>5</v>
      </c>
      <c r="I90" s="332">
        <f>J90+L90</f>
        <v>38.1</v>
      </c>
      <c r="J90" s="323"/>
      <c r="K90" s="323"/>
      <c r="L90" s="324">
        <v>38.1</v>
      </c>
      <c r="M90" s="32"/>
      <c r="N90" s="37"/>
      <c r="O90" s="2268"/>
      <c r="P90" s="689"/>
      <c r="Q90" s="100"/>
      <c r="R90" s="688"/>
    </row>
    <row r="91" spans="1:18" s="4" customFormat="1" ht="23.25" customHeight="1" x14ac:dyDescent="0.2">
      <c r="A91" s="163"/>
      <c r="B91" s="673"/>
      <c r="C91" s="680"/>
      <c r="D91" s="2284"/>
      <c r="E91" s="676"/>
      <c r="F91" s="666"/>
      <c r="G91" s="262"/>
      <c r="H91" s="691" t="s">
        <v>6</v>
      </c>
      <c r="I91" s="332">
        <f>J91+L91</f>
        <v>216.1</v>
      </c>
      <c r="J91" s="323"/>
      <c r="K91" s="323"/>
      <c r="L91" s="324">
        <v>216.1</v>
      </c>
      <c r="M91" s="32"/>
      <c r="N91" s="37"/>
      <c r="O91" s="2268"/>
      <c r="P91" s="689"/>
      <c r="Q91" s="100"/>
      <c r="R91" s="688"/>
    </row>
    <row r="92" spans="1:18" s="4" customFormat="1" ht="23.25" customHeight="1" x14ac:dyDescent="0.2">
      <c r="A92" s="163"/>
      <c r="B92" s="673"/>
      <c r="C92" s="680"/>
      <c r="D92" s="2285"/>
      <c r="E92" s="676"/>
      <c r="F92" s="666"/>
      <c r="G92" s="262"/>
      <c r="H92" s="392" t="s">
        <v>23</v>
      </c>
      <c r="I92" s="395">
        <f>I91+I90+I89+I88</f>
        <v>979.90000000000009</v>
      </c>
      <c r="J92" s="394">
        <f>J91+J90+J89+J88</f>
        <v>0</v>
      </c>
      <c r="K92" s="394">
        <f>K91+K90+K89+K88</f>
        <v>0</v>
      </c>
      <c r="L92" s="395">
        <f>L91+L90+L89+L88</f>
        <v>979.90000000000009</v>
      </c>
      <c r="M92" s="656"/>
      <c r="N92" s="324"/>
      <c r="O92" s="2268"/>
      <c r="P92" s="689">
        <v>100</v>
      </c>
      <c r="Q92" s="100"/>
      <c r="R92" s="688"/>
    </row>
    <row r="93" spans="1:18" s="4" customFormat="1" ht="21" customHeight="1" x14ac:dyDescent="0.2">
      <c r="A93" s="163"/>
      <c r="B93" s="673"/>
      <c r="C93" s="680"/>
      <c r="D93" s="2283" t="s">
        <v>197</v>
      </c>
      <c r="E93" s="676"/>
      <c r="F93" s="666"/>
      <c r="G93" s="262"/>
      <c r="H93" s="191" t="s">
        <v>53</v>
      </c>
      <c r="I93" s="332">
        <f>J93+L93</f>
        <v>362.1</v>
      </c>
      <c r="J93" s="330"/>
      <c r="K93" s="330"/>
      <c r="L93" s="332">
        <v>362.1</v>
      </c>
      <c r="M93" s="32"/>
      <c r="N93" s="38"/>
      <c r="O93" s="2267" t="s">
        <v>160</v>
      </c>
      <c r="P93" s="164"/>
      <c r="Q93" s="99"/>
      <c r="R93" s="110"/>
    </row>
    <row r="94" spans="1:18" s="4" customFormat="1" ht="21" customHeight="1" x14ac:dyDescent="0.2">
      <c r="A94" s="163"/>
      <c r="B94" s="673"/>
      <c r="C94" s="680"/>
      <c r="D94" s="2284"/>
      <c r="E94" s="676"/>
      <c r="F94" s="666"/>
      <c r="G94" s="262"/>
      <c r="H94" s="691" t="s">
        <v>5</v>
      </c>
      <c r="I94" s="332"/>
      <c r="J94" s="323"/>
      <c r="K94" s="323"/>
      <c r="L94" s="324"/>
      <c r="M94" s="564"/>
      <c r="N94" s="10"/>
      <c r="O94" s="2268"/>
      <c r="P94" s="689"/>
      <c r="Q94" s="100"/>
      <c r="R94" s="688"/>
    </row>
    <row r="95" spans="1:18" s="4" customFormat="1" ht="21" customHeight="1" x14ac:dyDescent="0.2">
      <c r="A95" s="163"/>
      <c r="B95" s="673"/>
      <c r="C95" s="680"/>
      <c r="D95" s="2284"/>
      <c r="E95" s="676"/>
      <c r="F95" s="666"/>
      <c r="G95" s="262"/>
      <c r="H95" s="691" t="s">
        <v>174</v>
      </c>
      <c r="I95" s="332">
        <f>J95+L95</f>
        <v>1389.2</v>
      </c>
      <c r="J95" s="323"/>
      <c r="K95" s="323"/>
      <c r="L95" s="324">
        <v>1389.2</v>
      </c>
      <c r="M95" s="591"/>
      <c r="N95" s="10"/>
      <c r="O95" s="2268"/>
      <c r="P95" s="689"/>
      <c r="Q95" s="100"/>
      <c r="R95" s="688"/>
    </row>
    <row r="96" spans="1:18" s="4" customFormat="1" ht="18.75" customHeight="1" x14ac:dyDescent="0.2">
      <c r="A96" s="163"/>
      <c r="B96" s="673"/>
      <c r="C96" s="161"/>
      <c r="D96" s="2284"/>
      <c r="E96" s="676"/>
      <c r="F96" s="666"/>
      <c r="G96" s="262"/>
      <c r="H96" s="392" t="s">
        <v>23</v>
      </c>
      <c r="I96" s="395">
        <f>SUM(I93:I95)</f>
        <v>1751.3000000000002</v>
      </c>
      <c r="J96" s="394">
        <f>J95+J94+J93+J92</f>
        <v>0</v>
      </c>
      <c r="K96" s="394">
        <f>K95+K94+K93+K92</f>
        <v>0</v>
      </c>
      <c r="L96" s="395">
        <f>SUM(L93:L95)</f>
        <v>1751.3000000000002</v>
      </c>
      <c r="M96" s="656"/>
      <c r="N96" s="479"/>
      <c r="O96" s="2268"/>
      <c r="P96" s="689">
        <v>100</v>
      </c>
      <c r="Q96" s="100"/>
      <c r="R96" s="688"/>
    </row>
    <row r="97" spans="1:19" ht="26.25" customHeight="1" x14ac:dyDescent="0.2">
      <c r="A97" s="163"/>
      <c r="B97" s="673"/>
      <c r="C97" s="665"/>
      <c r="D97" s="674" t="s">
        <v>187</v>
      </c>
      <c r="E97" s="522"/>
      <c r="F97" s="666"/>
      <c r="G97" s="677"/>
      <c r="H97" s="12" t="s">
        <v>22</v>
      </c>
      <c r="I97" s="332">
        <f>J97+L97</f>
        <v>100</v>
      </c>
      <c r="J97" s="330"/>
      <c r="K97" s="330"/>
      <c r="L97" s="332">
        <v>100</v>
      </c>
      <c r="M97" s="135">
        <v>900</v>
      </c>
      <c r="N97" s="37">
        <v>600</v>
      </c>
      <c r="O97" s="645" t="s">
        <v>169</v>
      </c>
      <c r="P97" s="646"/>
      <c r="Q97" s="646">
        <v>1</v>
      </c>
      <c r="R97" s="647" t="s">
        <v>223</v>
      </c>
    </row>
    <row r="98" spans="1:19" ht="14.25" customHeight="1" x14ac:dyDescent="0.2">
      <c r="A98" s="163"/>
      <c r="B98" s="673"/>
      <c r="C98" s="665"/>
      <c r="D98" s="675"/>
      <c r="E98" s="522"/>
      <c r="F98" s="666"/>
      <c r="G98" s="262"/>
      <c r="H98" s="692" t="s">
        <v>6</v>
      </c>
      <c r="I98" s="324"/>
      <c r="J98" s="323"/>
      <c r="K98" s="323"/>
      <c r="L98" s="324"/>
      <c r="M98" s="67"/>
      <c r="N98" s="36">
        <v>3400</v>
      </c>
      <c r="O98" s="2267" t="s">
        <v>168</v>
      </c>
      <c r="P98" s="103"/>
      <c r="Q98" s="100">
        <v>20</v>
      </c>
      <c r="R98" s="688">
        <v>80</v>
      </c>
    </row>
    <row r="99" spans="1:19" ht="14.25" customHeight="1" thickBot="1" x14ac:dyDescent="0.25">
      <c r="A99" s="668"/>
      <c r="B99" s="671"/>
      <c r="C99" s="661"/>
      <c r="D99" s="678"/>
      <c r="E99" s="697"/>
      <c r="F99" s="662"/>
      <c r="G99" s="263"/>
      <c r="H99" s="348" t="s">
        <v>23</v>
      </c>
      <c r="I99" s="367">
        <f>J99+L99</f>
        <v>100</v>
      </c>
      <c r="J99" s="370"/>
      <c r="K99" s="370"/>
      <c r="L99" s="367">
        <f>SUM(L97:L98)</f>
        <v>100</v>
      </c>
      <c r="M99" s="365">
        <f>SUM(M97:M98)</f>
        <v>900</v>
      </c>
      <c r="N99" s="366">
        <f>SUM(N97:N98)</f>
        <v>4000</v>
      </c>
      <c r="O99" s="2269"/>
      <c r="P99" s="685"/>
      <c r="Q99" s="92"/>
      <c r="R99" s="687"/>
    </row>
    <row r="100" spans="1:19" ht="12" customHeight="1" x14ac:dyDescent="0.2">
      <c r="A100" s="163"/>
      <c r="B100" s="619"/>
      <c r="C100" s="634"/>
      <c r="D100" s="2282" t="s">
        <v>178</v>
      </c>
      <c r="E100" s="594"/>
      <c r="F100" s="624"/>
      <c r="G100" s="262"/>
      <c r="H100" s="690" t="s">
        <v>6</v>
      </c>
      <c r="I100" s="401"/>
      <c r="J100" s="402"/>
      <c r="K100" s="402"/>
      <c r="L100" s="699"/>
      <c r="M100" s="121"/>
      <c r="N100" s="122">
        <v>100</v>
      </c>
      <c r="O100" s="700" t="s">
        <v>152</v>
      </c>
      <c r="P100" s="595"/>
      <c r="Q100" s="701"/>
      <c r="R100" s="533">
        <v>1</v>
      </c>
      <c r="S100" s="120"/>
    </row>
    <row r="101" spans="1:19" ht="12" customHeight="1" x14ac:dyDescent="0.2">
      <c r="A101" s="617"/>
      <c r="B101" s="619"/>
      <c r="C101" s="634"/>
      <c r="D101" s="2282"/>
      <c r="E101" s="534"/>
      <c r="F101" s="624"/>
      <c r="G101" s="612"/>
      <c r="H101" s="432" t="s">
        <v>23</v>
      </c>
      <c r="I101" s="538"/>
      <c r="J101" s="537"/>
      <c r="K101" s="537"/>
      <c r="L101" s="536"/>
      <c r="M101" s="654"/>
      <c r="N101" s="653">
        <f>N100</f>
        <v>100</v>
      </c>
      <c r="O101" s="539"/>
      <c r="P101" s="644"/>
      <c r="Q101" s="100"/>
      <c r="R101" s="643"/>
    </row>
    <row r="102" spans="1:19" ht="13.5" customHeight="1" thickBot="1" x14ac:dyDescent="0.25">
      <c r="A102" s="616"/>
      <c r="B102" s="629"/>
      <c r="C102" s="268"/>
      <c r="D102" s="625"/>
      <c r="E102" s="1977" t="s">
        <v>225</v>
      </c>
      <c r="F102" s="1978"/>
      <c r="G102" s="1978"/>
      <c r="H102" s="1979"/>
      <c r="I102" s="371">
        <f>I101+I99+I96+I92</f>
        <v>2831.2000000000003</v>
      </c>
      <c r="J102" s="370">
        <f t="shared" ref="J102:N102" si="9">J101+J99+J96+J92</f>
        <v>0</v>
      </c>
      <c r="K102" s="370">
        <f t="shared" si="9"/>
        <v>0</v>
      </c>
      <c r="L102" s="367">
        <f t="shared" si="9"/>
        <v>2831.2000000000003</v>
      </c>
      <c r="M102" s="371">
        <f t="shared" si="9"/>
        <v>900</v>
      </c>
      <c r="N102" s="371">
        <f t="shared" si="9"/>
        <v>4100</v>
      </c>
      <c r="O102" s="80"/>
      <c r="P102" s="640"/>
      <c r="Q102" s="92"/>
      <c r="R102" s="642"/>
    </row>
    <row r="103" spans="1:19" ht="27" customHeight="1" x14ac:dyDescent="0.2">
      <c r="A103" s="163" t="s">
        <v>24</v>
      </c>
      <c r="B103" s="441" t="s">
        <v>20</v>
      </c>
      <c r="C103" s="172" t="s">
        <v>26</v>
      </c>
      <c r="D103" s="142" t="s">
        <v>52</v>
      </c>
      <c r="E103" s="611"/>
      <c r="F103" s="260"/>
      <c r="G103" s="633"/>
      <c r="H103" s="480"/>
      <c r="I103" s="375"/>
      <c r="J103" s="340"/>
      <c r="K103" s="340"/>
      <c r="L103" s="376"/>
      <c r="M103" s="41"/>
      <c r="N103" s="41"/>
      <c r="O103" s="655"/>
      <c r="P103" s="644"/>
      <c r="Q103" s="100"/>
      <c r="R103" s="643"/>
    </row>
    <row r="104" spans="1:19" ht="36.75" customHeight="1" x14ac:dyDescent="0.2">
      <c r="A104" s="163"/>
      <c r="B104" s="441"/>
      <c r="C104" s="172"/>
      <c r="D104" s="2246" t="s">
        <v>198</v>
      </c>
      <c r="E104" s="544" t="s">
        <v>130</v>
      </c>
      <c r="F104" s="2150" t="s">
        <v>21</v>
      </c>
      <c r="G104" s="2151">
        <v>2</v>
      </c>
      <c r="H104" s="466" t="s">
        <v>22</v>
      </c>
      <c r="I104" s="401">
        <f>J104+L104</f>
        <v>75</v>
      </c>
      <c r="J104" s="402">
        <v>75</v>
      </c>
      <c r="K104" s="402"/>
      <c r="L104" s="403"/>
      <c r="M104" s="121"/>
      <c r="N104" s="122"/>
      <c r="O104" s="1974" t="s">
        <v>151</v>
      </c>
      <c r="P104" s="518">
        <v>1</v>
      </c>
      <c r="Q104" s="100"/>
      <c r="R104" s="514"/>
    </row>
    <row r="105" spans="1:19" ht="13.5" customHeight="1" thickBot="1" x14ac:dyDescent="0.25">
      <c r="A105" s="163"/>
      <c r="B105" s="513"/>
      <c r="C105" s="172"/>
      <c r="D105" s="2246"/>
      <c r="E105" s="705" t="s">
        <v>60</v>
      </c>
      <c r="F105" s="2150"/>
      <c r="G105" s="2151"/>
      <c r="H105" s="392" t="s">
        <v>23</v>
      </c>
      <c r="I105" s="393">
        <f>J105+L105</f>
        <v>75</v>
      </c>
      <c r="J105" s="394">
        <f>J104</f>
        <v>75</v>
      </c>
      <c r="K105" s="394">
        <f>K104</f>
        <v>0</v>
      </c>
      <c r="L105" s="398">
        <f>L104</f>
        <v>0</v>
      </c>
      <c r="M105" s="400">
        <f>SUM(M104)</f>
        <v>0</v>
      </c>
      <c r="N105" s="399">
        <f>SUM(N104)</f>
        <v>0</v>
      </c>
      <c r="O105" s="2250"/>
      <c r="P105" s="94"/>
      <c r="Q105" s="91"/>
      <c r="R105" s="506"/>
    </row>
    <row r="106" spans="1:19" ht="39" customHeight="1" x14ac:dyDescent="0.2">
      <c r="A106" s="446" t="s">
        <v>24</v>
      </c>
      <c r="B106" s="442" t="s">
        <v>20</v>
      </c>
      <c r="C106" s="456" t="s">
        <v>28</v>
      </c>
      <c r="D106" s="1975" t="s">
        <v>214</v>
      </c>
      <c r="E106" s="2128"/>
      <c r="F106" s="229" t="s">
        <v>21</v>
      </c>
      <c r="G106" s="230">
        <v>6</v>
      </c>
      <c r="H106" s="467"/>
      <c r="I106" s="372"/>
      <c r="J106" s="373"/>
      <c r="K106" s="373"/>
      <c r="L106" s="374"/>
      <c r="M106" s="74"/>
      <c r="N106" s="74"/>
      <c r="O106" s="2"/>
      <c r="P106" s="103"/>
      <c r="Q106" s="100"/>
      <c r="R106" s="453"/>
    </row>
    <row r="107" spans="1:19" ht="12.75" customHeight="1" x14ac:dyDescent="0.2">
      <c r="A107" s="163"/>
      <c r="B107" s="441"/>
      <c r="C107" s="458"/>
      <c r="D107" s="1976"/>
      <c r="E107" s="2207"/>
      <c r="F107" s="139"/>
      <c r="G107" s="460"/>
      <c r="H107" s="466" t="s">
        <v>22</v>
      </c>
      <c r="I107" s="375">
        <f>J107+L107</f>
        <v>800</v>
      </c>
      <c r="J107" s="340">
        <v>800</v>
      </c>
      <c r="K107" s="340"/>
      <c r="L107" s="376"/>
      <c r="M107" s="41"/>
      <c r="N107" s="41"/>
      <c r="O107" s="1974" t="s">
        <v>82</v>
      </c>
      <c r="P107" s="450">
        <v>4</v>
      </c>
      <c r="Q107" s="100"/>
      <c r="R107" s="453"/>
    </row>
    <row r="108" spans="1:19" ht="13.5" customHeight="1" x14ac:dyDescent="0.2">
      <c r="A108" s="163"/>
      <c r="B108" s="441"/>
      <c r="C108" s="458"/>
      <c r="D108" s="142" t="s">
        <v>215</v>
      </c>
      <c r="E108" s="2207"/>
      <c r="F108" s="139"/>
      <c r="G108" s="460"/>
      <c r="H108" s="12"/>
      <c r="I108" s="377"/>
      <c r="J108" s="378"/>
      <c r="K108" s="378"/>
      <c r="L108" s="379"/>
      <c r="M108" s="39"/>
      <c r="N108" s="39"/>
      <c r="O108" s="1974"/>
      <c r="P108" s="450"/>
      <c r="Q108" s="100"/>
      <c r="R108" s="453"/>
    </row>
    <row r="109" spans="1:19" ht="13.5" customHeight="1" x14ac:dyDescent="0.2">
      <c r="A109" s="163"/>
      <c r="B109" s="441"/>
      <c r="C109" s="458"/>
      <c r="D109" s="142" t="s">
        <v>216</v>
      </c>
      <c r="E109" s="2207"/>
      <c r="F109" s="139"/>
      <c r="G109" s="460"/>
      <c r="H109" s="466"/>
      <c r="I109" s="375"/>
      <c r="J109" s="340"/>
      <c r="K109" s="340"/>
      <c r="L109" s="376"/>
      <c r="M109" s="41"/>
      <c r="N109" s="41"/>
      <c r="O109" s="1974"/>
      <c r="P109" s="450"/>
      <c r="Q109" s="100"/>
      <c r="R109" s="453"/>
    </row>
    <row r="110" spans="1:19" ht="13.5" customHeight="1" x14ac:dyDescent="0.2">
      <c r="A110" s="163"/>
      <c r="B110" s="441"/>
      <c r="C110" s="458"/>
      <c r="D110" s="142" t="s">
        <v>217</v>
      </c>
      <c r="E110" s="2207"/>
      <c r="F110" s="139"/>
      <c r="G110" s="460"/>
      <c r="H110" s="12"/>
      <c r="I110" s="377"/>
      <c r="J110" s="378"/>
      <c r="K110" s="378"/>
      <c r="L110" s="379"/>
      <c r="M110" s="39"/>
      <c r="N110" s="39"/>
      <c r="O110" s="1974"/>
      <c r="P110" s="450"/>
      <c r="Q110" s="100"/>
      <c r="R110" s="453"/>
    </row>
    <row r="111" spans="1:19" ht="14.25" customHeight="1" thickBot="1" x14ac:dyDescent="0.25">
      <c r="A111" s="447"/>
      <c r="B111" s="443"/>
      <c r="C111" s="440"/>
      <c r="D111" s="142" t="s">
        <v>218</v>
      </c>
      <c r="E111" s="2129"/>
      <c r="F111" s="462"/>
      <c r="G111" s="166"/>
      <c r="H111" s="348" t="s">
        <v>23</v>
      </c>
      <c r="I111" s="349">
        <f>SUM(I107:I110)</f>
        <v>800</v>
      </c>
      <c r="J111" s="342">
        <f>SUM(J107:J110)</f>
        <v>800</v>
      </c>
      <c r="K111" s="370"/>
      <c r="L111" s="366"/>
      <c r="M111" s="365">
        <f>SUM(M106:M110)</f>
        <v>0</v>
      </c>
      <c r="N111" s="366">
        <f>SUM(N106:N110)</f>
        <v>0</v>
      </c>
      <c r="O111" s="81"/>
      <c r="P111" s="90"/>
      <c r="Q111" s="91"/>
      <c r="R111" s="454"/>
    </row>
    <row r="112" spans="1:19" ht="27" customHeight="1" x14ac:dyDescent="0.2">
      <c r="A112" s="509" t="s">
        <v>24</v>
      </c>
      <c r="B112" s="511" t="s">
        <v>20</v>
      </c>
      <c r="C112" s="660" t="s">
        <v>29</v>
      </c>
      <c r="D112" s="141" t="s">
        <v>199</v>
      </c>
      <c r="E112" s="2128" t="s">
        <v>131</v>
      </c>
      <c r="F112" s="2276" t="s">
        <v>21</v>
      </c>
      <c r="G112" s="193"/>
      <c r="H112" s="13"/>
      <c r="I112" s="380"/>
      <c r="J112" s="339"/>
      <c r="K112" s="339"/>
      <c r="L112" s="436"/>
      <c r="M112" s="7"/>
      <c r="N112" s="75"/>
      <c r="O112" s="588"/>
      <c r="P112" s="742"/>
      <c r="Q112" s="98"/>
      <c r="R112" s="743"/>
    </row>
    <row r="113" spans="1:18" ht="14.25" customHeight="1" x14ac:dyDescent="0.2">
      <c r="A113" s="163"/>
      <c r="B113" s="513"/>
      <c r="C113" s="665"/>
      <c r="D113" s="2288" t="s">
        <v>149</v>
      </c>
      <c r="E113" s="2207"/>
      <c r="F113" s="2150"/>
      <c r="G113" s="502">
        <v>2</v>
      </c>
      <c r="H113" s="484" t="s">
        <v>22</v>
      </c>
      <c r="I113" s="382">
        <f>J113+L113</f>
        <v>10</v>
      </c>
      <c r="J113" s="323">
        <v>10</v>
      </c>
      <c r="K113" s="323"/>
      <c r="L113" s="479"/>
      <c r="M113" s="37">
        <v>50</v>
      </c>
      <c r="N113" s="32">
        <v>50</v>
      </c>
      <c r="O113" s="2147" t="s">
        <v>129</v>
      </c>
      <c r="P113" s="733">
        <v>1</v>
      </c>
      <c r="Q113" s="99"/>
      <c r="R113" s="737"/>
    </row>
    <row r="114" spans="1:18" ht="15" customHeight="1" x14ac:dyDescent="0.2">
      <c r="A114" s="163"/>
      <c r="B114" s="619"/>
      <c r="C114" s="665"/>
      <c r="D114" s="1976"/>
      <c r="E114" s="2207"/>
      <c r="F114" s="2150"/>
      <c r="G114" s="741">
        <v>6</v>
      </c>
      <c r="H114" s="749" t="s">
        <v>22</v>
      </c>
      <c r="I114" s="382">
        <f>J114+L114</f>
        <v>450</v>
      </c>
      <c r="J114" s="323">
        <v>450</v>
      </c>
      <c r="K114" s="344"/>
      <c r="L114" s="413"/>
      <c r="M114" s="750"/>
      <c r="N114" s="751"/>
      <c r="O114" s="1974"/>
      <c r="P114" s="734"/>
      <c r="Q114" s="100"/>
      <c r="R114" s="740"/>
    </row>
    <row r="115" spans="1:18" ht="15" customHeight="1" thickBot="1" x14ac:dyDescent="0.25">
      <c r="A115" s="745"/>
      <c r="B115" s="724"/>
      <c r="C115" s="735"/>
      <c r="D115" s="739"/>
      <c r="E115" s="730"/>
      <c r="F115" s="139"/>
      <c r="G115" s="736"/>
      <c r="H115" s="348" t="s">
        <v>23</v>
      </c>
      <c r="I115" s="349">
        <f>SUM(I113:I114)</f>
        <v>460</v>
      </c>
      <c r="J115" s="342">
        <f t="shared" ref="J115:N115" si="10">SUM(J113:J114)</f>
        <v>460</v>
      </c>
      <c r="K115" s="342"/>
      <c r="L115" s="341"/>
      <c r="M115" s="349">
        <f t="shared" si="10"/>
        <v>50</v>
      </c>
      <c r="N115" s="349">
        <f t="shared" si="10"/>
        <v>50</v>
      </c>
      <c r="O115" s="732"/>
      <c r="P115" s="499"/>
      <c r="Q115" s="92"/>
      <c r="R115" s="738"/>
    </row>
    <row r="116" spans="1:18" ht="26.25" customHeight="1" x14ac:dyDescent="0.2">
      <c r="A116" s="163"/>
      <c r="B116" s="441"/>
      <c r="C116" s="458"/>
      <c r="D116" s="2132" t="s">
        <v>202</v>
      </c>
      <c r="E116" s="752" t="s">
        <v>4</v>
      </c>
      <c r="F116" s="728"/>
      <c r="G116" s="2248">
        <v>5</v>
      </c>
      <c r="H116" s="485" t="s">
        <v>7</v>
      </c>
      <c r="I116" s="584">
        <f>J116+L116</f>
        <v>50</v>
      </c>
      <c r="J116" s="314"/>
      <c r="K116" s="314"/>
      <c r="L116" s="585">
        <v>50</v>
      </c>
      <c r="M116" s="748">
        <v>1000</v>
      </c>
      <c r="N116" s="213"/>
      <c r="O116" s="586" t="s">
        <v>169</v>
      </c>
      <c r="P116" s="495"/>
      <c r="Q116" s="495">
        <v>1</v>
      </c>
      <c r="R116" s="587"/>
    </row>
    <row r="117" spans="1:18" ht="16.5" customHeight="1" x14ac:dyDescent="0.2">
      <c r="A117" s="163"/>
      <c r="B117" s="441"/>
      <c r="C117" s="458"/>
      <c r="D117" s="2246"/>
      <c r="E117" s="753" t="s">
        <v>234</v>
      </c>
      <c r="F117" s="729"/>
      <c r="G117" s="2249"/>
      <c r="H117" s="484" t="s">
        <v>22</v>
      </c>
      <c r="I117" s="382"/>
      <c r="J117" s="323"/>
      <c r="K117" s="323"/>
      <c r="L117" s="479"/>
      <c r="M117" s="37"/>
      <c r="N117" s="32">
        <v>1050</v>
      </c>
      <c r="O117" s="2256" t="s">
        <v>177</v>
      </c>
      <c r="P117" s="164"/>
      <c r="Q117" s="99">
        <v>20</v>
      </c>
      <c r="R117" s="490">
        <v>100</v>
      </c>
    </row>
    <row r="118" spans="1:18" ht="15" customHeight="1" x14ac:dyDescent="0.2">
      <c r="A118" s="510"/>
      <c r="B118" s="513"/>
      <c r="C118" s="494"/>
      <c r="D118" s="675"/>
      <c r="E118" s="534"/>
      <c r="F118" s="729"/>
      <c r="G118" s="731"/>
      <c r="H118" s="754" t="s">
        <v>23</v>
      </c>
      <c r="I118" s="353">
        <f>SUM(I116:I117)</f>
        <v>50</v>
      </c>
      <c r="J118" s="343"/>
      <c r="K118" s="343"/>
      <c r="L118" s="413">
        <f t="shared" ref="L118" si="11">SUM(L113:L117)</f>
        <v>50</v>
      </c>
      <c r="M118" s="415">
        <f>SUM(M116:M117)</f>
        <v>1000</v>
      </c>
      <c r="N118" s="416">
        <f>SUM(N116:N117)</f>
        <v>1050</v>
      </c>
      <c r="O118" s="2257"/>
      <c r="P118" s="518"/>
      <c r="Q118" s="100"/>
      <c r="R118" s="491"/>
    </row>
    <row r="119" spans="1:18" ht="15" customHeight="1" thickBot="1" x14ac:dyDescent="0.25">
      <c r="A119" s="725"/>
      <c r="B119" s="724"/>
      <c r="C119" s="735"/>
      <c r="D119" s="723"/>
      <c r="E119" s="1977" t="s">
        <v>225</v>
      </c>
      <c r="F119" s="1978"/>
      <c r="G119" s="1978"/>
      <c r="H119" s="1979"/>
      <c r="I119" s="349">
        <f>I118+I115</f>
        <v>510</v>
      </c>
      <c r="J119" s="342">
        <f t="shared" ref="J119:N119" si="12">J118+J115</f>
        <v>460</v>
      </c>
      <c r="K119" s="341"/>
      <c r="L119" s="345">
        <f t="shared" si="12"/>
        <v>50</v>
      </c>
      <c r="M119" s="349">
        <f t="shared" si="12"/>
        <v>1050</v>
      </c>
      <c r="N119" s="349">
        <f t="shared" si="12"/>
        <v>1100</v>
      </c>
      <c r="O119" s="722"/>
      <c r="P119" s="744"/>
      <c r="Q119" s="100"/>
      <c r="R119" s="740"/>
    </row>
    <row r="120" spans="1:18" ht="14.25" customHeight="1" x14ac:dyDescent="0.2">
      <c r="A120" s="437" t="s">
        <v>24</v>
      </c>
      <c r="B120" s="442" t="s">
        <v>20</v>
      </c>
      <c r="C120" s="1962" t="s">
        <v>30</v>
      </c>
      <c r="D120" s="1964" t="s">
        <v>166</v>
      </c>
      <c r="E120" s="2149"/>
      <c r="F120" s="2275" t="s">
        <v>21</v>
      </c>
      <c r="G120" s="2148">
        <v>5</v>
      </c>
      <c r="H120" s="755" t="s">
        <v>6</v>
      </c>
      <c r="I120" s="756"/>
      <c r="J120" s="314"/>
      <c r="K120" s="757"/>
      <c r="L120" s="758"/>
      <c r="M120" s="21">
        <v>784.1</v>
      </c>
      <c r="N120" s="759"/>
      <c r="O120" s="1972" t="s">
        <v>170</v>
      </c>
      <c r="P120" s="449"/>
      <c r="Q120" s="98">
        <v>100</v>
      </c>
      <c r="R120" s="452"/>
    </row>
    <row r="121" spans="1:18" ht="14.25" customHeight="1" thickBot="1" x14ac:dyDescent="0.25">
      <c r="A121" s="438"/>
      <c r="B121" s="443"/>
      <c r="C121" s="1963"/>
      <c r="D121" s="1965"/>
      <c r="E121" s="1967"/>
      <c r="F121" s="1969"/>
      <c r="G121" s="1971"/>
      <c r="H121" s="362" t="s">
        <v>23</v>
      </c>
      <c r="I121" s="371"/>
      <c r="J121" s="370"/>
      <c r="K121" s="370"/>
      <c r="L121" s="366"/>
      <c r="M121" s="365">
        <f>M120</f>
        <v>784.1</v>
      </c>
      <c r="N121" s="366"/>
      <c r="O121" s="1973"/>
      <c r="P121" s="90"/>
      <c r="Q121" s="91"/>
      <c r="R121" s="454"/>
    </row>
    <row r="122" spans="1:18" ht="16.5" customHeight="1" x14ac:dyDescent="0.2">
      <c r="A122" s="707" t="s">
        <v>24</v>
      </c>
      <c r="B122" s="709" t="s">
        <v>20</v>
      </c>
      <c r="C122" s="1962" t="s">
        <v>55</v>
      </c>
      <c r="D122" s="1964" t="s">
        <v>233</v>
      </c>
      <c r="E122" s="1966"/>
      <c r="F122" s="1968" t="s">
        <v>21</v>
      </c>
      <c r="G122" s="1970">
        <v>5</v>
      </c>
      <c r="H122" s="202" t="s">
        <v>174</v>
      </c>
      <c r="I122" s="384"/>
      <c r="J122" s="330"/>
      <c r="K122" s="385"/>
      <c r="L122" s="386"/>
      <c r="M122" s="36"/>
      <c r="N122" s="42">
        <v>50</v>
      </c>
      <c r="O122" s="1972" t="s">
        <v>170</v>
      </c>
      <c r="P122" s="712"/>
      <c r="Q122" s="98"/>
      <c r="R122" s="713">
        <v>20</v>
      </c>
    </row>
    <row r="123" spans="1:18" ht="14.25" customHeight="1" thickBot="1" x14ac:dyDescent="0.25">
      <c r="A123" s="708"/>
      <c r="B123" s="710"/>
      <c r="C123" s="1963"/>
      <c r="D123" s="1965"/>
      <c r="E123" s="1967"/>
      <c r="F123" s="1969"/>
      <c r="G123" s="1971"/>
      <c r="H123" s="362" t="s">
        <v>23</v>
      </c>
      <c r="I123" s="371"/>
      <c r="J123" s="370"/>
      <c r="K123" s="370"/>
      <c r="L123" s="366"/>
      <c r="M123" s="365"/>
      <c r="N123" s="366">
        <f>N122</f>
        <v>50</v>
      </c>
      <c r="O123" s="1973"/>
      <c r="P123" s="90"/>
      <c r="Q123" s="91"/>
      <c r="R123" s="714"/>
    </row>
    <row r="124" spans="1:18" ht="16.5" customHeight="1" thickBot="1" x14ac:dyDescent="0.25">
      <c r="A124" s="15" t="s">
        <v>24</v>
      </c>
      <c r="B124" s="14" t="s">
        <v>20</v>
      </c>
      <c r="C124" s="2139" t="s">
        <v>27</v>
      </c>
      <c r="D124" s="2154"/>
      <c r="E124" s="2154"/>
      <c r="F124" s="2154"/>
      <c r="G124" s="2154"/>
      <c r="H124" s="2154"/>
      <c r="I124" s="672">
        <f>I123+I121+I119+I111+I105+I102+I87</f>
        <v>6530.5000000000009</v>
      </c>
      <c r="J124" s="608">
        <f t="shared" ref="J124:N124" si="13">J123+J121+J119+J111+J105+J102+J87</f>
        <v>1363</v>
      </c>
      <c r="K124" s="608">
        <f t="shared" si="13"/>
        <v>22.3</v>
      </c>
      <c r="L124" s="727">
        <f t="shared" si="13"/>
        <v>5167.5</v>
      </c>
      <c r="M124" s="726">
        <f t="shared" si="13"/>
        <v>2734.1</v>
      </c>
      <c r="N124" s="726">
        <f t="shared" si="13"/>
        <v>5250</v>
      </c>
      <c r="O124" s="2239"/>
      <c r="P124" s="2240"/>
      <c r="Q124" s="2240"/>
      <c r="R124" s="2241"/>
    </row>
    <row r="125" spans="1:18" ht="16.5" customHeight="1" thickBot="1" x14ac:dyDescent="0.25">
      <c r="A125" s="669" t="s">
        <v>24</v>
      </c>
      <c r="B125" s="14" t="s">
        <v>24</v>
      </c>
      <c r="C125" s="2152" t="s">
        <v>49</v>
      </c>
      <c r="D125" s="2153"/>
      <c r="E125" s="2153"/>
      <c r="F125" s="2153"/>
      <c r="G125" s="73"/>
      <c r="H125" s="124"/>
      <c r="I125" s="73"/>
      <c r="J125" s="73"/>
      <c r="K125" s="73"/>
      <c r="L125" s="73"/>
      <c r="M125" s="73"/>
      <c r="N125" s="73"/>
      <c r="O125" s="73"/>
      <c r="P125" s="73"/>
      <c r="Q125" s="2286"/>
      <c r="R125" s="2287"/>
    </row>
    <row r="126" spans="1:18" ht="39" customHeight="1" x14ac:dyDescent="0.2">
      <c r="A126" s="2201" t="s">
        <v>24</v>
      </c>
      <c r="B126" s="2208" t="s">
        <v>24</v>
      </c>
      <c r="C126" s="439" t="s">
        <v>20</v>
      </c>
      <c r="D126" s="2132" t="s">
        <v>150</v>
      </c>
      <c r="E126" s="2128" t="s">
        <v>135</v>
      </c>
      <c r="F126" s="2134" t="s">
        <v>21</v>
      </c>
      <c r="G126" s="2273">
        <v>2</v>
      </c>
      <c r="H126" s="123" t="s">
        <v>22</v>
      </c>
      <c r="I126" s="358">
        <f>J126+L126</f>
        <v>100</v>
      </c>
      <c r="J126" s="327">
        <v>100</v>
      </c>
      <c r="K126" s="327"/>
      <c r="L126" s="359"/>
      <c r="M126" s="42">
        <v>100</v>
      </c>
      <c r="N126" s="42">
        <v>100</v>
      </c>
      <c r="O126" s="2126" t="s">
        <v>91</v>
      </c>
      <c r="P126" s="231">
        <v>320</v>
      </c>
      <c r="Q126" s="231">
        <v>320</v>
      </c>
      <c r="R126" s="232">
        <v>320</v>
      </c>
    </row>
    <row r="127" spans="1:18" ht="29.25" customHeight="1" thickBot="1" x14ac:dyDescent="0.25">
      <c r="A127" s="2203"/>
      <c r="B127" s="2210"/>
      <c r="C127" s="440"/>
      <c r="D127" s="2133"/>
      <c r="E127" s="2129"/>
      <c r="F127" s="2135"/>
      <c r="G127" s="2274"/>
      <c r="H127" s="348" t="s">
        <v>23</v>
      </c>
      <c r="I127" s="349">
        <f>J127+L127</f>
        <v>100</v>
      </c>
      <c r="J127" s="342">
        <f>SUM(J126)</f>
        <v>100</v>
      </c>
      <c r="K127" s="342"/>
      <c r="L127" s="345"/>
      <c r="M127" s="350">
        <f>SUM(M126)</f>
        <v>100</v>
      </c>
      <c r="N127" s="351">
        <f>SUM(N126)</f>
        <v>100</v>
      </c>
      <c r="O127" s="2127"/>
      <c r="P127" s="143"/>
      <c r="Q127" s="143"/>
      <c r="R127" s="233"/>
    </row>
    <row r="128" spans="1:18" ht="28.5" customHeight="1" x14ac:dyDescent="0.2">
      <c r="A128" s="2233" t="s">
        <v>24</v>
      </c>
      <c r="B128" s="259" t="s">
        <v>24</v>
      </c>
      <c r="C128" s="456" t="s">
        <v>24</v>
      </c>
      <c r="D128" s="1975" t="s">
        <v>200</v>
      </c>
      <c r="E128" s="2128"/>
      <c r="F128" s="2134" t="s">
        <v>21</v>
      </c>
      <c r="G128" s="2235" t="s">
        <v>43</v>
      </c>
      <c r="H128" s="131" t="s">
        <v>22</v>
      </c>
      <c r="I128" s="360">
        <f>J128+L128</f>
        <v>150</v>
      </c>
      <c r="J128" s="320">
        <v>150</v>
      </c>
      <c r="K128" s="355"/>
      <c r="L128" s="346"/>
      <c r="M128" s="540">
        <v>250</v>
      </c>
      <c r="N128" s="540">
        <v>250</v>
      </c>
      <c r="O128" s="151" t="s">
        <v>206</v>
      </c>
      <c r="P128" s="105">
        <v>4</v>
      </c>
      <c r="Q128" s="106">
        <v>5</v>
      </c>
      <c r="R128" s="152">
        <v>5</v>
      </c>
    </row>
    <row r="129" spans="1:18" ht="26.25" customHeight="1" thickBot="1" x14ac:dyDescent="0.25">
      <c r="A129" s="2234"/>
      <c r="B129" s="471"/>
      <c r="C129" s="457"/>
      <c r="D129" s="2236"/>
      <c r="E129" s="2129"/>
      <c r="F129" s="2135"/>
      <c r="G129" s="2025"/>
      <c r="H129" s="362" t="s">
        <v>23</v>
      </c>
      <c r="I129" s="361">
        <f>J129+L129</f>
        <v>150</v>
      </c>
      <c r="J129" s="342">
        <f>J128</f>
        <v>150</v>
      </c>
      <c r="K129" s="342"/>
      <c r="L129" s="345"/>
      <c r="M129" s="350">
        <f>SUM(M128)</f>
        <v>250</v>
      </c>
      <c r="N129" s="351">
        <f>SUM(N128)</f>
        <v>250</v>
      </c>
      <c r="O129" s="119" t="s">
        <v>133</v>
      </c>
      <c r="P129" s="234">
        <v>60</v>
      </c>
      <c r="Q129" s="234">
        <v>75</v>
      </c>
      <c r="R129" s="235">
        <v>75</v>
      </c>
    </row>
    <row r="130" spans="1:18" ht="16.5" customHeight="1" thickBot="1" x14ac:dyDescent="0.25">
      <c r="A130" s="15" t="s">
        <v>24</v>
      </c>
      <c r="B130" s="14" t="s">
        <v>24</v>
      </c>
      <c r="C130" s="2139" t="s">
        <v>27</v>
      </c>
      <c r="D130" s="2154"/>
      <c r="E130" s="2154"/>
      <c r="F130" s="2154"/>
      <c r="G130" s="2154"/>
      <c r="H130" s="2154"/>
      <c r="I130" s="501">
        <f t="shared" ref="I130:N130" si="14">I129+I127</f>
        <v>250</v>
      </c>
      <c r="J130" s="608">
        <f t="shared" si="14"/>
        <v>250</v>
      </c>
      <c r="K130" s="608">
        <f t="shared" si="14"/>
        <v>0</v>
      </c>
      <c r="L130" s="607">
        <f t="shared" si="14"/>
        <v>0</v>
      </c>
      <c r="M130" s="30">
        <f t="shared" si="14"/>
        <v>350</v>
      </c>
      <c r="N130" s="30">
        <f t="shared" si="14"/>
        <v>350</v>
      </c>
      <c r="O130" s="2239"/>
      <c r="P130" s="2240"/>
      <c r="Q130" s="2240"/>
      <c r="R130" s="2241"/>
    </row>
    <row r="131" spans="1:18" ht="16.5" customHeight="1" thickBot="1" x14ac:dyDescent="0.25">
      <c r="A131" s="437" t="s">
        <v>24</v>
      </c>
      <c r="B131" s="148" t="s">
        <v>26</v>
      </c>
      <c r="C131" s="2237" t="s">
        <v>48</v>
      </c>
      <c r="D131" s="2237"/>
      <c r="E131" s="2237"/>
      <c r="F131" s="2237"/>
      <c r="G131" s="2237"/>
      <c r="H131" s="2237"/>
      <c r="I131" s="2237"/>
      <c r="J131" s="2237"/>
      <c r="K131" s="2237"/>
      <c r="L131" s="2237"/>
      <c r="M131" s="2237"/>
      <c r="N131" s="2237"/>
      <c r="O131" s="2237"/>
      <c r="P131" s="2237"/>
      <c r="Q131" s="2237"/>
      <c r="R131" s="2238"/>
    </row>
    <row r="132" spans="1:18" ht="26.25" customHeight="1" x14ac:dyDescent="0.2">
      <c r="A132" s="626" t="s">
        <v>24</v>
      </c>
      <c r="B132" s="628" t="s">
        <v>26</v>
      </c>
      <c r="C132" s="631" t="s">
        <v>20</v>
      </c>
      <c r="D132" s="141" t="s">
        <v>50</v>
      </c>
      <c r="E132" s="620"/>
      <c r="F132" s="623" t="s">
        <v>21</v>
      </c>
      <c r="G132" s="132">
        <v>6</v>
      </c>
      <c r="H132" s="635" t="s">
        <v>22</v>
      </c>
      <c r="I132" s="326">
        <f>J132+L132</f>
        <v>3109.3</v>
      </c>
      <c r="J132" s="327">
        <v>3109.3</v>
      </c>
      <c r="K132" s="354"/>
      <c r="L132" s="328"/>
      <c r="M132" s="22">
        <v>6389.3</v>
      </c>
      <c r="N132" s="42">
        <v>5990.3</v>
      </c>
      <c r="O132" s="180"/>
      <c r="P132" s="181"/>
      <c r="Q132" s="182"/>
      <c r="R132" s="641"/>
    </row>
    <row r="133" spans="1:18" ht="28.5" customHeight="1" x14ac:dyDescent="0.2">
      <c r="A133" s="163"/>
      <c r="B133" s="619"/>
      <c r="C133" s="632"/>
      <c r="D133" s="546" t="s">
        <v>188</v>
      </c>
      <c r="E133" s="613"/>
      <c r="F133" s="624"/>
      <c r="G133" s="133"/>
      <c r="H133" s="636" t="s">
        <v>25</v>
      </c>
      <c r="I133" s="355">
        <f>J133+L133</f>
        <v>23.7</v>
      </c>
      <c r="J133" s="320">
        <v>23.7</v>
      </c>
      <c r="K133" s="355"/>
      <c r="L133" s="321"/>
      <c r="M133" s="591"/>
      <c r="N133" s="591"/>
      <c r="O133" s="596" t="s">
        <v>78</v>
      </c>
      <c r="P133" s="595">
        <v>13</v>
      </c>
      <c r="Q133" s="595">
        <v>11</v>
      </c>
      <c r="R133" s="597">
        <v>14</v>
      </c>
    </row>
    <row r="134" spans="1:18" ht="27" customHeight="1" x14ac:dyDescent="0.2">
      <c r="A134" s="163"/>
      <c r="B134" s="619"/>
      <c r="C134" s="622"/>
      <c r="D134" s="546" t="s">
        <v>189</v>
      </c>
      <c r="E134" s="613"/>
      <c r="F134" s="624"/>
      <c r="G134" s="133"/>
      <c r="H134" s="636"/>
      <c r="I134" s="355"/>
      <c r="J134" s="320"/>
      <c r="K134" s="355"/>
      <c r="L134" s="321"/>
      <c r="M134" s="591"/>
      <c r="N134" s="591"/>
      <c r="O134" s="596" t="s">
        <v>79</v>
      </c>
      <c r="P134" s="615">
        <v>95</v>
      </c>
      <c r="Q134" s="615">
        <v>95</v>
      </c>
      <c r="R134" s="548">
        <v>95</v>
      </c>
    </row>
    <row r="135" spans="1:18" s="4" customFormat="1" ht="28.5" customHeight="1" x14ac:dyDescent="0.2">
      <c r="A135" s="163"/>
      <c r="B135" s="619"/>
      <c r="C135" s="622"/>
      <c r="D135" s="546" t="s">
        <v>190</v>
      </c>
      <c r="E135" s="613"/>
      <c r="F135" s="624"/>
      <c r="G135" s="434"/>
      <c r="H135" s="636"/>
      <c r="I135" s="355"/>
      <c r="J135" s="320"/>
      <c r="K135" s="355"/>
      <c r="L135" s="321"/>
      <c r="M135" s="591"/>
      <c r="N135" s="591"/>
      <c r="O135" s="596" t="s">
        <v>207</v>
      </c>
      <c r="P135" s="615">
        <v>30</v>
      </c>
      <c r="Q135" s="615">
        <v>30</v>
      </c>
      <c r="R135" s="548">
        <v>30</v>
      </c>
    </row>
    <row r="136" spans="1:18" ht="39.75" customHeight="1" x14ac:dyDescent="0.2">
      <c r="A136" s="163"/>
      <c r="B136" s="619"/>
      <c r="C136" s="161"/>
      <c r="D136" s="546" t="s">
        <v>191</v>
      </c>
      <c r="E136" s="613"/>
      <c r="F136" s="624"/>
      <c r="G136" s="133"/>
      <c r="H136" s="636"/>
      <c r="I136" s="355"/>
      <c r="J136" s="320"/>
      <c r="K136" s="355"/>
      <c r="L136" s="321"/>
      <c r="M136" s="591"/>
      <c r="N136" s="591"/>
      <c r="O136" s="596" t="s">
        <v>80</v>
      </c>
      <c r="P136" s="615">
        <v>5</v>
      </c>
      <c r="Q136" s="615">
        <v>3</v>
      </c>
      <c r="R136" s="548">
        <v>3</v>
      </c>
    </row>
    <row r="137" spans="1:18" s="4" customFormat="1" ht="17.25" customHeight="1" x14ac:dyDescent="0.2">
      <c r="A137" s="163"/>
      <c r="B137" s="619"/>
      <c r="C137" s="622"/>
      <c r="D137" s="546" t="s">
        <v>192</v>
      </c>
      <c r="E137" s="621"/>
      <c r="F137" s="624"/>
      <c r="G137" s="133"/>
      <c r="H137" s="636"/>
      <c r="I137" s="355"/>
      <c r="J137" s="320"/>
      <c r="K137" s="355"/>
      <c r="L137" s="321"/>
      <c r="M137" s="591"/>
      <c r="N137" s="591"/>
      <c r="O137" s="596" t="s">
        <v>83</v>
      </c>
      <c r="P137" s="204">
        <v>40.1</v>
      </c>
      <c r="Q137" s="204">
        <v>40.1</v>
      </c>
      <c r="R137" s="59">
        <v>40.1</v>
      </c>
    </row>
    <row r="138" spans="1:18" ht="26.25" customHeight="1" x14ac:dyDescent="0.2">
      <c r="A138" s="163"/>
      <c r="B138" s="619"/>
      <c r="C138" s="161"/>
      <c r="D138" s="546" t="s">
        <v>193</v>
      </c>
      <c r="E138" s="621"/>
      <c r="F138" s="624"/>
      <c r="G138" s="133"/>
      <c r="H138" s="636"/>
      <c r="I138" s="355"/>
      <c r="J138" s="320"/>
      <c r="K138" s="652"/>
      <c r="L138" s="651"/>
      <c r="M138" s="591"/>
      <c r="N138" s="591"/>
      <c r="O138" s="596" t="s">
        <v>175</v>
      </c>
      <c r="P138" s="615">
        <v>101</v>
      </c>
      <c r="Q138" s="615">
        <v>101</v>
      </c>
      <c r="R138" s="548">
        <v>101</v>
      </c>
    </row>
    <row r="139" spans="1:18" ht="28.5" customHeight="1" x14ac:dyDescent="0.2">
      <c r="A139" s="163"/>
      <c r="B139" s="619"/>
      <c r="C139" s="622"/>
      <c r="D139" s="546" t="s">
        <v>142</v>
      </c>
      <c r="E139" s="613"/>
      <c r="F139" s="624"/>
      <c r="G139" s="434"/>
      <c r="H139" s="638"/>
      <c r="I139" s="547"/>
      <c r="J139" s="320"/>
      <c r="K139" s="355"/>
      <c r="L139" s="321"/>
      <c r="M139" s="236"/>
      <c r="N139" s="236"/>
      <c r="O139" s="2039" t="s">
        <v>143</v>
      </c>
      <c r="P139" s="615"/>
      <c r="Q139" s="615">
        <v>10</v>
      </c>
      <c r="R139" s="548">
        <v>13</v>
      </c>
    </row>
    <row r="140" spans="1:18" ht="14.25" customHeight="1" thickBot="1" x14ac:dyDescent="0.25">
      <c r="A140" s="627"/>
      <c r="B140" s="629"/>
      <c r="C140" s="618"/>
      <c r="D140" s="600"/>
      <c r="E140" s="598"/>
      <c r="F140" s="601"/>
      <c r="G140" s="599"/>
      <c r="H140" s="348" t="s">
        <v>23</v>
      </c>
      <c r="I140" s="367">
        <f t="shared" ref="I140:I155" si="15">J140+L140</f>
        <v>3133</v>
      </c>
      <c r="J140" s="370">
        <f>SUM(J132:J139)</f>
        <v>3133</v>
      </c>
      <c r="K140" s="370"/>
      <c r="L140" s="387"/>
      <c r="M140" s="365">
        <f>SUM(M132:M139)</f>
        <v>6389.3</v>
      </c>
      <c r="N140" s="366">
        <f>SUM(N132:N139)</f>
        <v>5990.3</v>
      </c>
      <c r="O140" s="2244"/>
      <c r="P140" s="90"/>
      <c r="Q140" s="91"/>
      <c r="R140" s="642"/>
    </row>
    <row r="141" spans="1:18" ht="25.5" customHeight="1" x14ac:dyDescent="0.2">
      <c r="A141" s="446" t="s">
        <v>24</v>
      </c>
      <c r="B141" s="442" t="s">
        <v>26</v>
      </c>
      <c r="C141" s="439" t="s">
        <v>24</v>
      </c>
      <c r="D141" s="2132" t="s">
        <v>201</v>
      </c>
      <c r="E141" s="2193" t="s">
        <v>139</v>
      </c>
      <c r="F141" s="444" t="s">
        <v>21</v>
      </c>
      <c r="G141" s="2242">
        <v>6</v>
      </c>
      <c r="H141" s="13" t="s">
        <v>22</v>
      </c>
      <c r="I141" s="326">
        <f t="shared" ref="I141:I149" si="16">J141+L141</f>
        <v>75.3</v>
      </c>
      <c r="J141" s="327">
        <v>75.3</v>
      </c>
      <c r="K141" s="326"/>
      <c r="L141" s="328"/>
      <c r="M141" s="22">
        <v>180</v>
      </c>
      <c r="N141" s="42">
        <v>180</v>
      </c>
      <c r="O141" s="1972" t="s">
        <v>140</v>
      </c>
      <c r="P141" s="449">
        <v>1</v>
      </c>
      <c r="Q141" s="98">
        <v>2</v>
      </c>
      <c r="R141" s="152">
        <v>2</v>
      </c>
    </row>
    <row r="142" spans="1:18" ht="15" customHeight="1" thickBot="1" x14ac:dyDescent="0.25">
      <c r="A142" s="447"/>
      <c r="B142" s="443"/>
      <c r="C142" s="440"/>
      <c r="D142" s="2133"/>
      <c r="E142" s="2195"/>
      <c r="F142" s="465"/>
      <c r="G142" s="2243"/>
      <c r="H142" s="348" t="s">
        <v>23</v>
      </c>
      <c r="I142" s="341">
        <f t="shared" si="16"/>
        <v>75.3</v>
      </c>
      <c r="J142" s="342">
        <f>J141</f>
        <v>75.3</v>
      </c>
      <c r="K142" s="342">
        <f>K141</f>
        <v>0</v>
      </c>
      <c r="L142" s="342">
        <f>L141</f>
        <v>0</v>
      </c>
      <c r="M142" s="350">
        <f>SUM(M141)</f>
        <v>180</v>
      </c>
      <c r="N142" s="351">
        <f>SUM(N141)</f>
        <v>180</v>
      </c>
      <c r="O142" s="1973"/>
      <c r="P142" s="94"/>
      <c r="Q142" s="459"/>
      <c r="R142" s="219"/>
    </row>
    <row r="143" spans="1:18" ht="27" customHeight="1" x14ac:dyDescent="0.2">
      <c r="A143" s="2204" t="s">
        <v>24</v>
      </c>
      <c r="B143" s="2167" t="s">
        <v>26</v>
      </c>
      <c r="C143" s="147" t="s">
        <v>26</v>
      </c>
      <c r="D143" s="2124" t="s">
        <v>59</v>
      </c>
      <c r="E143" s="2193"/>
      <c r="F143" s="444" t="s">
        <v>21</v>
      </c>
      <c r="G143" s="2130">
        <v>2</v>
      </c>
      <c r="H143" s="129" t="s">
        <v>22</v>
      </c>
      <c r="I143" s="333">
        <f t="shared" si="16"/>
        <v>108</v>
      </c>
      <c r="J143" s="311">
        <v>108</v>
      </c>
      <c r="K143" s="311"/>
      <c r="L143" s="312"/>
      <c r="M143" s="42">
        <v>110</v>
      </c>
      <c r="N143" s="42">
        <v>110</v>
      </c>
      <c r="O143" s="2170" t="s">
        <v>92</v>
      </c>
      <c r="P143" s="237">
        <v>380</v>
      </c>
      <c r="Q143" s="238">
        <v>400</v>
      </c>
      <c r="R143" s="152">
        <v>400</v>
      </c>
    </row>
    <row r="144" spans="1:18" ht="15.75" customHeight="1" thickBot="1" x14ac:dyDescent="0.25">
      <c r="A144" s="2206"/>
      <c r="B144" s="2168"/>
      <c r="C144" s="145"/>
      <c r="D144" s="2125"/>
      <c r="E144" s="2195"/>
      <c r="F144" s="465"/>
      <c r="G144" s="2131"/>
      <c r="H144" s="348" t="s">
        <v>23</v>
      </c>
      <c r="I144" s="343">
        <f t="shared" si="16"/>
        <v>108</v>
      </c>
      <c r="J144" s="344">
        <f>SUM(J143)</f>
        <v>108</v>
      </c>
      <c r="K144" s="344"/>
      <c r="L144" s="345"/>
      <c r="M144" s="350">
        <f>SUM(M143)</f>
        <v>110</v>
      </c>
      <c r="N144" s="351">
        <f>SUM(N143)</f>
        <v>110</v>
      </c>
      <c r="O144" s="2029"/>
      <c r="P144" s="94"/>
      <c r="Q144" s="459"/>
      <c r="R144" s="219"/>
    </row>
    <row r="145" spans="1:18" ht="15" customHeight="1" x14ac:dyDescent="0.2">
      <c r="A145" s="2204" t="s">
        <v>24</v>
      </c>
      <c r="B145" s="2167" t="s">
        <v>26</v>
      </c>
      <c r="C145" s="147" t="s">
        <v>28</v>
      </c>
      <c r="D145" s="2124" t="s">
        <v>137</v>
      </c>
      <c r="E145" s="2193"/>
      <c r="F145" s="444" t="s">
        <v>21</v>
      </c>
      <c r="G145" s="2130">
        <v>2</v>
      </c>
      <c r="H145" s="129" t="s">
        <v>22</v>
      </c>
      <c r="I145" s="333">
        <f t="shared" si="16"/>
        <v>50</v>
      </c>
      <c r="J145" s="311">
        <v>42.8</v>
      </c>
      <c r="K145" s="311"/>
      <c r="L145" s="312">
        <v>7.2</v>
      </c>
      <c r="M145" s="42"/>
      <c r="N145" s="42"/>
      <c r="O145" s="2170" t="s">
        <v>138</v>
      </c>
      <c r="P145" s="237">
        <v>156</v>
      </c>
      <c r="Q145" s="238"/>
      <c r="R145" s="152"/>
    </row>
    <row r="146" spans="1:18" ht="15.75" customHeight="1" thickBot="1" x14ac:dyDescent="0.25">
      <c r="A146" s="2206"/>
      <c r="B146" s="2168"/>
      <c r="C146" s="145"/>
      <c r="D146" s="2125"/>
      <c r="E146" s="2195"/>
      <c r="F146" s="465"/>
      <c r="G146" s="2131"/>
      <c r="H146" s="348" t="s">
        <v>23</v>
      </c>
      <c r="I146" s="343">
        <f>J146+L146</f>
        <v>50</v>
      </c>
      <c r="J146" s="344">
        <f>SUM(J145)</f>
        <v>42.8</v>
      </c>
      <c r="K146" s="344"/>
      <c r="L146" s="345">
        <f>L145</f>
        <v>7.2</v>
      </c>
      <c r="M146" s="350">
        <f>SUM(M145)</f>
        <v>0</v>
      </c>
      <c r="N146" s="351">
        <f>SUM(N145)</f>
        <v>0</v>
      </c>
      <c r="O146" s="2029"/>
      <c r="P146" s="94"/>
      <c r="Q146" s="459"/>
      <c r="R146" s="219"/>
    </row>
    <row r="147" spans="1:18" ht="38.25" customHeight="1" x14ac:dyDescent="0.2">
      <c r="A147" s="2201" t="s">
        <v>24</v>
      </c>
      <c r="B147" s="2208" t="s">
        <v>26</v>
      </c>
      <c r="C147" s="147" t="s">
        <v>29</v>
      </c>
      <c r="D147" s="2124" t="s">
        <v>220</v>
      </c>
      <c r="E147" s="2128"/>
      <c r="F147" s="444" t="s">
        <v>21</v>
      </c>
      <c r="G147" s="2211">
        <v>2</v>
      </c>
      <c r="H147" s="129" t="s">
        <v>174</v>
      </c>
      <c r="I147" s="333">
        <f t="shared" si="16"/>
        <v>50</v>
      </c>
      <c r="J147" s="311">
        <v>50</v>
      </c>
      <c r="K147" s="311"/>
      <c r="L147" s="747"/>
      <c r="M147" s="22"/>
      <c r="N147" s="42"/>
      <c r="O147" s="154" t="s">
        <v>90</v>
      </c>
      <c r="P147" s="543">
        <v>6</v>
      </c>
      <c r="Q147" s="238">
        <v>6</v>
      </c>
      <c r="R147" s="152">
        <v>6</v>
      </c>
    </row>
    <row r="148" spans="1:18" ht="38.25" customHeight="1" x14ac:dyDescent="0.2">
      <c r="A148" s="2202"/>
      <c r="B148" s="2209"/>
      <c r="C148" s="146"/>
      <c r="D148" s="2192"/>
      <c r="E148" s="2207"/>
      <c r="F148" s="719"/>
      <c r="G148" s="2212"/>
      <c r="H148" s="720" t="s">
        <v>22</v>
      </c>
      <c r="I148" s="322"/>
      <c r="J148" s="320"/>
      <c r="K148" s="320"/>
      <c r="L148" s="321"/>
      <c r="M148" s="67">
        <v>50</v>
      </c>
      <c r="N148" s="36">
        <v>50</v>
      </c>
      <c r="O148" s="208"/>
      <c r="P148" s="746"/>
      <c r="Q148" s="276"/>
      <c r="R148" s="721"/>
    </row>
    <row r="149" spans="1:18" ht="16.5" customHeight="1" thickBot="1" x14ac:dyDescent="0.25">
      <c r="A149" s="2203"/>
      <c r="B149" s="2210"/>
      <c r="C149" s="145"/>
      <c r="D149" s="2125"/>
      <c r="E149" s="2129"/>
      <c r="F149" s="465"/>
      <c r="G149" s="2213"/>
      <c r="H149" s="348" t="s">
        <v>23</v>
      </c>
      <c r="I149" s="343">
        <f t="shared" si="16"/>
        <v>50</v>
      </c>
      <c r="J149" s="344">
        <f>J147</f>
        <v>50</v>
      </c>
      <c r="K149" s="344">
        <f>K147</f>
        <v>0</v>
      </c>
      <c r="L149" s="352">
        <f>L147</f>
        <v>0</v>
      </c>
      <c r="M149" s="350">
        <f>SUM(M147:M148)</f>
        <v>50</v>
      </c>
      <c r="N149" s="351">
        <f>SUM(N147:N148)</f>
        <v>50</v>
      </c>
      <c r="O149" s="76"/>
      <c r="P149" s="94"/>
      <c r="Q149" s="459"/>
      <c r="R149" s="219"/>
    </row>
    <row r="150" spans="1:18" ht="28.5" customHeight="1" x14ac:dyDescent="0.2">
      <c r="A150" s="2204" t="s">
        <v>24</v>
      </c>
      <c r="B150" s="2167" t="s">
        <v>26</v>
      </c>
      <c r="C150" s="147" t="s">
        <v>30</v>
      </c>
      <c r="D150" s="2124" t="s">
        <v>154</v>
      </c>
      <c r="E150" s="2193" t="s">
        <v>139</v>
      </c>
      <c r="F150" s="444" t="s">
        <v>21</v>
      </c>
      <c r="G150" s="2130">
        <v>6</v>
      </c>
      <c r="H150" s="129" t="s">
        <v>22</v>
      </c>
      <c r="I150" s="333"/>
      <c r="J150" s="311"/>
      <c r="K150" s="311"/>
      <c r="L150" s="312"/>
      <c r="M150" s="42">
        <v>80</v>
      </c>
      <c r="N150" s="42">
        <v>800</v>
      </c>
      <c r="O150" s="272" t="s">
        <v>153</v>
      </c>
      <c r="P150" s="237">
        <v>1</v>
      </c>
      <c r="Q150" s="238"/>
      <c r="R150" s="152"/>
    </row>
    <row r="151" spans="1:18" ht="17.25" customHeight="1" x14ac:dyDescent="0.2">
      <c r="A151" s="2205"/>
      <c r="B151" s="2209"/>
      <c r="C151" s="146"/>
      <c r="D151" s="2192"/>
      <c r="E151" s="2194"/>
      <c r="F151" s="445"/>
      <c r="G151" s="2232"/>
      <c r="H151" s="474"/>
      <c r="I151" s="322"/>
      <c r="J151" s="320"/>
      <c r="K151" s="320"/>
      <c r="L151" s="346"/>
      <c r="M151" s="67"/>
      <c r="N151" s="36"/>
      <c r="O151" s="274" t="s">
        <v>179</v>
      </c>
      <c r="P151" s="275"/>
      <c r="Q151" s="276">
        <v>1</v>
      </c>
      <c r="R151" s="473"/>
    </row>
    <row r="152" spans="1:18" ht="18" customHeight="1" thickBot="1" x14ac:dyDescent="0.25">
      <c r="A152" s="2206"/>
      <c r="B152" s="2168"/>
      <c r="C152" s="145"/>
      <c r="D152" s="2125"/>
      <c r="E152" s="2195"/>
      <c r="F152" s="465"/>
      <c r="G152" s="2131"/>
      <c r="H152" s="348" t="s">
        <v>23</v>
      </c>
      <c r="I152" s="343"/>
      <c r="J152" s="344"/>
      <c r="K152" s="344"/>
      <c r="L152" s="347"/>
      <c r="M152" s="350">
        <f>SUM(M150)</f>
        <v>80</v>
      </c>
      <c r="N152" s="351">
        <f>SUM(N150)</f>
        <v>800</v>
      </c>
      <c r="O152" s="273" t="s">
        <v>156</v>
      </c>
      <c r="P152" s="94"/>
      <c r="Q152" s="459"/>
      <c r="R152" s="219">
        <v>1</v>
      </c>
    </row>
    <row r="153" spans="1:18" ht="15" customHeight="1" thickBot="1" x14ac:dyDescent="0.25">
      <c r="A153" s="31" t="s">
        <v>24</v>
      </c>
      <c r="B153" s="33" t="s">
        <v>26</v>
      </c>
      <c r="C153" s="2139" t="s">
        <v>27</v>
      </c>
      <c r="D153" s="2154"/>
      <c r="E153" s="2154"/>
      <c r="F153" s="2154"/>
      <c r="G153" s="2154"/>
      <c r="H153" s="2154"/>
      <c r="I153" s="463">
        <f t="shared" ref="I153:N153" si="17">I149+I152+I146+I144+I142+I140</f>
        <v>3416.3</v>
      </c>
      <c r="J153" s="290">
        <f>J149+J152+J146+J144+J142+J140</f>
        <v>3409.1</v>
      </c>
      <c r="K153" s="464">
        <f t="shared" si="17"/>
        <v>0</v>
      </c>
      <c r="L153" s="288">
        <f>L149+L152+L146+L144+L142+L140</f>
        <v>7.2</v>
      </c>
      <c r="M153" s="1">
        <f t="shared" si="17"/>
        <v>6809.3</v>
      </c>
      <c r="N153" s="1">
        <f t="shared" si="17"/>
        <v>7130.3</v>
      </c>
      <c r="O153" s="2189"/>
      <c r="P153" s="2190"/>
      <c r="Q153" s="2190"/>
      <c r="R153" s="2191"/>
    </row>
    <row r="154" spans="1:18" ht="15.75" customHeight="1" thickBot="1" x14ac:dyDescent="0.25">
      <c r="A154" s="31" t="s">
        <v>24</v>
      </c>
      <c r="B154" s="2199" t="s">
        <v>10</v>
      </c>
      <c r="C154" s="2199"/>
      <c r="D154" s="2199"/>
      <c r="E154" s="2199"/>
      <c r="F154" s="2199"/>
      <c r="G154" s="2199"/>
      <c r="H154" s="2199"/>
      <c r="I154" s="301">
        <f t="shared" si="15"/>
        <v>10196.799999999999</v>
      </c>
      <c r="J154" s="302">
        <f>J153+J130+J124</f>
        <v>5022.1000000000004</v>
      </c>
      <c r="K154" s="302">
        <f>K153+K130+K124</f>
        <v>22.3</v>
      </c>
      <c r="L154" s="302">
        <f>L153+L130+L124</f>
        <v>5174.7</v>
      </c>
      <c r="M154" s="304">
        <f>M153+M130+M124</f>
        <v>9893.4</v>
      </c>
      <c r="N154" s="448">
        <f>N153+N130+N124</f>
        <v>12730.3</v>
      </c>
      <c r="O154" s="2159"/>
      <c r="P154" s="2160"/>
      <c r="Q154" s="2160"/>
      <c r="R154" s="2161"/>
    </row>
    <row r="155" spans="1:18" ht="14.25" customHeight="1" thickBot="1" x14ac:dyDescent="0.25">
      <c r="A155" s="34" t="s">
        <v>9</v>
      </c>
      <c r="B155" s="2200" t="s">
        <v>11</v>
      </c>
      <c r="C155" s="2200"/>
      <c r="D155" s="2200"/>
      <c r="E155" s="2200"/>
      <c r="F155" s="2200"/>
      <c r="G155" s="2200"/>
      <c r="H155" s="2200"/>
      <c r="I155" s="305">
        <f t="shared" si="15"/>
        <v>199652.6</v>
      </c>
      <c r="J155" s="306">
        <f>J154+J60</f>
        <v>194268.5</v>
      </c>
      <c r="K155" s="306">
        <f>K154+K60</f>
        <v>126947.6</v>
      </c>
      <c r="L155" s="306">
        <f>L154+L60</f>
        <v>5384.0999999999995</v>
      </c>
      <c r="M155" s="308">
        <f>M154+M60</f>
        <v>204453.7</v>
      </c>
      <c r="N155" s="461">
        <f>N154+N60</f>
        <v>206652.19999999998</v>
      </c>
      <c r="O155" s="2163"/>
      <c r="P155" s="2164"/>
      <c r="Q155" s="2164"/>
      <c r="R155" s="2165"/>
    </row>
    <row r="156" spans="1:18" s="5" customFormat="1" ht="19.5" customHeight="1" thickBot="1" x14ac:dyDescent="0.25">
      <c r="A156" s="2166" t="s">
        <v>2</v>
      </c>
      <c r="B156" s="2166"/>
      <c r="C156" s="2166"/>
      <c r="D156" s="2166"/>
      <c r="E156" s="2166"/>
      <c r="F156" s="2166"/>
      <c r="G156" s="2166"/>
      <c r="H156" s="2166"/>
      <c r="I156" s="2166"/>
      <c r="J156" s="2166"/>
      <c r="K156" s="2166"/>
      <c r="L156" s="2166"/>
      <c r="M156" s="2166"/>
      <c r="N156" s="2166"/>
      <c r="O156" s="309"/>
      <c r="P156" s="309"/>
      <c r="Q156" s="309"/>
      <c r="R156" s="107"/>
    </row>
    <row r="157" spans="1:18" s="6" customFormat="1" ht="34.5" customHeight="1" thickBot="1" x14ac:dyDescent="0.25">
      <c r="A157" s="2196" t="s">
        <v>3</v>
      </c>
      <c r="B157" s="2197"/>
      <c r="C157" s="2197"/>
      <c r="D157" s="2197"/>
      <c r="E157" s="2197"/>
      <c r="F157" s="2197"/>
      <c r="G157" s="2197"/>
      <c r="H157" s="2198"/>
      <c r="I157" s="2104" t="s">
        <v>108</v>
      </c>
      <c r="J157" s="2105"/>
      <c r="K157" s="2105"/>
      <c r="L157" s="2106"/>
      <c r="M157" s="85" t="s">
        <v>111</v>
      </c>
      <c r="N157" s="85" t="s">
        <v>112</v>
      </c>
      <c r="O157" s="83"/>
      <c r="P157" s="2162"/>
      <c r="Q157" s="2162"/>
      <c r="R157" s="72"/>
    </row>
    <row r="158" spans="1:18" s="6" customFormat="1" ht="12" customHeight="1" x14ac:dyDescent="0.2">
      <c r="A158" s="2186" t="s">
        <v>33</v>
      </c>
      <c r="B158" s="2187"/>
      <c r="C158" s="2187"/>
      <c r="D158" s="2187"/>
      <c r="E158" s="2187"/>
      <c r="F158" s="2187"/>
      <c r="G158" s="2187"/>
      <c r="H158" s="2188"/>
      <c r="I158" s="2184">
        <f ca="1">SUM(I159:L163)</f>
        <v>196056.3</v>
      </c>
      <c r="J158" s="2185"/>
      <c r="K158" s="2185"/>
      <c r="L158" s="2185"/>
      <c r="M158" s="86">
        <f>SUM(M159:M163)</f>
        <v>203669.59999999998</v>
      </c>
      <c r="N158" s="86">
        <f>SUM(N159:N163)</f>
        <v>203102.2</v>
      </c>
      <c r="O158" s="84"/>
      <c r="P158" s="2178"/>
      <c r="Q158" s="2178"/>
      <c r="R158" s="72"/>
    </row>
    <row r="159" spans="1:18" s="6" customFormat="1" ht="12" customHeight="1" x14ac:dyDescent="0.2">
      <c r="A159" s="2181" t="s">
        <v>36</v>
      </c>
      <c r="B159" s="2182"/>
      <c r="C159" s="2182"/>
      <c r="D159" s="2182"/>
      <c r="E159" s="2182"/>
      <c r="F159" s="2182"/>
      <c r="G159" s="2182"/>
      <c r="H159" s="2183"/>
      <c r="I159" s="2174">
        <f>SUMIF(H12:H151,"sb",I12:I151)</f>
        <v>74582.099999999991</v>
      </c>
      <c r="J159" s="2175"/>
      <c r="K159" s="2175"/>
      <c r="L159" s="2175"/>
      <c r="M159" s="68">
        <f>SUMIF(H12:H152,"sb",M12:M152)</f>
        <v>77266.399999999994</v>
      </c>
      <c r="N159" s="68">
        <f>SUMIF(H12:H152,"sb",N12:N152)</f>
        <v>78412.399999999994</v>
      </c>
      <c r="O159" s="82"/>
      <c r="P159" s="2169"/>
      <c r="Q159" s="2169"/>
      <c r="R159" s="72"/>
    </row>
    <row r="160" spans="1:18" s="6" customFormat="1" ht="14.25" customHeight="1" x14ac:dyDescent="0.2">
      <c r="A160" s="2181" t="s">
        <v>44</v>
      </c>
      <c r="B160" s="2182"/>
      <c r="C160" s="2182"/>
      <c r="D160" s="2182"/>
      <c r="E160" s="2182"/>
      <c r="F160" s="2182"/>
      <c r="G160" s="2182"/>
      <c r="H160" s="2183"/>
      <c r="I160" s="2174">
        <f>SUMIF(H10:H144,"sb(sp)",I10:I144)</f>
        <v>16236.6</v>
      </c>
      <c r="J160" s="2175"/>
      <c r="K160" s="2175"/>
      <c r="L160" s="2175"/>
      <c r="M160" s="68">
        <f>SUMIF(H12:H152,"sb(sp)",M12:M152)</f>
        <v>16189.6</v>
      </c>
      <c r="N160" s="68">
        <f>SUMIF(H12:H152,"sb(sp)",N12:N152)</f>
        <v>16189.6</v>
      </c>
      <c r="O160" s="82"/>
      <c r="P160" s="2169"/>
      <c r="Q160" s="2169"/>
      <c r="R160" s="72"/>
    </row>
    <row r="161" spans="1:18" s="6" customFormat="1" ht="14.25" customHeight="1" x14ac:dyDescent="0.2">
      <c r="A161" s="2181" t="s">
        <v>37</v>
      </c>
      <c r="B161" s="2182"/>
      <c r="C161" s="2182"/>
      <c r="D161" s="2182"/>
      <c r="E161" s="2182"/>
      <c r="F161" s="2182"/>
      <c r="G161" s="2182"/>
      <c r="H161" s="2183"/>
      <c r="I161" s="2174">
        <f>SUMIF(H12:H144,"sb(vb)",I12:I144)</f>
        <v>103971.09999999999</v>
      </c>
      <c r="J161" s="2175"/>
      <c r="K161" s="2175"/>
      <c r="L161" s="2175"/>
      <c r="M161" s="69">
        <f>SUMIF(H12:H147,"sb(vb)",M12:M147)</f>
        <v>109213.59999999999</v>
      </c>
      <c r="N161" s="69">
        <f>SUMIF(H12:H152,"sb(vb)",N12:N152)</f>
        <v>108500.2</v>
      </c>
      <c r="O161" s="82"/>
      <c r="P161" s="2169"/>
      <c r="Q161" s="2169"/>
      <c r="R161" s="72"/>
    </row>
    <row r="162" spans="1:18" s="6" customFormat="1" ht="12.75" customHeight="1" x14ac:dyDescent="0.2">
      <c r="A162" s="2181" t="s">
        <v>54</v>
      </c>
      <c r="B162" s="2182"/>
      <c r="C162" s="2182"/>
      <c r="D162" s="2182"/>
      <c r="E162" s="2182"/>
      <c r="F162" s="2182"/>
      <c r="G162" s="2182"/>
      <c r="H162" s="2183"/>
      <c r="I162" s="2157">
        <f>SUMIF(H15:H144,"sb(p)",I15:I144)</f>
        <v>1159.5999999999999</v>
      </c>
      <c r="J162" s="2158"/>
      <c r="K162" s="2158"/>
      <c r="L162" s="2158"/>
      <c r="M162" s="40">
        <f>SUMIF(H15:H152,"sb(p)",M15:M152)</f>
        <v>0</v>
      </c>
      <c r="N162" s="40">
        <f>SUMIF(H15:H152,#REF!,N15:N152)</f>
        <v>0</v>
      </c>
      <c r="O162" s="82"/>
      <c r="P162" s="2169"/>
      <c r="Q162" s="2169"/>
      <c r="R162" s="72"/>
    </row>
    <row r="163" spans="1:18" s="6" customFormat="1" ht="12.75" customHeight="1" thickBot="1" x14ac:dyDescent="0.25">
      <c r="A163" s="2223" t="s">
        <v>0</v>
      </c>
      <c r="B163" s="2224"/>
      <c r="C163" s="2224"/>
      <c r="D163" s="2224"/>
      <c r="E163" s="2224"/>
      <c r="F163" s="2224"/>
      <c r="G163" s="2224"/>
      <c r="H163" s="2225"/>
      <c r="I163" s="2176">
        <f ca="1">SUMIF(H10:H155,"pf",I10:I144)</f>
        <v>106.9</v>
      </c>
      <c r="J163" s="2177"/>
      <c r="K163" s="2177"/>
      <c r="L163" s="2177"/>
      <c r="M163" s="87">
        <f>SUMIF(H15:H147,"pf",M15:M147)</f>
        <v>1000</v>
      </c>
      <c r="N163" s="87">
        <f>SUMIF(H15:H152,"pf",N15:N152)</f>
        <v>0</v>
      </c>
      <c r="O163" s="45"/>
      <c r="P163" s="2169"/>
      <c r="Q163" s="2169"/>
      <c r="R163" s="72"/>
    </row>
    <row r="164" spans="1:18" s="6" customFormat="1" ht="12.75" customHeight="1" thickBot="1" x14ac:dyDescent="0.25">
      <c r="A164" s="2217" t="s">
        <v>34</v>
      </c>
      <c r="B164" s="2218"/>
      <c r="C164" s="2218"/>
      <c r="D164" s="2218"/>
      <c r="E164" s="2218"/>
      <c r="F164" s="2218"/>
      <c r="G164" s="2218"/>
      <c r="H164" s="2219"/>
      <c r="I164" s="2171">
        <f>SUM(I165:L167)</f>
        <v>3596.3</v>
      </c>
      <c r="J164" s="2172"/>
      <c r="K164" s="2172"/>
      <c r="L164" s="2172"/>
      <c r="M164" s="35">
        <f>SUM(M165:M167)</f>
        <v>784.1</v>
      </c>
      <c r="N164" s="35">
        <f>SUM(N165:N167)</f>
        <v>3550</v>
      </c>
      <c r="O164" s="60"/>
      <c r="P164" s="2179"/>
      <c r="Q164" s="2179"/>
      <c r="R164" s="72"/>
    </row>
    <row r="165" spans="1:18" s="6" customFormat="1" ht="12.75" customHeight="1" x14ac:dyDescent="0.2">
      <c r="A165" s="2220" t="s">
        <v>38</v>
      </c>
      <c r="B165" s="2221"/>
      <c r="C165" s="2221"/>
      <c r="D165" s="2221"/>
      <c r="E165" s="2221"/>
      <c r="F165" s="2221"/>
      <c r="G165" s="2221"/>
      <c r="H165" s="2222"/>
      <c r="I165" s="2157">
        <f>SUMIF(H10:H144,"es",I10:I144)</f>
        <v>2091.3000000000002</v>
      </c>
      <c r="J165" s="2158"/>
      <c r="K165" s="2158"/>
      <c r="L165" s="2158"/>
      <c r="M165" s="9">
        <f>SUMIF(H15:H147,"es",M15:M147)</f>
        <v>784.1</v>
      </c>
      <c r="N165" s="9">
        <f>SUMIF(H15:H152,"es",N15:N152)</f>
        <v>3500</v>
      </c>
      <c r="O165" s="45"/>
      <c r="P165" s="2173"/>
      <c r="Q165" s="2173"/>
      <c r="R165" s="72"/>
    </row>
    <row r="166" spans="1:18" s="6" customFormat="1" ht="12.75" customHeight="1" x14ac:dyDescent="0.2">
      <c r="A166" s="2226" t="s">
        <v>1</v>
      </c>
      <c r="B166" s="2227"/>
      <c r="C166" s="2227"/>
      <c r="D166" s="2227"/>
      <c r="E166" s="2227"/>
      <c r="F166" s="2227"/>
      <c r="G166" s="2227"/>
      <c r="H166" s="2228"/>
      <c r="I166" s="2174">
        <f>SUMIF(H10:H144,"lrvb",I10:I144)</f>
        <v>65.8</v>
      </c>
      <c r="J166" s="2175"/>
      <c r="K166" s="2175"/>
      <c r="L166" s="2175"/>
      <c r="M166" s="70">
        <f>SUMIF(H15:H143,"lrvb",M15:M143)</f>
        <v>0</v>
      </c>
      <c r="N166" s="70">
        <f>SUMIF(H15:H152,"lrvb",N15:N152)</f>
        <v>0</v>
      </c>
      <c r="O166" s="45"/>
      <c r="P166" s="2173"/>
      <c r="Q166" s="2173"/>
      <c r="R166" s="72"/>
    </row>
    <row r="167" spans="1:18" s="6" customFormat="1" ht="12.75" customHeight="1" thickBot="1" x14ac:dyDescent="0.25">
      <c r="A167" s="2229" t="s">
        <v>180</v>
      </c>
      <c r="B167" s="2230"/>
      <c r="C167" s="2230"/>
      <c r="D167" s="2230"/>
      <c r="E167" s="2230"/>
      <c r="F167" s="2230"/>
      <c r="G167" s="2230"/>
      <c r="H167" s="2231"/>
      <c r="I167" s="2176">
        <f>SUMIF(H15:H150,"kt",I15:I151)</f>
        <v>1439.2</v>
      </c>
      <c r="J167" s="2177"/>
      <c r="K167" s="2177"/>
      <c r="L167" s="2180"/>
      <c r="M167" s="87">
        <f>SUMIF(H12:H150,"kt",M12:M150)</f>
        <v>0</v>
      </c>
      <c r="N167" s="87">
        <f>SUMIF(H12:H150,"Kt",N12:N150)</f>
        <v>50</v>
      </c>
      <c r="O167" s="45"/>
      <c r="P167" s="508"/>
      <c r="Q167" s="508"/>
      <c r="R167" s="72"/>
    </row>
    <row r="168" spans="1:18" ht="12.75" customHeight="1" thickBot="1" x14ac:dyDescent="0.25">
      <c r="A168" s="2214" t="s">
        <v>35</v>
      </c>
      <c r="B168" s="2215"/>
      <c r="C168" s="2215"/>
      <c r="D168" s="2215"/>
      <c r="E168" s="2215"/>
      <c r="F168" s="2215"/>
      <c r="G168" s="2215"/>
      <c r="H168" s="2216"/>
      <c r="I168" s="2155">
        <f ca="1">I164+I158</f>
        <v>199652.59999999998</v>
      </c>
      <c r="J168" s="2156"/>
      <c r="K168" s="2156"/>
      <c r="L168" s="2156"/>
      <c r="M168" s="426">
        <f>M158+M164</f>
        <v>204453.69999999998</v>
      </c>
      <c r="N168" s="426">
        <f>N164+N158</f>
        <v>206652.2</v>
      </c>
      <c r="O168" s="84"/>
      <c r="P168" s="2178"/>
      <c r="Q168" s="2178"/>
    </row>
    <row r="169" spans="1:18" x14ac:dyDescent="0.2">
      <c r="J169" s="239"/>
      <c r="M169" s="239"/>
      <c r="N169" s="239"/>
    </row>
    <row r="170" spans="1:18" x14ac:dyDescent="0.2">
      <c r="D170" s="2"/>
      <c r="E170" s="251"/>
      <c r="F170" s="251"/>
      <c r="G170" s="71"/>
      <c r="H170" s="125"/>
      <c r="I170" s="175"/>
      <c r="J170" s="2"/>
      <c r="K170" s="2"/>
      <c r="L170" s="2"/>
      <c r="M170" s="2"/>
      <c r="N170" s="2"/>
    </row>
    <row r="171" spans="1:18" x14ac:dyDescent="0.2">
      <c r="D171" s="2"/>
      <c r="E171" s="251"/>
      <c r="F171" s="251"/>
      <c r="G171" s="71"/>
      <c r="H171" s="125"/>
      <c r="I171" s="2"/>
      <c r="J171" s="2"/>
      <c r="K171" s="2"/>
      <c r="L171" s="2"/>
      <c r="M171" s="2"/>
      <c r="N171" s="2"/>
    </row>
    <row r="172" spans="1:18" x14ac:dyDescent="0.2">
      <c r="D172" s="2"/>
      <c r="E172" s="251"/>
      <c r="F172" s="251"/>
      <c r="G172" s="71"/>
      <c r="H172" s="125"/>
      <c r="I172" s="2"/>
      <c r="J172" s="2"/>
      <c r="K172" s="2"/>
      <c r="L172" s="2"/>
      <c r="M172" s="2"/>
      <c r="N172" s="2"/>
    </row>
    <row r="173" spans="1:18" x14ac:dyDescent="0.2">
      <c r="D173" s="2"/>
      <c r="E173" s="251"/>
      <c r="F173" s="251"/>
      <c r="G173" s="71"/>
      <c r="H173" s="125"/>
      <c r="I173" s="2"/>
      <c r="J173" s="2"/>
      <c r="K173" s="2"/>
      <c r="L173" s="2"/>
      <c r="M173" s="2"/>
      <c r="N173" s="2"/>
    </row>
    <row r="174" spans="1:18" x14ac:dyDescent="0.2">
      <c r="D174" s="2"/>
      <c r="E174" s="251"/>
      <c r="F174" s="251"/>
      <c r="G174" s="71"/>
      <c r="H174" s="125"/>
      <c r="I174" s="2"/>
      <c r="J174" s="2"/>
      <c r="K174" s="2"/>
      <c r="L174" s="2"/>
      <c r="M174" s="2"/>
      <c r="N174" s="2"/>
    </row>
    <row r="175" spans="1:18" x14ac:dyDescent="0.2">
      <c r="D175" s="2"/>
      <c r="E175" s="251"/>
      <c r="F175" s="251"/>
      <c r="G175" s="71"/>
      <c r="H175" s="125"/>
      <c r="I175" s="2"/>
      <c r="J175" s="2"/>
      <c r="K175" s="2"/>
      <c r="L175" s="2"/>
      <c r="M175" s="2"/>
      <c r="N175" s="2"/>
    </row>
    <row r="176" spans="1:18" x14ac:dyDescent="0.2">
      <c r="D176" s="2"/>
      <c r="E176" s="251"/>
      <c r="F176" s="251"/>
      <c r="G176" s="71"/>
      <c r="H176" s="125"/>
      <c r="I176" s="2"/>
      <c r="J176" s="2"/>
      <c r="K176" s="2"/>
      <c r="L176" s="2"/>
      <c r="M176" s="2"/>
      <c r="N176" s="2"/>
    </row>
    <row r="177" spans="1:18" x14ac:dyDescent="0.2">
      <c r="D177" s="2"/>
      <c r="E177" s="251"/>
      <c r="F177" s="251"/>
      <c r="G177" s="71"/>
      <c r="H177" s="125"/>
      <c r="I177" s="2"/>
      <c r="J177" s="2"/>
      <c r="K177" s="2"/>
      <c r="L177" s="2"/>
      <c r="M177" s="2"/>
      <c r="N177" s="2"/>
    </row>
    <row r="178" spans="1:18" x14ac:dyDescent="0.2">
      <c r="D178" s="2"/>
      <c r="E178" s="251"/>
      <c r="F178" s="251"/>
      <c r="G178" s="71"/>
      <c r="H178" s="125"/>
      <c r="I178" s="2"/>
      <c r="J178" s="2"/>
      <c r="K178" s="2"/>
      <c r="L178" s="2"/>
      <c r="M178" s="2"/>
      <c r="N178" s="2"/>
    </row>
    <row r="179" spans="1:18" x14ac:dyDescent="0.2">
      <c r="D179" s="2"/>
      <c r="E179" s="251"/>
      <c r="F179" s="251"/>
      <c r="G179" s="71"/>
      <c r="H179" s="125"/>
      <c r="I179" s="2"/>
      <c r="J179" s="2"/>
      <c r="K179" s="2"/>
      <c r="L179" s="2"/>
      <c r="M179" s="2"/>
      <c r="N179" s="2"/>
    </row>
    <row r="180" spans="1:18" x14ac:dyDescent="0.2">
      <c r="D180" s="2"/>
      <c r="E180" s="251"/>
      <c r="F180" s="251"/>
      <c r="G180" s="71"/>
      <c r="H180" s="125"/>
      <c r="I180" s="2"/>
      <c r="J180" s="2"/>
      <c r="K180" s="2"/>
      <c r="L180" s="2"/>
      <c r="M180" s="2"/>
      <c r="N180" s="2"/>
    </row>
    <row r="181" spans="1:18" x14ac:dyDescent="0.2">
      <c r="A181" s="2"/>
      <c r="B181" s="2"/>
      <c r="C181" s="2"/>
      <c r="D181" s="2"/>
      <c r="E181" s="251"/>
      <c r="F181" s="251"/>
      <c r="G181" s="71"/>
      <c r="H181" s="125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51"/>
      <c r="F182" s="251"/>
      <c r="G182" s="71"/>
      <c r="H182" s="125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51"/>
      <c r="F183" s="251"/>
      <c r="G183" s="71"/>
      <c r="H183" s="125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51"/>
      <c r="F184" s="251"/>
      <c r="G184" s="71"/>
      <c r="H184" s="125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51"/>
      <c r="F185" s="251"/>
      <c r="G185" s="71"/>
      <c r="H185" s="125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51"/>
      <c r="F186" s="251"/>
      <c r="G186" s="71"/>
      <c r="H186" s="125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251"/>
      <c r="F187" s="251"/>
      <c r="G187" s="71"/>
      <c r="H187" s="125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251"/>
      <c r="F188" s="251"/>
      <c r="G188" s="71"/>
      <c r="H188" s="125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2"/>
      <c r="B189" s="2"/>
      <c r="C189" s="2"/>
      <c r="D189" s="2"/>
      <c r="E189" s="251"/>
      <c r="F189" s="251"/>
      <c r="G189" s="71"/>
      <c r="H189" s="125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2"/>
      <c r="B190" s="2"/>
      <c r="C190" s="2"/>
      <c r="D190" s="2"/>
      <c r="E190" s="251"/>
      <c r="F190" s="251"/>
      <c r="G190" s="71"/>
      <c r="H190" s="125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2"/>
      <c r="B191" s="2"/>
      <c r="C191" s="2"/>
      <c r="D191" s="2"/>
      <c r="E191" s="251"/>
      <c r="F191" s="251"/>
      <c r="G191" s="71"/>
      <c r="H191" s="125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">
      <c r="A192" s="2"/>
      <c r="B192" s="2"/>
      <c r="C192" s="2"/>
      <c r="D192" s="2"/>
      <c r="E192" s="251"/>
      <c r="F192" s="251"/>
      <c r="G192" s="71"/>
      <c r="H192" s="125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2"/>
      <c r="B193" s="2"/>
      <c r="C193" s="2"/>
      <c r="D193" s="2"/>
      <c r="E193" s="251"/>
      <c r="F193" s="251"/>
      <c r="G193" s="71"/>
      <c r="H193" s="125"/>
      <c r="I193" s="2"/>
      <c r="J193" s="2"/>
      <c r="K193" s="2"/>
      <c r="L193" s="2"/>
      <c r="M193" s="2"/>
      <c r="N193" s="2"/>
      <c r="O193" s="2"/>
      <c r="P193" s="2"/>
      <c r="Q193" s="2"/>
      <c r="R193" s="2"/>
    </row>
  </sheetData>
  <mergeCells count="300">
    <mergeCell ref="O98:O99"/>
    <mergeCell ref="O80:O83"/>
    <mergeCell ref="D76:D79"/>
    <mergeCell ref="D73:D75"/>
    <mergeCell ref="B50:B52"/>
    <mergeCell ref="B60:H60"/>
    <mergeCell ref="B61:R61"/>
    <mergeCell ref="D64:D67"/>
    <mergeCell ref="O60:R60"/>
    <mergeCell ref="D53:D54"/>
    <mergeCell ref="F50:F52"/>
    <mergeCell ref="F57:F58"/>
    <mergeCell ref="E50:E52"/>
    <mergeCell ref="B53:B54"/>
    <mergeCell ref="D57:D58"/>
    <mergeCell ref="C55:C56"/>
    <mergeCell ref="D50:D52"/>
    <mergeCell ref="E53:E54"/>
    <mergeCell ref="F53:F54"/>
    <mergeCell ref="E87:H87"/>
    <mergeCell ref="A48:A49"/>
    <mergeCell ref="C46:C47"/>
    <mergeCell ref="A46:A47"/>
    <mergeCell ref="A38:A40"/>
    <mergeCell ref="D44:D45"/>
    <mergeCell ref="C48:C49"/>
    <mergeCell ref="D48:D49"/>
    <mergeCell ref="B38:B40"/>
    <mergeCell ref="G46:G47"/>
    <mergeCell ref="E38:E41"/>
    <mergeCell ref="G48:G49"/>
    <mergeCell ref="C38:C40"/>
    <mergeCell ref="G44:G45"/>
    <mergeCell ref="F44:F45"/>
    <mergeCell ref="F46:F47"/>
    <mergeCell ref="C43:R43"/>
    <mergeCell ref="B46:B47"/>
    <mergeCell ref="B44:B45"/>
    <mergeCell ref="E44:E45"/>
    <mergeCell ref="F48:F49"/>
    <mergeCell ref="E48:E49"/>
    <mergeCell ref="E46:E47"/>
    <mergeCell ref="A50:A52"/>
    <mergeCell ref="O124:R124"/>
    <mergeCell ref="G126:G127"/>
    <mergeCell ref="D120:D121"/>
    <mergeCell ref="E55:E56"/>
    <mergeCell ref="F120:F121"/>
    <mergeCell ref="F112:F114"/>
    <mergeCell ref="E106:E111"/>
    <mergeCell ref="C50:C52"/>
    <mergeCell ref="C57:C58"/>
    <mergeCell ref="C59:H59"/>
    <mergeCell ref="C53:C54"/>
    <mergeCell ref="D68:D70"/>
    <mergeCell ref="D71:D72"/>
    <mergeCell ref="D100:D101"/>
    <mergeCell ref="D89:D92"/>
    <mergeCell ref="D93:D96"/>
    <mergeCell ref="A53:A54"/>
    <mergeCell ref="A126:A127"/>
    <mergeCell ref="B126:B127"/>
    <mergeCell ref="D104:D105"/>
    <mergeCell ref="Q125:R125"/>
    <mergeCell ref="D113:D114"/>
    <mergeCell ref="G50:G52"/>
    <mergeCell ref="A55:A56"/>
    <mergeCell ref="D80:D83"/>
    <mergeCell ref="D116:D117"/>
    <mergeCell ref="G116:G117"/>
    <mergeCell ref="O104:O105"/>
    <mergeCell ref="E112:E114"/>
    <mergeCell ref="O57:O58"/>
    <mergeCell ref="C62:R62"/>
    <mergeCell ref="P59:R59"/>
    <mergeCell ref="Q71:Q72"/>
    <mergeCell ref="O117:O118"/>
    <mergeCell ref="D55:D56"/>
    <mergeCell ref="G55:G56"/>
    <mergeCell ref="E57:E58"/>
    <mergeCell ref="A57:A58"/>
    <mergeCell ref="D84:D87"/>
    <mergeCell ref="E102:H102"/>
    <mergeCell ref="O64:O66"/>
    <mergeCell ref="O68:O69"/>
    <mergeCell ref="F55:F56"/>
    <mergeCell ref="O73:O75"/>
    <mergeCell ref="O76:O79"/>
    <mergeCell ref="O89:O92"/>
    <mergeCell ref="O93:O96"/>
    <mergeCell ref="A128:A129"/>
    <mergeCell ref="A143:A144"/>
    <mergeCell ref="A145:A146"/>
    <mergeCell ref="B145:B146"/>
    <mergeCell ref="G145:G146"/>
    <mergeCell ref="G128:G129"/>
    <mergeCell ref="D128:D129"/>
    <mergeCell ref="C130:H130"/>
    <mergeCell ref="C131:R131"/>
    <mergeCell ref="E143:E144"/>
    <mergeCell ref="O130:R130"/>
    <mergeCell ref="E141:E142"/>
    <mergeCell ref="F128:F129"/>
    <mergeCell ref="E128:E129"/>
    <mergeCell ref="G141:G142"/>
    <mergeCell ref="O141:O142"/>
    <mergeCell ref="O139:O140"/>
    <mergeCell ref="D141:D142"/>
    <mergeCell ref="B150:B152"/>
    <mergeCell ref="A168:H168"/>
    <mergeCell ref="A164:H164"/>
    <mergeCell ref="A165:H165"/>
    <mergeCell ref="A163:H163"/>
    <mergeCell ref="A166:H166"/>
    <mergeCell ref="A162:H162"/>
    <mergeCell ref="A160:H160"/>
    <mergeCell ref="A167:H167"/>
    <mergeCell ref="G150:G152"/>
    <mergeCell ref="I159:L159"/>
    <mergeCell ref="I158:L158"/>
    <mergeCell ref="A159:H159"/>
    <mergeCell ref="I160:L160"/>
    <mergeCell ref="A158:H158"/>
    <mergeCell ref="P159:Q159"/>
    <mergeCell ref="P158:Q158"/>
    <mergeCell ref="O153:R153"/>
    <mergeCell ref="O145:O146"/>
    <mergeCell ref="D150:D152"/>
    <mergeCell ref="E150:E152"/>
    <mergeCell ref="D145:D146"/>
    <mergeCell ref="E145:E146"/>
    <mergeCell ref="I157:L157"/>
    <mergeCell ref="A157:H157"/>
    <mergeCell ref="B154:H154"/>
    <mergeCell ref="B155:H155"/>
    <mergeCell ref="A147:A149"/>
    <mergeCell ref="A150:A152"/>
    <mergeCell ref="D147:D149"/>
    <mergeCell ref="E147:E149"/>
    <mergeCell ref="B147:B149"/>
    <mergeCell ref="G147:G149"/>
    <mergeCell ref="C153:H153"/>
    <mergeCell ref="C124:H124"/>
    <mergeCell ref="I168:L168"/>
    <mergeCell ref="I162:L162"/>
    <mergeCell ref="O154:R154"/>
    <mergeCell ref="P157:Q157"/>
    <mergeCell ref="O155:R155"/>
    <mergeCell ref="A156:N156"/>
    <mergeCell ref="B143:B144"/>
    <mergeCell ref="P163:Q163"/>
    <mergeCell ref="O143:O144"/>
    <mergeCell ref="I164:L164"/>
    <mergeCell ref="I165:L165"/>
    <mergeCell ref="P166:Q166"/>
    <mergeCell ref="I166:L166"/>
    <mergeCell ref="I163:L163"/>
    <mergeCell ref="P168:Q168"/>
    <mergeCell ref="P165:Q165"/>
    <mergeCell ref="P164:Q164"/>
    <mergeCell ref="I167:L167"/>
    <mergeCell ref="P161:Q161"/>
    <mergeCell ref="P160:Q160"/>
    <mergeCell ref="A161:H161"/>
    <mergeCell ref="P162:Q162"/>
    <mergeCell ref="I161:L161"/>
    <mergeCell ref="A18:A20"/>
    <mergeCell ref="A28:A29"/>
    <mergeCell ref="D143:D144"/>
    <mergeCell ref="O126:O127"/>
    <mergeCell ref="E126:E127"/>
    <mergeCell ref="G143:G144"/>
    <mergeCell ref="D126:D127"/>
    <mergeCell ref="F126:F127"/>
    <mergeCell ref="P71:P72"/>
    <mergeCell ref="C42:H42"/>
    <mergeCell ref="G38:G41"/>
    <mergeCell ref="F38:F41"/>
    <mergeCell ref="G53:G54"/>
    <mergeCell ref="G57:G58"/>
    <mergeCell ref="C44:C45"/>
    <mergeCell ref="D38:D41"/>
    <mergeCell ref="D46:D47"/>
    <mergeCell ref="O113:O114"/>
    <mergeCell ref="G120:G121"/>
    <mergeCell ref="O71:O72"/>
    <mergeCell ref="E120:E121"/>
    <mergeCell ref="F104:F105"/>
    <mergeCell ref="G104:G105"/>
    <mergeCell ref="C125:F125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1:A24"/>
    <mergeCell ref="C21:C24"/>
    <mergeCell ref="A26:A27"/>
    <mergeCell ref="B26:B27"/>
    <mergeCell ref="C26:C27"/>
    <mergeCell ref="D28:D29"/>
    <mergeCell ref="F26:F27"/>
    <mergeCell ref="A32:A33"/>
    <mergeCell ref="B32:B33"/>
    <mergeCell ref="C32:C33"/>
    <mergeCell ref="E28:E29"/>
    <mergeCell ref="E21:E25"/>
    <mergeCell ref="F21:F25"/>
    <mergeCell ref="B28:B29"/>
    <mergeCell ref="A8:R8"/>
    <mergeCell ref="A9:R9"/>
    <mergeCell ref="D15:D17"/>
    <mergeCell ref="F15:F17"/>
    <mergeCell ref="E15:E17"/>
    <mergeCell ref="F12:F13"/>
    <mergeCell ref="D12:D13"/>
    <mergeCell ref="E12:E13"/>
    <mergeCell ref="B10:R10"/>
    <mergeCell ref="C15:C17"/>
    <mergeCell ref="G15:G17"/>
    <mergeCell ref="C12:C13"/>
    <mergeCell ref="C11:R11"/>
    <mergeCell ref="O16:O17"/>
    <mergeCell ref="G12:G13"/>
    <mergeCell ref="G18:G20"/>
    <mergeCell ref="G30:G31"/>
    <mergeCell ref="D18:D20"/>
    <mergeCell ref="F18:F20"/>
    <mergeCell ref="R28:R29"/>
    <mergeCell ref="Q36:Q37"/>
    <mergeCell ref="O34:O35"/>
    <mergeCell ref="E36:E37"/>
    <mergeCell ref="D32:D33"/>
    <mergeCell ref="O36:O37"/>
    <mergeCell ref="O32:O33"/>
    <mergeCell ref="R36:R37"/>
    <mergeCell ref="Q28:Q29"/>
    <mergeCell ref="P28:P29"/>
    <mergeCell ref="O28:O29"/>
    <mergeCell ref="R30:R31"/>
    <mergeCell ref="P36:P37"/>
    <mergeCell ref="G26:G27"/>
    <mergeCell ref="G28:G29"/>
    <mergeCell ref="C18:C20"/>
    <mergeCell ref="E18:E20"/>
    <mergeCell ref="D26:D27"/>
    <mergeCell ref="D34:D35"/>
    <mergeCell ref="D36:D37"/>
    <mergeCell ref="F34:F35"/>
    <mergeCell ref="E30:E31"/>
    <mergeCell ref="F30:F31"/>
    <mergeCell ref="D30:D31"/>
    <mergeCell ref="F36:F37"/>
    <mergeCell ref="E34:E35"/>
    <mergeCell ref="C28:C29"/>
    <mergeCell ref="E26:E27"/>
    <mergeCell ref="D21:D25"/>
    <mergeCell ref="F28:F29"/>
    <mergeCell ref="X24:X25"/>
    <mergeCell ref="U24:U25"/>
    <mergeCell ref="V24:V25"/>
    <mergeCell ref="W24:W25"/>
    <mergeCell ref="X26:X27"/>
    <mergeCell ref="G36:G37"/>
    <mergeCell ref="O42:R42"/>
    <mergeCell ref="R38:R41"/>
    <mergeCell ref="O84:O85"/>
    <mergeCell ref="Q38:Q41"/>
    <mergeCell ref="P38:P41"/>
    <mergeCell ref="O38:O41"/>
    <mergeCell ref="G34:G35"/>
    <mergeCell ref="P80:P83"/>
    <mergeCell ref="G21:G25"/>
    <mergeCell ref="C122:C123"/>
    <mergeCell ref="D122:D123"/>
    <mergeCell ref="E122:E123"/>
    <mergeCell ref="F122:F123"/>
    <mergeCell ref="G122:G123"/>
    <mergeCell ref="O122:O123"/>
    <mergeCell ref="O107:O110"/>
    <mergeCell ref="C120:C121"/>
    <mergeCell ref="D106:D107"/>
    <mergeCell ref="O120:O121"/>
    <mergeCell ref="E119:H119"/>
  </mergeCells>
  <phoneticPr fontId="0" type="noConversion"/>
  <printOptions horizontalCentered="1"/>
  <pageMargins left="0" right="0" top="0.35433070866141736" bottom="0.19685039370078741" header="0.31496062992125984" footer="0.31496062992125984"/>
  <pageSetup paperSize="9" scale="95" orientation="landscape" r:id="rId1"/>
  <rowBreaks count="7" manualBreakCount="7">
    <brk id="31" max="17" man="1"/>
    <brk id="52" max="17" man="1"/>
    <brk id="75" max="17" man="1"/>
    <brk id="99" max="17" man="1"/>
    <brk id="124" max="17" man="1"/>
    <brk id="140" max="17" man="1"/>
    <brk id="155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2314" t="s">
        <v>98</v>
      </c>
      <c r="C1" s="2314"/>
    </row>
    <row r="2" spans="2:3" ht="31.5" x14ac:dyDescent="0.2">
      <c r="B2" s="156" t="s">
        <v>16</v>
      </c>
      <c r="C2" s="157" t="s">
        <v>99</v>
      </c>
    </row>
    <row r="3" spans="2:3" ht="15.75" x14ac:dyDescent="0.2">
      <c r="B3" s="156">
        <v>1</v>
      </c>
      <c r="C3" s="158" t="s">
        <v>97</v>
      </c>
    </row>
    <row r="4" spans="2:3" ht="15.75" x14ac:dyDescent="0.2">
      <c r="B4" s="156">
        <v>2</v>
      </c>
      <c r="C4" s="159" t="s">
        <v>100</v>
      </c>
    </row>
    <row r="5" spans="2:3" ht="15.75" x14ac:dyDescent="0.2">
      <c r="B5" s="156">
        <v>3</v>
      </c>
      <c r="C5" s="158" t="s">
        <v>101</v>
      </c>
    </row>
    <row r="6" spans="2:3" ht="15.75" x14ac:dyDescent="0.2">
      <c r="B6" s="156">
        <v>4</v>
      </c>
      <c r="C6" s="158" t="s">
        <v>102</v>
      </c>
    </row>
    <row r="7" spans="2:3" ht="15.75" x14ac:dyDescent="0.2">
      <c r="B7" s="156">
        <v>5</v>
      </c>
      <c r="C7" s="158" t="s">
        <v>103</v>
      </c>
    </row>
    <row r="8" spans="2:3" ht="15.75" x14ac:dyDescent="0.2">
      <c r="B8" s="156">
        <v>6</v>
      </c>
      <c r="C8" s="158" t="s">
        <v>104</v>
      </c>
    </row>
    <row r="10" spans="2:3" ht="12.75" customHeight="1" x14ac:dyDescent="0.2">
      <c r="B10" s="2315" t="s">
        <v>105</v>
      </c>
      <c r="C10" s="2315"/>
    </row>
    <row r="11" spans="2:3" x14ac:dyDescent="0.2">
      <c r="B11" s="2315"/>
      <c r="C11" s="2315"/>
    </row>
  </sheetData>
  <mergeCells count="2">
    <mergeCell ref="B1:C1"/>
    <mergeCell ref="B10:C11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5"/>
  <sheetViews>
    <sheetView tabSelected="1" zoomScaleNormal="100" zoomScaleSheetLayoutView="80" workbookViewId="0">
      <selection activeCell="F173" sqref="F173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50" customWidth="1"/>
    <col min="6" max="6" width="3" style="72" customWidth="1"/>
    <col min="7" max="7" width="8.140625" style="1535" customWidth="1"/>
    <col min="8" max="8" width="9.85546875" style="1927" customWidth="1"/>
    <col min="9" max="9" width="9.7109375" style="1928" hidden="1" customWidth="1"/>
    <col min="10" max="10" width="8.42578125" style="1928" hidden="1" customWidth="1"/>
    <col min="11" max="11" width="8.5703125" style="1928" hidden="1" customWidth="1"/>
    <col min="12" max="12" width="7.42578125" style="1928" hidden="1" customWidth="1"/>
    <col min="13" max="14" width="9.5703125" style="1928" customWidth="1"/>
    <col min="15" max="15" width="26.42578125" style="6" customWidth="1"/>
    <col min="16" max="16" width="5.7109375" style="18" customWidth="1"/>
    <col min="17" max="17" width="6.42578125" style="72" customWidth="1"/>
    <col min="18" max="18" width="5.85546875" style="1510" customWidth="1"/>
    <col min="19" max="19" width="9.140625" style="2" customWidth="1"/>
    <col min="20" max="16384" width="9.140625" style="2"/>
  </cols>
  <sheetData>
    <row r="1" spans="1:22" x14ac:dyDescent="0.2">
      <c r="A1" s="2079" t="s">
        <v>235</v>
      </c>
      <c r="B1" s="2079"/>
      <c r="C1" s="2079"/>
      <c r="D1" s="2079"/>
      <c r="E1" s="2079"/>
      <c r="F1" s="2079"/>
      <c r="G1" s="2079"/>
      <c r="H1" s="2079"/>
      <c r="I1" s="2079"/>
      <c r="J1" s="2079"/>
      <c r="K1" s="2079"/>
      <c r="L1" s="2079"/>
      <c r="M1" s="2079"/>
      <c r="N1" s="2079"/>
      <c r="O1" s="2079"/>
      <c r="P1" s="2079"/>
      <c r="Q1" s="2079"/>
      <c r="R1" s="2079"/>
    </row>
    <row r="2" spans="1:22" x14ac:dyDescent="0.2">
      <c r="A2" s="2086" t="s">
        <v>39</v>
      </c>
      <c r="B2" s="2086"/>
      <c r="C2" s="2086"/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2086"/>
      <c r="O2" s="2086"/>
      <c r="P2" s="2086"/>
      <c r="Q2" s="2086"/>
      <c r="R2" s="2086"/>
    </row>
    <row r="3" spans="1:22" x14ac:dyDescent="0.2">
      <c r="A3" s="2087" t="s">
        <v>230</v>
      </c>
      <c r="B3" s="2087"/>
      <c r="C3" s="2087"/>
      <c r="D3" s="2087"/>
      <c r="E3" s="2087"/>
      <c r="F3" s="2087"/>
      <c r="G3" s="2087"/>
      <c r="H3" s="2087"/>
      <c r="I3" s="2087"/>
      <c r="J3" s="2087"/>
      <c r="K3" s="2087"/>
      <c r="L3" s="2087"/>
      <c r="M3" s="2087"/>
      <c r="N3" s="2087"/>
      <c r="O3" s="2087"/>
      <c r="P3" s="2087"/>
      <c r="Q3" s="2087"/>
      <c r="R3" s="2087"/>
    </row>
    <row r="4" spans="1:22" ht="13.5" thickBot="1" x14ac:dyDescent="0.25">
      <c r="A4" s="1536"/>
      <c r="B4" s="1536"/>
      <c r="C4" s="2100" t="s">
        <v>307</v>
      </c>
      <c r="D4" s="2100"/>
      <c r="E4" s="2100"/>
      <c r="F4" s="2100"/>
      <c r="G4" s="2100"/>
      <c r="H4" s="2100"/>
      <c r="I4" s="2100"/>
      <c r="J4" s="2100"/>
      <c r="K4" s="2100"/>
      <c r="L4" s="2100"/>
      <c r="M4" s="2100"/>
      <c r="N4" s="2100"/>
      <c r="O4" s="2100"/>
      <c r="P4" s="2100"/>
      <c r="Q4" s="2100"/>
      <c r="R4" s="2100"/>
    </row>
    <row r="5" spans="1:22" ht="12.75" customHeight="1" x14ac:dyDescent="0.2">
      <c r="A5" s="2101" t="s">
        <v>12</v>
      </c>
      <c r="B5" s="2120" t="s">
        <v>13</v>
      </c>
      <c r="C5" s="2120" t="s">
        <v>14</v>
      </c>
      <c r="D5" s="2107" t="s">
        <v>31</v>
      </c>
      <c r="E5" s="2080" t="s">
        <v>15</v>
      </c>
      <c r="F5" s="2088" t="s">
        <v>16</v>
      </c>
      <c r="G5" s="2110" t="s">
        <v>17</v>
      </c>
      <c r="H5" s="2454" t="s">
        <v>303</v>
      </c>
      <c r="I5" s="2445" t="s">
        <v>303</v>
      </c>
      <c r="J5" s="2446"/>
      <c r="K5" s="2446"/>
      <c r="L5" s="2447"/>
      <c r="M5" s="2454" t="s">
        <v>340</v>
      </c>
      <c r="N5" s="2454" t="s">
        <v>341</v>
      </c>
      <c r="O5" s="2091" t="s">
        <v>74</v>
      </c>
      <c r="P5" s="2092"/>
      <c r="Q5" s="2092"/>
      <c r="R5" s="2093"/>
    </row>
    <row r="6" spans="1:22" ht="12.75" customHeight="1" x14ac:dyDescent="0.2">
      <c r="A6" s="2102"/>
      <c r="B6" s="2121"/>
      <c r="C6" s="2121"/>
      <c r="D6" s="2108"/>
      <c r="E6" s="2081"/>
      <c r="F6" s="2089"/>
      <c r="G6" s="2111"/>
      <c r="H6" s="2455"/>
      <c r="I6" s="2448"/>
      <c r="J6" s="2449"/>
      <c r="K6" s="2449"/>
      <c r="L6" s="2450"/>
      <c r="M6" s="2455"/>
      <c r="N6" s="2455"/>
      <c r="O6" s="2113" t="s">
        <v>31</v>
      </c>
      <c r="P6" s="2094" t="s">
        <v>308</v>
      </c>
      <c r="Q6" s="2095"/>
      <c r="R6" s="2096"/>
    </row>
    <row r="7" spans="1:22" ht="102.75" customHeight="1" thickBot="1" x14ac:dyDescent="0.25">
      <c r="A7" s="2103"/>
      <c r="B7" s="2122"/>
      <c r="C7" s="2122"/>
      <c r="D7" s="2109"/>
      <c r="E7" s="2082"/>
      <c r="F7" s="2090"/>
      <c r="G7" s="2112"/>
      <c r="H7" s="2456"/>
      <c r="I7" s="2451"/>
      <c r="J7" s="2452"/>
      <c r="K7" s="2452"/>
      <c r="L7" s="2453"/>
      <c r="M7" s="2456"/>
      <c r="N7" s="2456"/>
      <c r="O7" s="2114"/>
      <c r="P7" s="295" t="s">
        <v>77</v>
      </c>
      <c r="Q7" s="295" t="s">
        <v>110</v>
      </c>
      <c r="R7" s="296" t="s">
        <v>238</v>
      </c>
    </row>
    <row r="8" spans="1:22" ht="13.5" thickBot="1" x14ac:dyDescent="0.25">
      <c r="A8" s="2044" t="s">
        <v>41</v>
      </c>
      <c r="B8" s="2045"/>
      <c r="C8" s="2045"/>
      <c r="D8" s="2045"/>
      <c r="E8" s="2045"/>
      <c r="F8" s="2045"/>
      <c r="G8" s="2045"/>
      <c r="H8" s="2045"/>
      <c r="I8" s="2045"/>
      <c r="J8" s="2045"/>
      <c r="K8" s="2045"/>
      <c r="L8" s="2045"/>
      <c r="M8" s="2045"/>
      <c r="N8" s="2045"/>
      <c r="O8" s="2045"/>
      <c r="P8" s="2045"/>
      <c r="Q8" s="2045"/>
      <c r="R8" s="2046"/>
    </row>
    <row r="9" spans="1:22" ht="13.5" thickBot="1" x14ac:dyDescent="0.25">
      <c r="A9" s="2047" t="s">
        <v>40</v>
      </c>
      <c r="B9" s="2048"/>
      <c r="C9" s="2048"/>
      <c r="D9" s="2048"/>
      <c r="E9" s="2048"/>
      <c r="F9" s="2048"/>
      <c r="G9" s="2048"/>
      <c r="H9" s="2048"/>
      <c r="I9" s="2048"/>
      <c r="J9" s="2048"/>
      <c r="K9" s="2048"/>
      <c r="L9" s="2048"/>
      <c r="M9" s="2048"/>
      <c r="N9" s="2048"/>
      <c r="O9" s="2048"/>
      <c r="P9" s="2048"/>
      <c r="Q9" s="2048"/>
      <c r="R9" s="2049"/>
    </row>
    <row r="10" spans="1:22" ht="13.5" thickBot="1" x14ac:dyDescent="0.25">
      <c r="A10" s="136" t="s">
        <v>20</v>
      </c>
      <c r="B10" s="2056" t="s">
        <v>51</v>
      </c>
      <c r="C10" s="2057"/>
      <c r="D10" s="2057"/>
      <c r="E10" s="2057"/>
      <c r="F10" s="2057"/>
      <c r="G10" s="2057"/>
      <c r="H10" s="2057"/>
      <c r="I10" s="2057"/>
      <c r="J10" s="2057"/>
      <c r="K10" s="2057"/>
      <c r="L10" s="2057"/>
      <c r="M10" s="2057"/>
      <c r="N10" s="2057"/>
      <c r="O10" s="2057"/>
      <c r="P10" s="2057"/>
      <c r="Q10" s="2057"/>
      <c r="R10" s="2058"/>
    </row>
    <row r="11" spans="1:22" ht="13.5" thickBot="1" x14ac:dyDescent="0.25">
      <c r="A11" s="258" t="s">
        <v>20</v>
      </c>
      <c r="B11" s="109" t="s">
        <v>20</v>
      </c>
      <c r="C11" s="2409" t="s">
        <v>194</v>
      </c>
      <c r="D11" s="2062"/>
      <c r="E11" s="2062"/>
      <c r="F11" s="2062"/>
      <c r="G11" s="2062"/>
      <c r="H11" s="2062"/>
      <c r="I11" s="2062"/>
      <c r="J11" s="2062"/>
      <c r="K11" s="2062"/>
      <c r="L11" s="2062"/>
      <c r="M11" s="2062"/>
      <c r="N11" s="2062"/>
      <c r="O11" s="2062"/>
      <c r="P11" s="2062"/>
      <c r="Q11" s="2062"/>
      <c r="R11" s="2063"/>
    </row>
    <row r="12" spans="1:22" x14ac:dyDescent="0.2">
      <c r="A12" s="25" t="s">
        <v>20</v>
      </c>
      <c r="B12" s="16" t="s">
        <v>20</v>
      </c>
      <c r="C12" s="2003" t="s">
        <v>20</v>
      </c>
      <c r="D12" s="2468" t="s">
        <v>107</v>
      </c>
      <c r="E12" s="2004"/>
      <c r="F12" s="1186" t="s">
        <v>43</v>
      </c>
      <c r="G12" s="130" t="s">
        <v>22</v>
      </c>
      <c r="H12" s="1657">
        <f>69824.9/3.4528*1000</f>
        <v>20222688.832252081</v>
      </c>
      <c r="I12" s="1762">
        <f t="shared" ref="I12" si="0">+J12+L12</f>
        <v>69824.899999999994</v>
      </c>
      <c r="J12" s="1942">
        <v>69824.899999999994</v>
      </c>
      <c r="K12" s="1942">
        <v>48274.400000000001</v>
      </c>
      <c r="L12" s="1943"/>
      <c r="M12" s="1657">
        <f>69824.9/3.4528*1000</f>
        <v>20222688.832252081</v>
      </c>
      <c r="N12" s="1657">
        <f>69824.9/3.4528*1000</f>
        <v>20222688.832252081</v>
      </c>
      <c r="O12" s="1944"/>
      <c r="P12" s="428"/>
      <c r="Q12" s="1937"/>
      <c r="R12" s="688"/>
    </row>
    <row r="13" spans="1:22" x14ac:dyDescent="0.2">
      <c r="A13" s="26"/>
      <c r="B13" s="27"/>
      <c r="C13" s="2003"/>
      <c r="D13" s="2469"/>
      <c r="E13" s="2055"/>
      <c r="F13" s="1186"/>
      <c r="G13" s="130" t="s">
        <v>25</v>
      </c>
      <c r="H13" s="1657">
        <f>102252.1/3.4528*1000</f>
        <v>29614255.097312327</v>
      </c>
      <c r="I13" s="1656">
        <f>J13+L13</f>
        <v>102252.09999999999</v>
      </c>
      <c r="J13" s="1658">
        <v>102107.9</v>
      </c>
      <c r="K13" s="1658">
        <v>75676.800000000003</v>
      </c>
      <c r="L13" s="1659">
        <v>144.19999999999999</v>
      </c>
      <c r="M13" s="1657">
        <f>102252.1/3.4528*1000</f>
        <v>29614255.097312327</v>
      </c>
      <c r="N13" s="1657">
        <f>102252.1/3.4528*1000</f>
        <v>29614255.097312327</v>
      </c>
      <c r="O13" s="1516"/>
      <c r="P13" s="428"/>
      <c r="Q13" s="1510"/>
      <c r="R13" s="688"/>
    </row>
    <row r="14" spans="1:22" x14ac:dyDescent="0.2">
      <c r="A14" s="26"/>
      <c r="B14" s="27"/>
      <c r="C14" s="1521"/>
      <c r="D14" s="1190"/>
      <c r="E14" s="1582"/>
      <c r="F14" s="1186"/>
      <c r="G14" s="430" t="s">
        <v>96</v>
      </c>
      <c r="H14" s="1663">
        <f>17292.6/3.4528*1000</f>
        <v>5008283.1325301202</v>
      </c>
      <c r="I14" s="1660">
        <f>J14+L14</f>
        <v>17292.599999999999</v>
      </c>
      <c r="J14" s="1661">
        <v>17167.599999999999</v>
      </c>
      <c r="K14" s="1661">
        <v>3110.6</v>
      </c>
      <c r="L14" s="1662">
        <v>125</v>
      </c>
      <c r="M14" s="1663">
        <f>17292.6/3.4528*1000</f>
        <v>5008283.1325301202</v>
      </c>
      <c r="N14" s="1664">
        <f>17292.6/3.4528*1000</f>
        <v>5008283.1325301202</v>
      </c>
      <c r="O14" s="1128"/>
      <c r="P14" s="428"/>
      <c r="Q14" s="1510"/>
      <c r="R14" s="688"/>
    </row>
    <row r="15" spans="1:22" ht="25.5" x14ac:dyDescent="0.2">
      <c r="A15" s="26"/>
      <c r="B15" s="1533"/>
      <c r="C15" s="172"/>
      <c r="D15" s="2465" t="s">
        <v>203</v>
      </c>
      <c r="E15" s="1138"/>
      <c r="F15" s="1186"/>
      <c r="G15" s="720"/>
      <c r="H15" s="1665"/>
      <c r="I15" s="1684"/>
      <c r="J15" s="1670"/>
      <c r="K15" s="1670"/>
      <c r="L15" s="1666"/>
      <c r="M15" s="1667"/>
      <c r="N15" s="1667"/>
      <c r="O15" s="1576" t="s">
        <v>309</v>
      </c>
      <c r="P15" s="836" t="s">
        <v>250</v>
      </c>
      <c r="Q15" s="836" t="s">
        <v>251</v>
      </c>
      <c r="R15" s="837" t="s">
        <v>252</v>
      </c>
      <c r="T15" s="175"/>
      <c r="U15" s="175"/>
      <c r="V15" s="175"/>
    </row>
    <row r="16" spans="1:22" x14ac:dyDescent="0.2">
      <c r="A16" s="26"/>
      <c r="B16" s="27"/>
      <c r="C16" s="172"/>
      <c r="D16" s="2192"/>
      <c r="E16" s="1138"/>
      <c r="F16" s="1186"/>
      <c r="G16" s="720"/>
      <c r="H16" s="1665"/>
      <c r="I16" s="1668"/>
      <c r="J16" s="1669"/>
      <c r="K16" s="1670"/>
      <c r="L16" s="1666"/>
      <c r="M16" s="1667"/>
      <c r="N16" s="1671"/>
      <c r="O16" s="274" t="s">
        <v>259</v>
      </c>
      <c r="P16" s="1156" t="s">
        <v>253</v>
      </c>
      <c r="Q16" s="1157" t="s">
        <v>254</v>
      </c>
      <c r="R16" s="1158" t="s">
        <v>255</v>
      </c>
    </row>
    <row r="17" spans="1:23" x14ac:dyDescent="0.2">
      <c r="A17" s="26"/>
      <c r="B17" s="27"/>
      <c r="C17" s="172"/>
      <c r="D17" s="1150"/>
      <c r="E17" s="1138"/>
      <c r="F17" s="1186"/>
      <c r="G17" s="720"/>
      <c r="H17" s="1665"/>
      <c r="I17" s="1684"/>
      <c r="J17" s="1696"/>
      <c r="K17" s="1696"/>
      <c r="L17" s="1697"/>
      <c r="M17" s="1672"/>
      <c r="N17" s="1672"/>
      <c r="O17" s="2466" t="s">
        <v>310</v>
      </c>
      <c r="P17" s="836" t="s">
        <v>256</v>
      </c>
      <c r="Q17" s="836" t="s">
        <v>257</v>
      </c>
      <c r="R17" s="837" t="s">
        <v>258</v>
      </c>
      <c r="T17" s="175"/>
      <c r="U17" s="175"/>
      <c r="V17" s="175"/>
      <c r="W17" s="175"/>
    </row>
    <row r="18" spans="1:23" x14ac:dyDescent="0.2">
      <c r="A18" s="26"/>
      <c r="B18" s="27"/>
      <c r="C18" s="172"/>
      <c r="D18" s="1150"/>
      <c r="E18" s="1138"/>
      <c r="F18" s="1186"/>
      <c r="G18" s="427"/>
      <c r="H18" s="1673"/>
      <c r="I18" s="1668"/>
      <c r="J18" s="1669"/>
      <c r="K18" s="1669"/>
      <c r="L18" s="1699"/>
      <c r="M18" s="1674"/>
      <c r="N18" s="1674"/>
      <c r="O18" s="2467"/>
      <c r="P18" s="1160"/>
      <c r="Q18" s="1160"/>
      <c r="R18" s="1161"/>
      <c r="T18" s="175"/>
      <c r="U18" s="175"/>
      <c r="V18" s="175"/>
      <c r="W18" s="175"/>
    </row>
    <row r="19" spans="1:23" x14ac:dyDescent="0.2">
      <c r="A19" s="26"/>
      <c r="B19" s="27"/>
      <c r="C19" s="1520"/>
      <c r="D19" s="1151"/>
      <c r="E19" s="1582"/>
      <c r="F19" s="1186"/>
      <c r="G19" s="1201"/>
      <c r="H19" s="1675"/>
      <c r="I19" s="1676"/>
      <c r="J19" s="1677"/>
      <c r="K19" s="1677"/>
      <c r="L19" s="1678"/>
      <c r="M19" s="1679"/>
      <c r="N19" s="1678"/>
      <c r="O19" s="1192" t="s">
        <v>260</v>
      </c>
      <c r="P19" s="1515">
        <v>244</v>
      </c>
      <c r="Q19" s="1598">
        <v>300</v>
      </c>
      <c r="R19" s="1599">
        <v>340</v>
      </c>
      <c r="U19" s="1189"/>
      <c r="V19" s="1189"/>
    </row>
    <row r="20" spans="1:23" x14ac:dyDescent="0.2">
      <c r="A20" s="2123"/>
      <c r="B20" s="27"/>
      <c r="C20" s="2002"/>
      <c r="D20" s="2020" t="s">
        <v>293</v>
      </c>
      <c r="E20" s="2004"/>
      <c r="F20" s="2461"/>
      <c r="G20" s="720"/>
      <c r="H20" s="1665"/>
      <c r="I20" s="1680"/>
      <c r="J20" s="1681"/>
      <c r="K20" s="1681"/>
      <c r="L20" s="1671"/>
      <c r="M20" s="1682"/>
      <c r="N20" s="1667"/>
      <c r="O20" s="2463" t="s">
        <v>311</v>
      </c>
      <c r="P20" s="2457">
        <v>8</v>
      </c>
      <c r="Q20" s="2457">
        <v>7</v>
      </c>
      <c r="R20" s="2459">
        <v>6</v>
      </c>
    </row>
    <row r="21" spans="1:23" x14ac:dyDescent="0.2">
      <c r="A21" s="2123"/>
      <c r="B21" s="27"/>
      <c r="C21" s="2002"/>
      <c r="D21" s="2020"/>
      <c r="E21" s="2005"/>
      <c r="F21" s="2462"/>
      <c r="G21" s="1191"/>
      <c r="H21" s="1683"/>
      <c r="I21" s="1684"/>
      <c r="J21" s="1685"/>
      <c r="K21" s="1686"/>
      <c r="L21" s="1666"/>
      <c r="M21" s="1687"/>
      <c r="N21" s="1688"/>
      <c r="O21" s="2464"/>
      <c r="P21" s="2458"/>
      <c r="Q21" s="2458"/>
      <c r="R21" s="2460"/>
    </row>
    <row r="22" spans="1:23" x14ac:dyDescent="0.2">
      <c r="A22" s="2123"/>
      <c r="B22" s="27"/>
      <c r="C22" s="2003"/>
      <c r="D22" s="2465"/>
      <c r="E22" s="2055"/>
      <c r="F22" s="2066"/>
      <c r="G22" s="427"/>
      <c r="H22" s="1673"/>
      <c r="I22" s="1668"/>
      <c r="J22" s="1669"/>
      <c r="K22" s="1669"/>
      <c r="L22" s="1689"/>
      <c r="M22" s="1667"/>
      <c r="N22" s="1667"/>
      <c r="O22" s="1605" t="s">
        <v>312</v>
      </c>
      <c r="P22" s="852">
        <v>2119</v>
      </c>
      <c r="Q22" s="852">
        <v>2200</v>
      </c>
      <c r="R22" s="853">
        <v>2200</v>
      </c>
    </row>
    <row r="23" spans="1:23" x14ac:dyDescent="0.2">
      <c r="A23" s="1531"/>
      <c r="B23" s="27"/>
      <c r="C23" s="1532"/>
      <c r="D23" s="1547"/>
      <c r="E23" s="1582"/>
      <c r="F23" s="1186"/>
      <c r="G23" s="1201"/>
      <c r="H23" s="1675"/>
      <c r="I23" s="1676"/>
      <c r="J23" s="1690"/>
      <c r="K23" s="1691"/>
      <c r="L23" s="1678"/>
      <c r="M23" s="1679"/>
      <c r="N23" s="1678"/>
      <c r="O23" s="1193" t="s">
        <v>261</v>
      </c>
      <c r="P23" s="1194">
        <v>1060</v>
      </c>
      <c r="Q23" s="1195">
        <v>1040</v>
      </c>
      <c r="R23" s="1196">
        <v>1020</v>
      </c>
    </row>
    <row r="24" spans="1:23" x14ac:dyDescent="0.2">
      <c r="A24" s="2067"/>
      <c r="B24" s="1533"/>
      <c r="C24" s="2068"/>
      <c r="D24" s="2020" t="s">
        <v>294</v>
      </c>
      <c r="E24" s="2004"/>
      <c r="F24" s="2438"/>
      <c r="G24" s="720"/>
      <c r="H24" s="1665"/>
      <c r="I24" s="1684"/>
      <c r="J24" s="1686"/>
      <c r="K24" s="1686"/>
      <c r="L24" s="1692"/>
      <c r="M24" s="1674"/>
      <c r="N24" s="1674"/>
      <c r="O24" s="931" t="s">
        <v>262</v>
      </c>
      <c r="P24" s="932">
        <v>36</v>
      </c>
      <c r="Q24" s="932">
        <v>35</v>
      </c>
      <c r="R24" s="933">
        <v>35</v>
      </c>
    </row>
    <row r="25" spans="1:23" x14ac:dyDescent="0.2">
      <c r="A25" s="2067"/>
      <c r="B25" s="1533"/>
      <c r="C25" s="2068"/>
      <c r="D25" s="2020"/>
      <c r="E25" s="2005"/>
      <c r="F25" s="2443"/>
      <c r="G25" s="720"/>
      <c r="H25" s="1665"/>
      <c r="I25" s="1684"/>
      <c r="J25" s="1686"/>
      <c r="K25" s="1686"/>
      <c r="L25" s="1689"/>
      <c r="M25" s="1693"/>
      <c r="N25" s="1694"/>
      <c r="O25" s="860" t="s">
        <v>263</v>
      </c>
      <c r="P25" s="1600">
        <v>16960</v>
      </c>
      <c r="Q25" s="1600">
        <v>17000</v>
      </c>
      <c r="R25" s="1572">
        <v>17000</v>
      </c>
    </row>
    <row r="26" spans="1:23" x14ac:dyDescent="0.2">
      <c r="A26" s="2067"/>
      <c r="B26" s="1533"/>
      <c r="C26" s="2068"/>
      <c r="D26" s="2020"/>
      <c r="E26" s="2055"/>
      <c r="F26" s="2444"/>
      <c r="G26" s="720"/>
      <c r="H26" s="1665"/>
      <c r="I26" s="1684"/>
      <c r="J26" s="1686"/>
      <c r="K26" s="1686"/>
      <c r="L26" s="1692"/>
      <c r="M26" s="1674"/>
      <c r="N26" s="1692"/>
      <c r="O26" s="857"/>
      <c r="P26" s="858"/>
      <c r="Q26" s="858"/>
      <c r="R26" s="859"/>
    </row>
    <row r="27" spans="1:23" x14ac:dyDescent="0.2">
      <c r="A27" s="2069"/>
      <c r="B27" s="2070"/>
      <c r="C27" s="2003"/>
      <c r="D27" s="2020" t="s">
        <v>264</v>
      </c>
      <c r="E27" s="2019"/>
      <c r="F27" s="2441"/>
      <c r="G27" s="720"/>
      <c r="H27" s="1665"/>
      <c r="I27" s="1695"/>
      <c r="J27" s="1681"/>
      <c r="K27" s="1681"/>
      <c r="L27" s="1671"/>
      <c r="M27" s="1667"/>
      <c r="N27" s="1671"/>
      <c r="O27" s="860" t="s">
        <v>66</v>
      </c>
      <c r="P27" s="1600">
        <v>6</v>
      </c>
      <c r="Q27" s="1600">
        <v>6</v>
      </c>
      <c r="R27" s="1572">
        <v>6</v>
      </c>
    </row>
    <row r="28" spans="1:23" x14ac:dyDescent="0.2">
      <c r="A28" s="2067"/>
      <c r="B28" s="2071"/>
      <c r="C28" s="2003"/>
      <c r="D28" s="2006"/>
      <c r="E28" s="2442"/>
      <c r="F28" s="2249"/>
      <c r="G28" s="427"/>
      <c r="H28" s="1673"/>
      <c r="I28" s="1684"/>
      <c r="J28" s="1696"/>
      <c r="K28" s="1696"/>
      <c r="L28" s="1697"/>
      <c r="M28" s="1672"/>
      <c r="N28" s="1698"/>
      <c r="O28" s="1570" t="s">
        <v>265</v>
      </c>
      <c r="P28" s="1600">
        <v>5049</v>
      </c>
      <c r="Q28" s="1600">
        <v>5050</v>
      </c>
      <c r="R28" s="1572">
        <v>5100</v>
      </c>
      <c r="S28" s="120"/>
    </row>
    <row r="29" spans="1:23" x14ac:dyDescent="0.2">
      <c r="A29" s="2067"/>
      <c r="B29" s="2071"/>
      <c r="C29" s="2003"/>
      <c r="D29" s="2072" t="s">
        <v>147</v>
      </c>
      <c r="E29" s="2440"/>
      <c r="F29" s="2441"/>
      <c r="G29" s="720"/>
      <c r="H29" s="1665"/>
      <c r="I29" s="1684"/>
      <c r="J29" s="1686"/>
      <c r="K29" s="1686"/>
      <c r="L29" s="1689"/>
      <c r="M29" s="1674"/>
      <c r="N29" s="1692"/>
      <c r="O29" s="2038" t="s">
        <v>84</v>
      </c>
      <c r="P29" s="2036">
        <v>4</v>
      </c>
      <c r="Q29" s="2036">
        <v>4.5</v>
      </c>
      <c r="R29" s="2026">
        <v>5</v>
      </c>
    </row>
    <row r="30" spans="1:23" x14ac:dyDescent="0.2">
      <c r="A30" s="2067"/>
      <c r="B30" s="2071"/>
      <c r="C30" s="2003"/>
      <c r="D30" s="2072"/>
      <c r="E30" s="2303"/>
      <c r="F30" s="2295"/>
      <c r="G30" s="427"/>
      <c r="H30" s="1673"/>
      <c r="I30" s="1684"/>
      <c r="J30" s="1686"/>
      <c r="K30" s="1686"/>
      <c r="L30" s="1699"/>
      <c r="M30" s="1674"/>
      <c r="N30" s="1692"/>
      <c r="O30" s="2039"/>
      <c r="P30" s="2037"/>
      <c r="Q30" s="2037"/>
      <c r="R30" s="2027"/>
    </row>
    <row r="31" spans="1:23" x14ac:dyDescent="0.2">
      <c r="A31" s="214"/>
      <c r="B31" s="27"/>
      <c r="C31" s="215"/>
      <c r="D31" s="2072" t="s">
        <v>148</v>
      </c>
      <c r="E31" s="2011"/>
      <c r="F31" s="2438"/>
      <c r="G31" s="720"/>
      <c r="H31" s="1665"/>
      <c r="I31" s="1668"/>
      <c r="J31" s="1669"/>
      <c r="K31" s="1669"/>
      <c r="L31" s="1694"/>
      <c r="M31" s="1693"/>
      <c r="N31" s="1693"/>
      <c r="O31" s="216" t="s">
        <v>119</v>
      </c>
      <c r="P31" s="1600">
        <v>92</v>
      </c>
      <c r="Q31" s="1600">
        <v>130</v>
      </c>
      <c r="R31" s="1572">
        <v>145</v>
      </c>
    </row>
    <row r="32" spans="1:23" x14ac:dyDescent="0.2">
      <c r="A32" s="214"/>
      <c r="B32" s="27"/>
      <c r="C32" s="215"/>
      <c r="D32" s="2015"/>
      <c r="E32" s="2326"/>
      <c r="F32" s="2439"/>
      <c r="G32" s="1191"/>
      <c r="H32" s="1683"/>
      <c r="I32" s="1668"/>
      <c r="J32" s="1669"/>
      <c r="K32" s="1669"/>
      <c r="L32" s="1694"/>
      <c r="M32" s="1693"/>
      <c r="N32" s="1693"/>
      <c r="O32" s="1197"/>
      <c r="P32" s="1198"/>
      <c r="Q32" s="1199"/>
      <c r="R32" s="1200"/>
    </row>
    <row r="33" spans="1:20" x14ac:dyDescent="0.2">
      <c r="A33" s="214"/>
      <c r="B33" s="27"/>
      <c r="C33" s="172"/>
      <c r="D33" s="2053" t="s">
        <v>195</v>
      </c>
      <c r="E33" s="2440"/>
      <c r="F33" s="2441"/>
      <c r="G33" s="720"/>
      <c r="H33" s="1665"/>
      <c r="I33" s="1684"/>
      <c r="J33" s="1686"/>
      <c r="K33" s="1686"/>
      <c r="L33" s="1699"/>
      <c r="M33" s="1674"/>
      <c r="N33" s="1674"/>
      <c r="O33" s="2437" t="s">
        <v>120</v>
      </c>
      <c r="P33" s="877">
        <v>250</v>
      </c>
      <c r="Q33" s="877">
        <v>255</v>
      </c>
      <c r="R33" s="840">
        <v>260</v>
      </c>
      <c r="T33" s="175"/>
    </row>
    <row r="34" spans="1:20" x14ac:dyDescent="0.2">
      <c r="A34" s="214"/>
      <c r="B34" s="27"/>
      <c r="C34" s="172"/>
      <c r="D34" s="2032"/>
      <c r="E34" s="2303"/>
      <c r="F34" s="2295"/>
      <c r="G34" s="720"/>
      <c r="H34" s="1665"/>
      <c r="I34" s="1684"/>
      <c r="J34" s="1686"/>
      <c r="K34" s="1686"/>
      <c r="L34" s="1699"/>
      <c r="M34" s="1674"/>
      <c r="N34" s="1692"/>
      <c r="O34" s="2437"/>
      <c r="P34" s="877"/>
      <c r="Q34" s="877"/>
      <c r="R34" s="840"/>
      <c r="T34" s="175"/>
    </row>
    <row r="35" spans="1:20" x14ac:dyDescent="0.2">
      <c r="A35" s="214"/>
      <c r="B35" s="27"/>
      <c r="C35" s="172"/>
      <c r="D35" s="2282" t="s">
        <v>267</v>
      </c>
      <c r="E35" s="1554"/>
      <c r="F35" s="1564"/>
      <c r="G35" s="720"/>
      <c r="H35" s="1665"/>
      <c r="I35" s="1668"/>
      <c r="J35" s="1700"/>
      <c r="K35" s="1701"/>
      <c r="L35" s="1699"/>
      <c r="M35" s="1667"/>
      <c r="N35" s="1671"/>
      <c r="O35" s="999" t="s">
        <v>266</v>
      </c>
      <c r="P35" s="1598">
        <v>9</v>
      </c>
      <c r="Q35" s="877"/>
      <c r="R35" s="840"/>
      <c r="T35" s="175"/>
    </row>
    <row r="36" spans="1:20" x14ac:dyDescent="0.2">
      <c r="A36" s="214"/>
      <c r="B36" s="27"/>
      <c r="C36" s="172"/>
      <c r="D36" s="2282"/>
      <c r="E36" s="1554"/>
      <c r="F36" s="1564"/>
      <c r="G36" s="1201"/>
      <c r="H36" s="1675"/>
      <c r="I36" s="1676"/>
      <c r="J36" s="1690"/>
      <c r="K36" s="1691"/>
      <c r="L36" s="1678"/>
      <c r="M36" s="1679"/>
      <c r="N36" s="1678"/>
      <c r="O36" s="946"/>
      <c r="P36" s="944"/>
      <c r="Q36" s="944"/>
      <c r="R36" s="945"/>
    </row>
    <row r="37" spans="1:20" ht="14.25" customHeight="1" x14ac:dyDescent="0.2">
      <c r="A37" s="1552"/>
      <c r="B37" s="1556"/>
      <c r="C37" s="1565"/>
      <c r="D37" s="2316" t="s">
        <v>289</v>
      </c>
      <c r="E37" s="2312"/>
      <c r="F37" s="2289"/>
      <c r="G37" s="1609"/>
      <c r="H37" s="1702"/>
      <c r="I37" s="1684"/>
      <c r="J37" s="1686"/>
      <c r="K37" s="1703"/>
      <c r="L37" s="1704"/>
      <c r="M37" s="1674"/>
      <c r="N37" s="1692"/>
      <c r="O37" s="1175" t="s">
        <v>66</v>
      </c>
      <c r="P37" s="1518">
        <v>92</v>
      </c>
      <c r="Q37" s="128">
        <v>92</v>
      </c>
      <c r="R37" s="110">
        <v>92</v>
      </c>
    </row>
    <row r="38" spans="1:20" ht="13.5" thickBot="1" x14ac:dyDescent="0.25">
      <c r="A38" s="602"/>
      <c r="B38" s="28"/>
      <c r="C38" s="993"/>
      <c r="D38" s="2317"/>
      <c r="E38" s="2318"/>
      <c r="F38" s="2319"/>
      <c r="G38" s="348" t="s">
        <v>23</v>
      </c>
      <c r="H38" s="1705">
        <f t="shared" ref="H38:N38" si="1">SUM(H12:H37)</f>
        <v>54845227.062094532</v>
      </c>
      <c r="I38" s="1706">
        <f t="shared" si="1"/>
        <v>189369.60000000001</v>
      </c>
      <c r="J38" s="1706">
        <f t="shared" si="1"/>
        <v>189100.4</v>
      </c>
      <c r="K38" s="1706">
        <f t="shared" si="1"/>
        <v>127061.80000000002</v>
      </c>
      <c r="L38" s="1706">
        <f t="shared" si="1"/>
        <v>269.2</v>
      </c>
      <c r="M38" s="1706">
        <f t="shared" si="1"/>
        <v>54845227.062094532</v>
      </c>
      <c r="N38" s="1706">
        <f t="shared" si="1"/>
        <v>54845227.062094532</v>
      </c>
      <c r="O38" s="1168"/>
      <c r="P38" s="685"/>
      <c r="Q38" s="685"/>
      <c r="R38" s="218"/>
      <c r="T38" s="242"/>
    </row>
    <row r="39" spans="1:20" ht="28.5" customHeight="1" x14ac:dyDescent="0.2">
      <c r="A39" s="1560" t="s">
        <v>20</v>
      </c>
      <c r="B39" s="259" t="s">
        <v>20</v>
      </c>
      <c r="C39" s="1507" t="s">
        <v>24</v>
      </c>
      <c r="D39" s="2007" t="s">
        <v>209</v>
      </c>
      <c r="E39" s="2435" t="s">
        <v>132</v>
      </c>
      <c r="F39" s="2294">
        <v>2</v>
      </c>
      <c r="G39" s="130" t="s">
        <v>25</v>
      </c>
      <c r="H39" s="1657">
        <f>50.9/3.4528*1000</f>
        <v>14741.658943466173</v>
      </c>
      <c r="I39" s="1707">
        <f>J39+L39</f>
        <v>50.9</v>
      </c>
      <c r="J39" s="1708">
        <v>50.9</v>
      </c>
      <c r="K39" s="1708">
        <v>38.799999999999997</v>
      </c>
      <c r="L39" s="1709"/>
      <c r="M39" s="1710">
        <f>50.9/3.4528*1000</f>
        <v>14741.658943466173</v>
      </c>
      <c r="N39" s="1711">
        <f>50.9/3.4528*1000</f>
        <v>14741.658943466173</v>
      </c>
      <c r="O39" s="2431" t="s">
        <v>268</v>
      </c>
      <c r="P39" s="1994">
        <v>1</v>
      </c>
      <c r="Q39" s="1994">
        <v>1</v>
      </c>
      <c r="R39" s="1989">
        <v>1</v>
      </c>
      <c r="T39" s="241"/>
    </row>
    <row r="40" spans="1:20" ht="13.5" thickBot="1" x14ac:dyDescent="0.25">
      <c r="A40" s="1534"/>
      <c r="B40" s="28"/>
      <c r="C40" s="1508"/>
      <c r="D40" s="2008"/>
      <c r="E40" s="2436"/>
      <c r="F40" s="2428"/>
      <c r="G40" s="348" t="s">
        <v>23</v>
      </c>
      <c r="H40" s="1705">
        <f>H39</f>
        <v>14741.658943466173</v>
      </c>
      <c r="I40" s="1706">
        <f t="shared" ref="I40:K40" si="2">SUM(I39:I39)</f>
        <v>50.9</v>
      </c>
      <c r="J40" s="1712">
        <f t="shared" si="2"/>
        <v>50.9</v>
      </c>
      <c r="K40" s="1713">
        <f t="shared" si="2"/>
        <v>38.799999999999997</v>
      </c>
      <c r="L40" s="1714"/>
      <c r="M40" s="1715">
        <f>SUM(M39:M39)</f>
        <v>14741.658943466173</v>
      </c>
      <c r="N40" s="1714">
        <f>SUM(N39:N39)</f>
        <v>14741.658943466173</v>
      </c>
      <c r="O40" s="2432"/>
      <c r="P40" s="2433"/>
      <c r="Q40" s="2433"/>
      <c r="R40" s="2434"/>
    </row>
    <row r="41" spans="1:20" ht="20.25" customHeight="1" x14ac:dyDescent="0.2">
      <c r="A41" s="1551" t="s">
        <v>20</v>
      </c>
      <c r="B41" s="1555" t="s">
        <v>20</v>
      </c>
      <c r="C41" s="1566" t="s">
        <v>26</v>
      </c>
      <c r="D41" s="2007" t="s">
        <v>155</v>
      </c>
      <c r="E41" s="2030"/>
      <c r="F41" s="2294">
        <v>2</v>
      </c>
      <c r="G41" s="129" t="s">
        <v>25</v>
      </c>
      <c r="H41" s="1665">
        <f>141.1/3.4528*1000</f>
        <v>40865.38461538461</v>
      </c>
      <c r="I41" s="1684">
        <f>J41+L41</f>
        <v>141.1</v>
      </c>
      <c r="J41" s="1716">
        <v>141.1</v>
      </c>
      <c r="K41" s="1658">
        <v>107.8</v>
      </c>
      <c r="L41" s="1709"/>
      <c r="M41" s="1717">
        <f>141.1/3.4528*1000</f>
        <v>40865.38461538461</v>
      </c>
      <c r="N41" s="1718">
        <f>141.1/3.4528*1000</f>
        <v>40865.38461538461</v>
      </c>
      <c r="O41" s="1996" t="s">
        <v>313</v>
      </c>
      <c r="P41" s="1993">
        <v>5</v>
      </c>
      <c r="Q41" s="1993">
        <v>5</v>
      </c>
      <c r="R41" s="1988">
        <v>5</v>
      </c>
    </row>
    <row r="42" spans="1:20" ht="13.5" thickBot="1" x14ac:dyDescent="0.25">
      <c r="A42" s="1553"/>
      <c r="B42" s="28"/>
      <c r="C42" s="1567"/>
      <c r="D42" s="2008"/>
      <c r="E42" s="2031"/>
      <c r="F42" s="2428"/>
      <c r="G42" s="348" t="s">
        <v>23</v>
      </c>
      <c r="H42" s="1705">
        <f>H41</f>
        <v>40865.38461538461</v>
      </c>
      <c r="I42" s="1706">
        <f t="shared" ref="I42:K42" si="3">SUM(I41:I41)</f>
        <v>141.1</v>
      </c>
      <c r="J42" s="1712">
        <f t="shared" si="3"/>
        <v>141.1</v>
      </c>
      <c r="K42" s="1713">
        <f t="shared" si="3"/>
        <v>107.8</v>
      </c>
      <c r="L42" s="1714"/>
      <c r="M42" s="1719">
        <f>SUM(M41:M41)</f>
        <v>40865.38461538461</v>
      </c>
      <c r="N42" s="1720">
        <f>SUM(N41:N41)</f>
        <v>40865.38461538461</v>
      </c>
      <c r="O42" s="1998"/>
      <c r="P42" s="1995"/>
      <c r="Q42" s="1995"/>
      <c r="R42" s="1990"/>
    </row>
    <row r="43" spans="1:20" ht="18" customHeight="1" x14ac:dyDescent="0.2">
      <c r="A43" s="1548" t="s">
        <v>20</v>
      </c>
      <c r="B43" s="1555" t="s">
        <v>20</v>
      </c>
      <c r="C43" s="925" t="s">
        <v>28</v>
      </c>
      <c r="D43" s="2052" t="s">
        <v>278</v>
      </c>
      <c r="E43" s="2030"/>
      <c r="F43" s="2294">
        <v>2</v>
      </c>
      <c r="G43" s="129" t="s">
        <v>25</v>
      </c>
      <c r="H43" s="1721">
        <f>282.4/3.4528*1000</f>
        <v>81788.693234476363</v>
      </c>
      <c r="I43" s="1722">
        <f>J43+L43</f>
        <v>282.39999999999998</v>
      </c>
      <c r="J43" s="1708">
        <v>282.39999999999998</v>
      </c>
      <c r="K43" s="1723">
        <v>150</v>
      </c>
      <c r="L43" s="1709"/>
      <c r="M43" s="1724">
        <f>300/3.4528*1000</f>
        <v>86886.005560704361</v>
      </c>
      <c r="N43" s="1725">
        <f>300/3.4528*1000</f>
        <v>86886.005560704361</v>
      </c>
      <c r="O43" s="2429" t="s">
        <v>279</v>
      </c>
      <c r="P43" s="1514">
        <v>25</v>
      </c>
      <c r="Q43" s="1514">
        <v>30</v>
      </c>
      <c r="R43" s="1513">
        <v>30</v>
      </c>
    </row>
    <row r="44" spans="1:20" ht="13.5" thickBot="1" x14ac:dyDescent="0.25">
      <c r="A44" s="1553"/>
      <c r="B44" s="28"/>
      <c r="C44" s="1567"/>
      <c r="D44" s="2008"/>
      <c r="E44" s="2031"/>
      <c r="F44" s="2428"/>
      <c r="G44" s="348" t="s">
        <v>23</v>
      </c>
      <c r="H44" s="1705">
        <f>H43</f>
        <v>81788.693234476363</v>
      </c>
      <c r="I44" s="1706">
        <f t="shared" ref="I44:K44" si="4">SUM(I43:I43)</f>
        <v>282.39999999999998</v>
      </c>
      <c r="J44" s="1712">
        <f t="shared" si="4"/>
        <v>282.39999999999998</v>
      </c>
      <c r="K44" s="1713">
        <f t="shared" si="4"/>
        <v>150</v>
      </c>
      <c r="L44" s="1714"/>
      <c r="M44" s="1715">
        <f>SUM(M43:M43)</f>
        <v>86886.005560704361</v>
      </c>
      <c r="N44" s="1714">
        <f>SUM(N43:N43)</f>
        <v>86886.005560704361</v>
      </c>
      <c r="O44" s="2430"/>
      <c r="P44" s="924"/>
      <c r="Q44" s="143"/>
      <c r="R44" s="233"/>
    </row>
    <row r="45" spans="1:20" ht="12.75" customHeight="1" x14ac:dyDescent="0.2">
      <c r="A45" s="1551" t="s">
        <v>20</v>
      </c>
      <c r="B45" s="1555" t="s">
        <v>20</v>
      </c>
      <c r="C45" s="1566" t="s">
        <v>29</v>
      </c>
      <c r="D45" s="2426" t="s">
        <v>269</v>
      </c>
      <c r="E45" s="2030"/>
      <c r="F45" s="2294">
        <v>2</v>
      </c>
      <c r="G45" s="129" t="s">
        <v>22</v>
      </c>
      <c r="H45" s="1721">
        <f>10/3.4528*1000</f>
        <v>2896.2001853568122</v>
      </c>
      <c r="I45" s="1722">
        <f>J45+L45</f>
        <v>10</v>
      </c>
      <c r="J45" s="1708">
        <v>10</v>
      </c>
      <c r="K45" s="1723"/>
      <c r="L45" s="1709"/>
      <c r="M45" s="1724">
        <f>10/3.4528*1000</f>
        <v>2896.2001853568122</v>
      </c>
      <c r="N45" s="1725">
        <f>10/3.4528*1000</f>
        <v>2896.2001853568122</v>
      </c>
      <c r="O45" s="1537" t="s">
        <v>270</v>
      </c>
      <c r="P45" s="873">
        <v>30</v>
      </c>
      <c r="Q45" s="873">
        <v>35</v>
      </c>
      <c r="R45" s="891">
        <v>35</v>
      </c>
    </row>
    <row r="46" spans="1:20" ht="13.5" thickBot="1" x14ac:dyDescent="0.25">
      <c r="A46" s="1553"/>
      <c r="B46" s="28"/>
      <c r="C46" s="1567"/>
      <c r="D46" s="2427"/>
      <c r="E46" s="2031"/>
      <c r="F46" s="2428"/>
      <c r="G46" s="348" t="s">
        <v>23</v>
      </c>
      <c r="H46" s="1705">
        <f>H45</f>
        <v>2896.2001853568122</v>
      </c>
      <c r="I46" s="1706">
        <f>SUM(I45:I45)</f>
        <v>10</v>
      </c>
      <c r="J46" s="1712">
        <f>SUM(J45:J45)</f>
        <v>10</v>
      </c>
      <c r="K46" s="1713"/>
      <c r="L46" s="1714"/>
      <c r="M46" s="1715">
        <f>SUM(M45:M45)</f>
        <v>2896.2001853568122</v>
      </c>
      <c r="N46" s="1714">
        <f>SUM(N45:N45)</f>
        <v>2896.2001853568122</v>
      </c>
      <c r="O46" s="1538"/>
      <c r="P46" s="889"/>
      <c r="Q46" s="889"/>
      <c r="R46" s="890"/>
    </row>
    <row r="47" spans="1:20" ht="12.75" customHeight="1" x14ac:dyDescent="0.2">
      <c r="A47" s="1551" t="s">
        <v>20</v>
      </c>
      <c r="B47" s="1555" t="s">
        <v>20</v>
      </c>
      <c r="C47" s="1566" t="s">
        <v>30</v>
      </c>
      <c r="D47" s="2426" t="s">
        <v>271</v>
      </c>
      <c r="E47" s="2030"/>
      <c r="F47" s="2294">
        <v>2</v>
      </c>
      <c r="G47" s="129" t="s">
        <v>22</v>
      </c>
      <c r="H47" s="1721">
        <f>50/3.4528*1000</f>
        <v>14481.00092678406</v>
      </c>
      <c r="I47" s="1722">
        <f>J47+L47</f>
        <v>50</v>
      </c>
      <c r="J47" s="1708">
        <v>50</v>
      </c>
      <c r="K47" s="1723"/>
      <c r="L47" s="1709"/>
      <c r="M47" s="1724">
        <f>50/3.4528*1000</f>
        <v>14481.00092678406</v>
      </c>
      <c r="N47" s="1725">
        <f>50/3.4528*1000</f>
        <v>14481.00092678406</v>
      </c>
      <c r="O47" s="2126" t="s">
        <v>272</v>
      </c>
      <c r="P47" s="2422">
        <v>1.5</v>
      </c>
      <c r="Q47" s="2422">
        <v>1.5</v>
      </c>
      <c r="R47" s="2424">
        <v>1.5</v>
      </c>
    </row>
    <row r="48" spans="1:20" ht="13.5" thickBot="1" x14ac:dyDescent="0.25">
      <c r="A48" s="1553"/>
      <c r="B48" s="28"/>
      <c r="C48" s="1567"/>
      <c r="D48" s="2427"/>
      <c r="E48" s="2031"/>
      <c r="F48" s="2428"/>
      <c r="G48" s="348" t="s">
        <v>23</v>
      </c>
      <c r="H48" s="1705">
        <f>H47</f>
        <v>14481.00092678406</v>
      </c>
      <c r="I48" s="1706">
        <f>SUM(I47:I47)</f>
        <v>50</v>
      </c>
      <c r="J48" s="1712">
        <f>SUM(J47:J47)</f>
        <v>50</v>
      </c>
      <c r="K48" s="1713"/>
      <c r="L48" s="1714"/>
      <c r="M48" s="1715">
        <f>SUM(M47:M47)</f>
        <v>14481.00092678406</v>
      </c>
      <c r="N48" s="1714">
        <f>SUM(N47:N47)</f>
        <v>14481.00092678406</v>
      </c>
      <c r="O48" s="2127"/>
      <c r="P48" s="2423"/>
      <c r="Q48" s="2423"/>
      <c r="R48" s="2425"/>
    </row>
    <row r="49" spans="1:18" ht="13.5" thickBot="1" x14ac:dyDescent="0.25">
      <c r="A49" s="1553" t="s">
        <v>20</v>
      </c>
      <c r="B49" s="1557" t="s">
        <v>20</v>
      </c>
      <c r="C49" s="2138" t="s">
        <v>27</v>
      </c>
      <c r="D49" s="2138"/>
      <c r="E49" s="2138"/>
      <c r="F49" s="2138"/>
      <c r="G49" s="2139"/>
      <c r="H49" s="1726">
        <f>H48+H46+H44+H42+H40+H38</f>
        <v>55000000</v>
      </c>
      <c r="I49" s="1727">
        <f t="shared" ref="I49:N49" si="5">I44+I42+I40+I38+I46+I48</f>
        <v>189904</v>
      </c>
      <c r="J49" s="1727">
        <f t="shared" si="5"/>
        <v>189634.8</v>
      </c>
      <c r="K49" s="1727">
        <f t="shared" si="5"/>
        <v>127358.40000000002</v>
      </c>
      <c r="L49" s="1727">
        <f t="shared" si="5"/>
        <v>269.2</v>
      </c>
      <c r="M49" s="1727">
        <f t="shared" si="5"/>
        <v>55005097.31232623</v>
      </c>
      <c r="N49" s="1727">
        <f t="shared" si="5"/>
        <v>55005097.31232623</v>
      </c>
      <c r="O49" s="2239"/>
      <c r="P49" s="2240"/>
      <c r="Q49" s="2240"/>
      <c r="R49" s="2241"/>
    </row>
    <row r="50" spans="1:18" ht="13.5" thickBot="1" x14ac:dyDescent="0.25">
      <c r="A50" s="15" t="s">
        <v>20</v>
      </c>
      <c r="B50" s="17" t="s">
        <v>24</v>
      </c>
      <c r="C50" s="2300" t="s">
        <v>118</v>
      </c>
      <c r="D50" s="2237"/>
      <c r="E50" s="2237"/>
      <c r="F50" s="2237"/>
      <c r="G50" s="2237"/>
      <c r="H50" s="2237"/>
      <c r="I50" s="2237"/>
      <c r="J50" s="2237"/>
      <c r="K50" s="2237"/>
      <c r="L50" s="2237"/>
      <c r="M50" s="2237"/>
      <c r="N50" s="2237"/>
      <c r="O50" s="2237"/>
      <c r="P50" s="2237"/>
      <c r="Q50" s="2237"/>
      <c r="R50" s="2238"/>
    </row>
    <row r="51" spans="1:18" ht="27" customHeight="1" x14ac:dyDescent="0.2">
      <c r="A51" s="258" t="s">
        <v>20</v>
      </c>
      <c r="B51" s="2167" t="s">
        <v>24</v>
      </c>
      <c r="C51" s="1962" t="s">
        <v>20</v>
      </c>
      <c r="D51" s="2292" t="s">
        <v>121</v>
      </c>
      <c r="E51" s="2302"/>
      <c r="F51" s="2297">
        <v>2</v>
      </c>
      <c r="G51" s="1594" t="s">
        <v>22</v>
      </c>
      <c r="H51" s="1728">
        <f>65.4/3.4528*1000</f>
        <v>18941.149212233551</v>
      </c>
      <c r="I51" s="1729">
        <f>J51+L51</f>
        <v>65.400000000000006</v>
      </c>
      <c r="J51" s="1730">
        <v>65.400000000000006</v>
      </c>
      <c r="K51" s="1730"/>
      <c r="L51" s="1731"/>
      <c r="M51" s="1732">
        <f>65.4/3.4528*1000</f>
        <v>18941.149212233551</v>
      </c>
      <c r="N51" s="1732">
        <f>65.4/3.4528*1000</f>
        <v>18941.149212233551</v>
      </c>
      <c r="O51" s="220" t="s">
        <v>273</v>
      </c>
      <c r="P51" s="221">
        <v>20</v>
      </c>
      <c r="Q51" s="221">
        <v>20</v>
      </c>
      <c r="R51" s="222">
        <v>20</v>
      </c>
    </row>
    <row r="52" spans="1:18" ht="15.75" customHeight="1" thickBot="1" x14ac:dyDescent="0.25">
      <c r="A52" s="1534"/>
      <c r="B52" s="2168"/>
      <c r="C52" s="1963"/>
      <c r="D52" s="2321"/>
      <c r="E52" s="2420"/>
      <c r="F52" s="2421"/>
      <c r="G52" s="1054" t="s">
        <v>23</v>
      </c>
      <c r="H52" s="1733">
        <f>H51</f>
        <v>18941.149212233551</v>
      </c>
      <c r="I52" s="1734">
        <f>SUM(I51)</f>
        <v>65.400000000000006</v>
      </c>
      <c r="J52" s="1735">
        <f>SUM(J51)</f>
        <v>65.400000000000006</v>
      </c>
      <c r="K52" s="1736"/>
      <c r="L52" s="1737"/>
      <c r="M52" s="1738">
        <f>SUM(M51)</f>
        <v>18941.149212233551</v>
      </c>
      <c r="N52" s="1738">
        <f>SUM(N51)</f>
        <v>18941.149212233551</v>
      </c>
      <c r="O52" s="223" t="s">
        <v>122</v>
      </c>
      <c r="P52" s="224">
        <v>36</v>
      </c>
      <c r="Q52" s="224">
        <v>36</v>
      </c>
      <c r="R52" s="225">
        <v>36</v>
      </c>
    </row>
    <row r="53" spans="1:18" ht="12.75" customHeight="1" x14ac:dyDescent="0.2">
      <c r="A53" s="2271" t="s">
        <v>20</v>
      </c>
      <c r="B53" s="2167" t="s">
        <v>24</v>
      </c>
      <c r="C53" s="2277" t="s">
        <v>24</v>
      </c>
      <c r="D53" s="2145" t="s">
        <v>275</v>
      </c>
      <c r="E53" s="2302"/>
      <c r="F53" s="2294">
        <v>2</v>
      </c>
      <c r="G53" s="720" t="s">
        <v>25</v>
      </c>
      <c r="H53" s="1665">
        <f>104.8/3.4528*1000</f>
        <v>30352.177942539387</v>
      </c>
      <c r="I53" s="1729">
        <f>J53+L53</f>
        <v>104.8</v>
      </c>
      <c r="J53" s="1739">
        <v>104.8</v>
      </c>
      <c r="K53" s="1740">
        <v>80</v>
      </c>
      <c r="L53" s="1699"/>
      <c r="M53" s="1693">
        <f>105/3.4528*1000</f>
        <v>30410.101946246526</v>
      </c>
      <c r="N53" s="1741">
        <f>105/3.4528*1000</f>
        <v>30410.101946246526</v>
      </c>
      <c r="O53" s="2126" t="s">
        <v>314</v>
      </c>
      <c r="P53" s="153">
        <v>17</v>
      </c>
      <c r="Q53" s="153">
        <v>17</v>
      </c>
      <c r="R53" s="152">
        <v>17</v>
      </c>
    </row>
    <row r="54" spans="1:18" ht="13.5" thickBot="1" x14ac:dyDescent="0.25">
      <c r="A54" s="2291"/>
      <c r="B54" s="2301"/>
      <c r="C54" s="2290"/>
      <c r="D54" s="2146"/>
      <c r="E54" s="2303"/>
      <c r="F54" s="2295"/>
      <c r="G54" s="348" t="s">
        <v>23</v>
      </c>
      <c r="H54" s="1742">
        <f>H53</f>
        <v>30352.177942539387</v>
      </c>
      <c r="I54" s="1743">
        <f>SUM(I53)</f>
        <v>104.8</v>
      </c>
      <c r="J54" s="1712">
        <f>SUM(J53)</f>
        <v>104.8</v>
      </c>
      <c r="K54" s="1744">
        <f>SUM(K53)</f>
        <v>80</v>
      </c>
      <c r="L54" s="1745"/>
      <c r="M54" s="1715">
        <f>SUM(M53)</f>
        <v>30410.101946246526</v>
      </c>
      <c r="N54" s="1744">
        <f>SUM(N53)</f>
        <v>30410.101946246526</v>
      </c>
      <c r="O54" s="2127"/>
      <c r="P54" s="947"/>
      <c r="Q54" s="947"/>
      <c r="R54" s="948"/>
    </row>
    <row r="55" spans="1:18" ht="30" customHeight="1" x14ac:dyDescent="0.2">
      <c r="A55" s="2204" t="s">
        <v>20</v>
      </c>
      <c r="B55" s="1555" t="s">
        <v>24</v>
      </c>
      <c r="C55" s="2280" t="s">
        <v>26</v>
      </c>
      <c r="D55" s="2258" t="s">
        <v>45</v>
      </c>
      <c r="E55" s="2260"/>
      <c r="F55" s="2142">
        <v>2</v>
      </c>
      <c r="G55" s="921" t="s">
        <v>22</v>
      </c>
      <c r="H55" s="1746">
        <f>136.7/3.4528*1000</f>
        <v>39591.056533827621</v>
      </c>
      <c r="I55" s="1747">
        <f>J55+L55</f>
        <v>136.69999999999999</v>
      </c>
      <c r="J55" s="1748">
        <v>136.69999999999999</v>
      </c>
      <c r="K55" s="1748"/>
      <c r="L55" s="1749"/>
      <c r="M55" s="1732">
        <f>140/3.4528*1000</f>
        <v>40546.802594995374</v>
      </c>
      <c r="N55" s="1740">
        <f>140/3.4528*1000</f>
        <v>40546.802594995374</v>
      </c>
      <c r="O55" s="949" t="s">
        <v>315</v>
      </c>
      <c r="P55" s="944">
        <v>180</v>
      </c>
      <c r="Q55" s="1544">
        <v>180</v>
      </c>
      <c r="R55" s="740">
        <v>180</v>
      </c>
    </row>
    <row r="56" spans="1:18" ht="13.5" thickBot="1" x14ac:dyDescent="0.25">
      <c r="A56" s="2206"/>
      <c r="B56" s="1557"/>
      <c r="C56" s="2281"/>
      <c r="D56" s="2259"/>
      <c r="E56" s="2261"/>
      <c r="F56" s="2143"/>
      <c r="G56" s="1509" t="s">
        <v>23</v>
      </c>
      <c r="H56" s="1742">
        <f>H55</f>
        <v>39591.056533827621</v>
      </c>
      <c r="I56" s="1750">
        <f>SUM(I55)</f>
        <v>136.69999999999999</v>
      </c>
      <c r="J56" s="1751">
        <f>SUM(J55)</f>
        <v>136.69999999999999</v>
      </c>
      <c r="K56" s="1752"/>
      <c r="L56" s="1753"/>
      <c r="M56" s="1715">
        <f>SUM(M55)</f>
        <v>40546.802594995374</v>
      </c>
      <c r="N56" s="1714">
        <f>SUM(N55)</f>
        <v>40546.802594995374</v>
      </c>
      <c r="O56" s="950"/>
      <c r="P56" s="951"/>
      <c r="Q56" s="907"/>
      <c r="R56" s="1527"/>
    </row>
    <row r="57" spans="1:18" ht="20.25" customHeight="1" x14ac:dyDescent="0.2">
      <c r="A57" s="2271" t="s">
        <v>20</v>
      </c>
      <c r="B57" s="2167" t="s">
        <v>24</v>
      </c>
      <c r="C57" s="2277" t="s">
        <v>28</v>
      </c>
      <c r="D57" s="2258" t="s">
        <v>325</v>
      </c>
      <c r="E57" s="2416" t="s">
        <v>126</v>
      </c>
      <c r="F57" s="2140">
        <v>2</v>
      </c>
      <c r="G57" s="715" t="s">
        <v>25</v>
      </c>
      <c r="H57" s="1721">
        <f>133.5/3.4528*1000</f>
        <v>38664.27247451344</v>
      </c>
      <c r="I57" s="1729">
        <f>J57+L57</f>
        <v>133.5</v>
      </c>
      <c r="J57" s="1754">
        <v>102.5</v>
      </c>
      <c r="K57" s="1754">
        <v>78.3</v>
      </c>
      <c r="L57" s="1755">
        <v>31</v>
      </c>
      <c r="M57" s="1756">
        <f>102.5/3.4528*1000</f>
        <v>29686.051899907321</v>
      </c>
      <c r="N57" s="1755"/>
      <c r="O57" s="226" t="s">
        <v>66</v>
      </c>
      <c r="P57" s="153">
        <v>2</v>
      </c>
      <c r="Q57" s="153">
        <v>1</v>
      </c>
      <c r="R57" s="906"/>
    </row>
    <row r="58" spans="1:18" ht="20.25" customHeight="1" x14ac:dyDescent="0.2">
      <c r="A58" s="2205"/>
      <c r="B58" s="2209"/>
      <c r="C58" s="2278"/>
      <c r="D58" s="2313"/>
      <c r="E58" s="2358"/>
      <c r="F58" s="2289"/>
      <c r="G58" s="130"/>
      <c r="H58" s="1657"/>
      <c r="I58" s="1757"/>
      <c r="J58" s="1758"/>
      <c r="K58" s="1758"/>
      <c r="L58" s="1688"/>
      <c r="M58" s="1759"/>
      <c r="N58" s="1760"/>
      <c r="O58" s="952"/>
      <c r="P58" s="205"/>
      <c r="Q58" s="205"/>
      <c r="R58" s="740"/>
    </row>
    <row r="59" spans="1:18" ht="13.5" thickBot="1" x14ac:dyDescent="0.25">
      <c r="A59" s="2291"/>
      <c r="B59" s="2301"/>
      <c r="C59" s="2290"/>
      <c r="D59" s="2418"/>
      <c r="E59" s="2401"/>
      <c r="F59" s="2419"/>
      <c r="G59" s="348" t="s">
        <v>23</v>
      </c>
      <c r="H59" s="1705">
        <f>H57</f>
        <v>38664.27247451344</v>
      </c>
      <c r="I59" s="1750">
        <f t="shared" ref="I59:N59" si="6">I57</f>
        <v>133.5</v>
      </c>
      <c r="J59" s="1761">
        <f t="shared" si="6"/>
        <v>102.5</v>
      </c>
      <c r="K59" s="1761">
        <f t="shared" si="6"/>
        <v>78.3</v>
      </c>
      <c r="L59" s="1753">
        <f t="shared" si="6"/>
        <v>31</v>
      </c>
      <c r="M59" s="1719">
        <f t="shared" si="6"/>
        <v>29686.051899907321</v>
      </c>
      <c r="N59" s="1752">
        <f t="shared" si="6"/>
        <v>0</v>
      </c>
      <c r="O59" s="1525"/>
      <c r="P59" s="947"/>
      <c r="Q59" s="947"/>
      <c r="R59" s="948"/>
    </row>
    <row r="60" spans="1:18" ht="16.5" customHeight="1" x14ac:dyDescent="0.2">
      <c r="A60" s="2271" t="s">
        <v>20</v>
      </c>
      <c r="B60" s="2167" t="s">
        <v>24</v>
      </c>
      <c r="C60" s="2277" t="s">
        <v>29</v>
      </c>
      <c r="D60" s="2258" t="s">
        <v>127</v>
      </c>
      <c r="E60" s="2416"/>
      <c r="F60" s="2140">
        <v>2</v>
      </c>
      <c r="G60" s="720" t="s">
        <v>25</v>
      </c>
      <c r="H60" s="1665">
        <f>1279.8/3.4528*1000</f>
        <v>370655.69972196477</v>
      </c>
      <c r="I60" s="1762">
        <f>J60+L60</f>
        <v>1279.8</v>
      </c>
      <c r="J60" s="1685">
        <v>1279.8</v>
      </c>
      <c r="K60" s="1686">
        <v>977.1</v>
      </c>
      <c r="L60" s="1692"/>
      <c r="M60" s="1763">
        <f>1313.3/3.4528*1000</f>
        <v>380357.97034291009</v>
      </c>
      <c r="N60" s="1764">
        <f>1313.3/3.4528*1000</f>
        <v>380357.97034291009</v>
      </c>
      <c r="O60" s="904" t="s">
        <v>66</v>
      </c>
      <c r="P60" s="905">
        <v>34</v>
      </c>
      <c r="Q60" s="905">
        <v>34</v>
      </c>
      <c r="R60" s="906">
        <v>34</v>
      </c>
    </row>
    <row r="61" spans="1:18" ht="35.25" customHeight="1" thickBot="1" x14ac:dyDescent="0.25">
      <c r="A61" s="2291"/>
      <c r="B61" s="2301"/>
      <c r="C61" s="2290"/>
      <c r="D61" s="2418"/>
      <c r="E61" s="2401"/>
      <c r="F61" s="2419"/>
      <c r="G61" s="348" t="s">
        <v>23</v>
      </c>
      <c r="H61" s="1742">
        <f>H60</f>
        <v>370655.69972196477</v>
      </c>
      <c r="I61" s="1761">
        <f>SUM(I60)</f>
        <v>1279.8</v>
      </c>
      <c r="J61" s="1751">
        <f>SUM(J60)</f>
        <v>1279.8</v>
      </c>
      <c r="K61" s="1752">
        <f>K60</f>
        <v>977.1</v>
      </c>
      <c r="L61" s="1753"/>
      <c r="M61" s="1715">
        <f>SUM(M60)</f>
        <v>380357.97034291009</v>
      </c>
      <c r="N61" s="1744">
        <f>SUM(N60)</f>
        <v>380357.97034291009</v>
      </c>
      <c r="O61" s="1525"/>
      <c r="P61" s="947"/>
      <c r="Q61" s="947"/>
      <c r="R61" s="948"/>
    </row>
    <row r="62" spans="1:18" ht="16.5" customHeight="1" x14ac:dyDescent="0.2">
      <c r="A62" s="2204" t="s">
        <v>20</v>
      </c>
      <c r="B62" s="1555" t="s">
        <v>24</v>
      </c>
      <c r="C62" s="2280" t="s">
        <v>30</v>
      </c>
      <c r="D62" s="2258" t="s">
        <v>274</v>
      </c>
      <c r="E62" s="2416"/>
      <c r="F62" s="2142">
        <v>2</v>
      </c>
      <c r="G62" s="921" t="s">
        <v>22</v>
      </c>
      <c r="H62" s="1746">
        <f>30/3.4528*1000</f>
        <v>8688.6005560704343</v>
      </c>
      <c r="I62" s="1747">
        <f>J62+L62</f>
        <v>30</v>
      </c>
      <c r="J62" s="1748">
        <v>30</v>
      </c>
      <c r="K62" s="1748"/>
      <c r="L62" s="1749"/>
      <c r="M62" s="1732">
        <f>30/3.4528*1000</f>
        <v>8688.6005560704343</v>
      </c>
      <c r="N62" s="1740">
        <f>30/3.4528*1000</f>
        <v>8688.6005560704343</v>
      </c>
      <c r="O62" s="949" t="s">
        <v>144</v>
      </c>
      <c r="P62" s="746">
        <v>5000</v>
      </c>
      <c r="Q62" s="953">
        <v>5000</v>
      </c>
      <c r="R62" s="1051">
        <v>5000</v>
      </c>
    </row>
    <row r="63" spans="1:18" ht="13.5" thickBot="1" x14ac:dyDescent="0.25">
      <c r="A63" s="2206"/>
      <c r="B63" s="1557"/>
      <c r="C63" s="2281"/>
      <c r="D63" s="2259"/>
      <c r="E63" s="2417"/>
      <c r="F63" s="2143"/>
      <c r="G63" s="1509" t="s">
        <v>23</v>
      </c>
      <c r="H63" s="1742">
        <f>H62</f>
        <v>8688.6005560704343</v>
      </c>
      <c r="I63" s="1750">
        <f>SUM(I62)</f>
        <v>30</v>
      </c>
      <c r="J63" s="1751">
        <f>SUM(J62)</f>
        <v>30</v>
      </c>
      <c r="K63" s="1752"/>
      <c r="L63" s="1753"/>
      <c r="M63" s="1715">
        <f>SUM(M62)</f>
        <v>8688.6005560704343</v>
      </c>
      <c r="N63" s="1714">
        <f>SUM(N62)</f>
        <v>8688.6005560704343</v>
      </c>
      <c r="O63" s="950"/>
      <c r="P63" s="951"/>
      <c r="Q63" s="907"/>
      <c r="R63" s="1527"/>
    </row>
    <row r="64" spans="1:18" ht="29.25" customHeight="1" x14ac:dyDescent="0.2">
      <c r="A64" s="2204" t="s">
        <v>20</v>
      </c>
      <c r="B64" s="1555" t="s">
        <v>24</v>
      </c>
      <c r="C64" s="2280" t="s">
        <v>55</v>
      </c>
      <c r="D64" s="2258" t="s">
        <v>284</v>
      </c>
      <c r="E64" s="2416" t="s">
        <v>136</v>
      </c>
      <c r="F64" s="2142">
        <v>2</v>
      </c>
      <c r="G64" s="921" t="s">
        <v>22</v>
      </c>
      <c r="H64" s="1932">
        <f>438.6/3.4528*1000</f>
        <v>127027.34012974978</v>
      </c>
      <c r="I64" s="1747">
        <f>J64+L64</f>
        <v>438.6</v>
      </c>
      <c r="J64" s="1748">
        <v>438.6</v>
      </c>
      <c r="K64" s="1748"/>
      <c r="L64" s="1749"/>
      <c r="M64" s="1732">
        <f>295.5/3.4528*1000</f>
        <v>85582.715477293794</v>
      </c>
      <c r="N64" s="1740"/>
      <c r="O64" s="2034" t="s">
        <v>221</v>
      </c>
      <c r="P64" s="944">
        <f>24+29</f>
        <v>53</v>
      </c>
      <c r="Q64" s="1544">
        <v>25</v>
      </c>
      <c r="R64" s="740"/>
    </row>
    <row r="65" spans="1:18" ht="23.25" customHeight="1" thickBot="1" x14ac:dyDescent="0.25">
      <c r="A65" s="2206"/>
      <c r="B65" s="1557"/>
      <c r="C65" s="2281"/>
      <c r="D65" s="2259"/>
      <c r="E65" s="2417"/>
      <c r="F65" s="2143"/>
      <c r="G65" s="1509" t="s">
        <v>23</v>
      </c>
      <c r="H65" s="1742">
        <f>H64</f>
        <v>127027.34012974978</v>
      </c>
      <c r="I65" s="1750">
        <f>SUM(I64)</f>
        <v>438.6</v>
      </c>
      <c r="J65" s="1751">
        <f>SUM(J64)</f>
        <v>438.6</v>
      </c>
      <c r="K65" s="1752"/>
      <c r="L65" s="1753"/>
      <c r="M65" s="1715">
        <f>SUM(M64)</f>
        <v>85582.715477293794</v>
      </c>
      <c r="N65" s="1714"/>
      <c r="O65" s="2035"/>
      <c r="P65" s="951"/>
      <c r="Q65" s="907"/>
      <c r="R65" s="1527"/>
    </row>
    <row r="66" spans="1:18" ht="13.5" thickBot="1" x14ac:dyDescent="0.25">
      <c r="A66" s="15" t="s">
        <v>20</v>
      </c>
      <c r="B66" s="14" t="s">
        <v>24</v>
      </c>
      <c r="C66" s="2154" t="s">
        <v>27</v>
      </c>
      <c r="D66" s="2154"/>
      <c r="E66" s="2154"/>
      <c r="F66" s="2154"/>
      <c r="G66" s="2154"/>
      <c r="H66" s="1726">
        <f>H65+H63+H61+H59+H56+H54+H52</f>
        <v>633920.29657089885</v>
      </c>
      <c r="I66" s="1727">
        <f>J66+L66</f>
        <v>2188.8000000000002</v>
      </c>
      <c r="J66" s="1727">
        <f t="shared" ref="J66:N66" si="7">J56+J61+J59+J54+J52+J63+J65</f>
        <v>2157.8000000000002</v>
      </c>
      <c r="K66" s="1727">
        <f t="shared" si="7"/>
        <v>1135.4000000000001</v>
      </c>
      <c r="L66" s="1727">
        <f t="shared" si="7"/>
        <v>31</v>
      </c>
      <c r="M66" s="1765">
        <f>M56+M61+M59+M54+M52+M63+M65</f>
        <v>594213.39202965703</v>
      </c>
      <c r="N66" s="1766">
        <f t="shared" si="7"/>
        <v>478944.62465245597</v>
      </c>
      <c r="O66" s="1561"/>
      <c r="P66" s="2410"/>
      <c r="Q66" s="2410"/>
      <c r="R66" s="2411"/>
    </row>
    <row r="67" spans="1:18" ht="13.5" thickBot="1" x14ac:dyDescent="0.25">
      <c r="A67" s="15" t="s">
        <v>20</v>
      </c>
      <c r="B67" s="2412" t="s">
        <v>10</v>
      </c>
      <c r="C67" s="2199"/>
      <c r="D67" s="2199"/>
      <c r="E67" s="2199"/>
      <c r="F67" s="2199"/>
      <c r="G67" s="2199"/>
      <c r="H67" s="1767">
        <f>H66+H49</f>
        <v>55633920.296570897</v>
      </c>
      <c r="I67" s="1768">
        <f>J67+L67</f>
        <v>192092.79999999999</v>
      </c>
      <c r="J67" s="1768">
        <f t="shared" ref="J67:N67" si="8">J66+J49</f>
        <v>191792.59999999998</v>
      </c>
      <c r="K67" s="1768">
        <f t="shared" si="8"/>
        <v>128493.80000000002</v>
      </c>
      <c r="L67" s="1768">
        <f t="shared" si="8"/>
        <v>300.2</v>
      </c>
      <c r="M67" s="1769">
        <f t="shared" si="8"/>
        <v>55599310.704355888</v>
      </c>
      <c r="N67" s="1770">
        <f t="shared" si="8"/>
        <v>55484041.936978683</v>
      </c>
      <c r="O67" s="2413"/>
      <c r="P67" s="2414"/>
      <c r="Q67" s="2414"/>
      <c r="R67" s="2415"/>
    </row>
    <row r="68" spans="1:18" ht="13.5" thickBot="1" x14ac:dyDescent="0.25">
      <c r="A68" s="1551" t="s">
        <v>24</v>
      </c>
      <c r="B68" s="2308" t="s">
        <v>56</v>
      </c>
      <c r="C68" s="2309"/>
      <c r="D68" s="2309"/>
      <c r="E68" s="2309"/>
      <c r="F68" s="2309"/>
      <c r="G68" s="2309"/>
      <c r="H68" s="2309"/>
      <c r="I68" s="2309"/>
      <c r="J68" s="2309"/>
      <c r="K68" s="2309"/>
      <c r="L68" s="2309"/>
      <c r="M68" s="2309"/>
      <c r="N68" s="2309"/>
      <c r="O68" s="2309"/>
      <c r="P68" s="2309"/>
      <c r="Q68" s="2309"/>
      <c r="R68" s="2310"/>
    </row>
    <row r="69" spans="1:18" ht="13.5" thickBot="1" x14ac:dyDescent="0.25">
      <c r="A69" s="23" t="s">
        <v>24</v>
      </c>
      <c r="B69" s="17" t="s">
        <v>20</v>
      </c>
      <c r="C69" s="2409" t="s">
        <v>47</v>
      </c>
      <c r="D69" s="2062"/>
      <c r="E69" s="2062"/>
      <c r="F69" s="2062"/>
      <c r="G69" s="2062"/>
      <c r="H69" s="2062"/>
      <c r="I69" s="2062"/>
      <c r="J69" s="2062"/>
      <c r="K69" s="2062"/>
      <c r="L69" s="2062"/>
      <c r="M69" s="2062"/>
      <c r="N69" s="2062"/>
      <c r="O69" s="2062"/>
      <c r="P69" s="2062"/>
      <c r="Q69" s="2062"/>
      <c r="R69" s="2063"/>
    </row>
    <row r="70" spans="1:18" ht="25.5" x14ac:dyDescent="0.2">
      <c r="A70" s="1548" t="s">
        <v>24</v>
      </c>
      <c r="B70" s="1555" t="s">
        <v>20</v>
      </c>
      <c r="C70" s="1530" t="s">
        <v>20</v>
      </c>
      <c r="D70" s="141" t="s">
        <v>57</v>
      </c>
      <c r="E70" s="298"/>
      <c r="F70" s="138"/>
      <c r="G70" s="1594"/>
      <c r="H70" s="1728"/>
      <c r="I70" s="1729"/>
      <c r="J70" s="1730"/>
      <c r="K70" s="1730"/>
      <c r="L70" s="1731"/>
      <c r="M70" s="1732"/>
      <c r="N70" s="1771"/>
      <c r="O70" s="78"/>
      <c r="P70" s="742"/>
      <c r="Q70" s="98"/>
      <c r="R70" s="743"/>
    </row>
    <row r="71" spans="1:18" s="4" customFormat="1" ht="12.75" customHeight="1" x14ac:dyDescent="0.2">
      <c r="A71" s="1549"/>
      <c r="B71" s="1556"/>
      <c r="C71" s="1565"/>
      <c r="D71" s="2245" t="s">
        <v>242</v>
      </c>
      <c r="E71" s="1529" t="s">
        <v>4</v>
      </c>
      <c r="F71" s="261">
        <v>5</v>
      </c>
      <c r="G71" s="24" t="s">
        <v>22</v>
      </c>
      <c r="H71" s="1772">
        <f>921.4/3.4528*1000</f>
        <v>266855.88507877663</v>
      </c>
      <c r="I71" s="1773">
        <f>J71+L71</f>
        <v>921.4</v>
      </c>
      <c r="J71" s="1774"/>
      <c r="K71" s="1774"/>
      <c r="L71" s="1775">
        <f>108.4+813</f>
        <v>921.4</v>
      </c>
      <c r="M71" s="1776"/>
      <c r="N71" s="1777"/>
      <c r="O71" s="2267" t="s">
        <v>106</v>
      </c>
      <c r="P71" s="164"/>
      <c r="Q71" s="99"/>
      <c r="R71" s="112"/>
    </row>
    <row r="72" spans="1:18" s="4" customFormat="1" x14ac:dyDescent="0.2">
      <c r="A72" s="1549"/>
      <c r="B72" s="1556"/>
      <c r="C72" s="1565"/>
      <c r="D72" s="2246"/>
      <c r="E72" s="1582"/>
      <c r="F72" s="262"/>
      <c r="G72" s="430" t="s">
        <v>6</v>
      </c>
      <c r="H72" s="1663">
        <f>1102.9/3.4528*1000</f>
        <v>319421.9184430028</v>
      </c>
      <c r="I72" s="1778">
        <f>J72+L72</f>
        <v>1102.9000000000001</v>
      </c>
      <c r="J72" s="1779">
        <v>17.399999999999999</v>
      </c>
      <c r="K72" s="1779">
        <v>13.3</v>
      </c>
      <c r="L72" s="1780">
        <v>1085.5</v>
      </c>
      <c r="M72" s="1776"/>
      <c r="N72" s="1777"/>
      <c r="O72" s="2268"/>
      <c r="P72" s="744"/>
      <c r="Q72" s="100"/>
      <c r="R72" s="113"/>
    </row>
    <row r="73" spans="1:18" s="4" customFormat="1" x14ac:dyDescent="0.2">
      <c r="A73" s="1549"/>
      <c r="B73" s="1556"/>
      <c r="C73" s="1565"/>
      <c r="D73" s="2246"/>
      <c r="E73" s="1582"/>
      <c r="F73" s="262"/>
      <c r="G73" s="431"/>
      <c r="H73" s="1781"/>
      <c r="I73" s="1757"/>
      <c r="J73" s="1782"/>
      <c r="K73" s="1782"/>
      <c r="L73" s="1783"/>
      <c r="M73" s="1784"/>
      <c r="N73" s="1764"/>
      <c r="O73" s="2268"/>
      <c r="P73" s="955">
        <v>100</v>
      </c>
      <c r="Q73" s="956"/>
      <c r="R73" s="113"/>
    </row>
    <row r="74" spans="1:18" s="4" customFormat="1" ht="13.5" thickBot="1" x14ac:dyDescent="0.25">
      <c r="A74" s="1549"/>
      <c r="B74" s="1556"/>
      <c r="C74" s="1565"/>
      <c r="D74" s="2247"/>
      <c r="E74" s="1522"/>
      <c r="F74" s="173"/>
      <c r="G74" s="414" t="s">
        <v>23</v>
      </c>
      <c r="H74" s="1785">
        <f>SUM(H71:H73)</f>
        <v>586277.80352177937</v>
      </c>
      <c r="I74" s="1785">
        <f>J74+L74</f>
        <v>2024.3000000000002</v>
      </c>
      <c r="J74" s="1786">
        <f t="shared" ref="J74:L74" si="9">SUM(J71:J73)</f>
        <v>17.399999999999999</v>
      </c>
      <c r="K74" s="1786">
        <f t="shared" si="9"/>
        <v>13.3</v>
      </c>
      <c r="L74" s="1787">
        <f t="shared" si="9"/>
        <v>2006.9</v>
      </c>
      <c r="M74" s="1788"/>
      <c r="N74" s="1787"/>
      <c r="O74" s="79"/>
      <c r="P74" s="101"/>
      <c r="Q74" s="102"/>
      <c r="R74" s="114"/>
    </row>
    <row r="75" spans="1:18" ht="25.5" x14ac:dyDescent="0.2">
      <c r="A75" s="1548" t="s">
        <v>24</v>
      </c>
      <c r="B75" s="1555" t="s">
        <v>20</v>
      </c>
      <c r="C75" s="1530" t="s">
        <v>24</v>
      </c>
      <c r="D75" s="1148" t="s">
        <v>246</v>
      </c>
      <c r="E75" s="1137" t="s">
        <v>58</v>
      </c>
      <c r="F75" s="138">
        <v>5</v>
      </c>
      <c r="G75" s="1594"/>
      <c r="H75" s="1728"/>
      <c r="I75" s="1729"/>
      <c r="J75" s="1730"/>
      <c r="K75" s="1730"/>
      <c r="L75" s="1731"/>
      <c r="M75" s="1732"/>
      <c r="N75" s="1771"/>
      <c r="O75" s="78"/>
      <c r="P75" s="742"/>
      <c r="Q75" s="98"/>
      <c r="R75" s="743"/>
    </row>
    <row r="76" spans="1:18" ht="18" customHeight="1" x14ac:dyDescent="0.2">
      <c r="A76" s="1549"/>
      <c r="B76" s="1556"/>
      <c r="C76" s="1532"/>
      <c r="D76" s="2400" t="s">
        <v>330</v>
      </c>
      <c r="E76" s="522"/>
      <c r="F76" s="688"/>
      <c r="G76" s="190" t="s">
        <v>22</v>
      </c>
      <c r="H76" s="1789">
        <f>6/3.4528*1000</f>
        <v>1737.7201112140872</v>
      </c>
      <c r="I76" s="1778">
        <f>J76+L76</f>
        <v>6</v>
      </c>
      <c r="J76" s="1790"/>
      <c r="K76" s="1790"/>
      <c r="L76" s="1775">
        <v>6</v>
      </c>
      <c r="M76" s="1791">
        <f>145.9/3.4528*1000</f>
        <v>42255.560704355885</v>
      </c>
      <c r="N76" s="1792"/>
      <c r="O76" s="815" t="s">
        <v>295</v>
      </c>
      <c r="P76" s="1539">
        <v>1</v>
      </c>
      <c r="Q76" s="1539"/>
      <c r="R76" s="816"/>
    </row>
    <row r="77" spans="1:18" x14ac:dyDescent="0.2">
      <c r="A77" s="1549"/>
      <c r="B77" s="1556"/>
      <c r="C77" s="1532"/>
      <c r="D77" s="2282"/>
      <c r="E77" s="1515"/>
      <c r="F77" s="262"/>
      <c r="G77" s="1203" t="s">
        <v>6</v>
      </c>
      <c r="H77" s="1789"/>
      <c r="I77" s="1778"/>
      <c r="J77" s="1790"/>
      <c r="K77" s="1790"/>
      <c r="L77" s="1780"/>
      <c r="M77" s="1664"/>
      <c r="N77" s="1777">
        <f>2061.1/3.4528*1000</f>
        <v>596935.82020389254</v>
      </c>
      <c r="O77" s="1130" t="s">
        <v>301</v>
      </c>
      <c r="P77" s="1540"/>
      <c r="Q77" s="1540">
        <v>1</v>
      </c>
      <c r="R77" s="817"/>
    </row>
    <row r="78" spans="1:18" ht="17.25" customHeight="1" x14ac:dyDescent="0.2">
      <c r="A78" s="1549"/>
      <c r="B78" s="1556"/>
      <c r="C78" s="1532"/>
      <c r="D78" s="2282"/>
      <c r="E78" s="1515"/>
      <c r="F78" s="262"/>
      <c r="G78" s="1205"/>
      <c r="H78" s="1793"/>
      <c r="I78" s="1680"/>
      <c r="J78" s="1794"/>
      <c r="K78" s="1794"/>
      <c r="L78" s="1795"/>
      <c r="M78" s="1763"/>
      <c r="N78" s="1764"/>
      <c r="O78" s="1130" t="s">
        <v>300</v>
      </c>
      <c r="P78" s="1540"/>
      <c r="Q78" s="1540"/>
      <c r="R78" s="817">
        <v>75</v>
      </c>
    </row>
    <row r="79" spans="1:18" ht="16.5" customHeight="1" x14ac:dyDescent="0.2">
      <c r="A79" s="1549"/>
      <c r="B79" s="1556"/>
      <c r="C79" s="1532"/>
      <c r="D79" s="2400" t="s">
        <v>329</v>
      </c>
      <c r="E79" s="521"/>
      <c r="F79" s="261"/>
      <c r="G79" s="190" t="s">
        <v>22</v>
      </c>
      <c r="H79" s="1789">
        <f>6/3.4528*1000</f>
        <v>1737.7201112140872</v>
      </c>
      <c r="I79" s="1778">
        <f>J79+L79</f>
        <v>6</v>
      </c>
      <c r="J79" s="1790"/>
      <c r="K79" s="1790"/>
      <c r="L79" s="1775">
        <v>6</v>
      </c>
      <c r="M79" s="1791">
        <f>145.9/3.4528*1000</f>
        <v>42255.560704355885</v>
      </c>
      <c r="N79" s="1792"/>
      <c r="O79" s="815" t="s">
        <v>295</v>
      </c>
      <c r="P79" s="1539">
        <v>1</v>
      </c>
      <c r="Q79" s="1539"/>
      <c r="R79" s="816"/>
    </row>
    <row r="80" spans="1:18" ht="17.25" customHeight="1" x14ac:dyDescent="0.2">
      <c r="A80" s="1549"/>
      <c r="B80" s="1556"/>
      <c r="C80" s="1532"/>
      <c r="D80" s="2282"/>
      <c r="E80" s="1582"/>
      <c r="F80" s="262"/>
      <c r="G80" s="1203" t="s">
        <v>6</v>
      </c>
      <c r="H80" s="1789"/>
      <c r="I80" s="1778"/>
      <c r="J80" s="1790"/>
      <c r="K80" s="1790"/>
      <c r="L80" s="1780"/>
      <c r="M80" s="1664"/>
      <c r="N80" s="1777">
        <f>2061.1/3.4528*1000</f>
        <v>596935.82020389254</v>
      </c>
      <c r="O80" s="1130" t="s">
        <v>249</v>
      </c>
      <c r="P80" s="1540"/>
      <c r="Q80" s="1540">
        <v>1</v>
      </c>
      <c r="R80" s="817"/>
    </row>
    <row r="81" spans="1:18" ht="16.5" customHeight="1" x14ac:dyDescent="0.2">
      <c r="A81" s="1549"/>
      <c r="B81" s="1556"/>
      <c r="C81" s="1532"/>
      <c r="D81" s="2282"/>
      <c r="E81" s="1582"/>
      <c r="F81" s="262"/>
      <c r="G81" s="812"/>
      <c r="H81" s="1796"/>
      <c r="I81" s="1797"/>
      <c r="J81" s="1798"/>
      <c r="K81" s="1798"/>
      <c r="L81" s="1799"/>
      <c r="M81" s="1800"/>
      <c r="N81" s="1801"/>
      <c r="O81" s="1207" t="s">
        <v>300</v>
      </c>
      <c r="P81" s="1007"/>
      <c r="Q81" s="1007"/>
      <c r="R81" s="1206">
        <v>75</v>
      </c>
    </row>
    <row r="82" spans="1:18" ht="15" customHeight="1" x14ac:dyDescent="0.2">
      <c r="A82" s="1549"/>
      <c r="B82" s="1556"/>
      <c r="C82" s="1532"/>
      <c r="D82" s="2400" t="s">
        <v>328</v>
      </c>
      <c r="E82" s="521"/>
      <c r="F82" s="261"/>
      <c r="G82" s="190" t="s">
        <v>22</v>
      </c>
      <c r="H82" s="1789">
        <f>6/3.4528*1000</f>
        <v>1737.7201112140872</v>
      </c>
      <c r="I82" s="1778">
        <f>J82+L82</f>
        <v>6</v>
      </c>
      <c r="J82" s="1790"/>
      <c r="K82" s="1790"/>
      <c r="L82" s="1775">
        <v>6</v>
      </c>
      <c r="M82" s="1791">
        <f>145.9/3.4528*1000</f>
        <v>42255.560704355885</v>
      </c>
      <c r="N82" s="1792"/>
      <c r="O82" s="815" t="s">
        <v>295</v>
      </c>
      <c r="P82" s="1539">
        <v>1</v>
      </c>
      <c r="Q82" s="1539"/>
      <c r="R82" s="816"/>
    </row>
    <row r="83" spans="1:18" ht="15" customHeight="1" x14ac:dyDescent="0.2">
      <c r="A83" s="1549"/>
      <c r="B83" s="1556"/>
      <c r="C83" s="1532"/>
      <c r="D83" s="2282"/>
      <c r="E83" s="1138"/>
      <c r="F83" s="262"/>
      <c r="G83" s="1203" t="s">
        <v>6</v>
      </c>
      <c r="H83" s="1789"/>
      <c r="I83" s="1778"/>
      <c r="J83" s="1790"/>
      <c r="K83" s="1790"/>
      <c r="L83" s="1780"/>
      <c r="M83" s="1664"/>
      <c r="N83" s="1777">
        <f>2061.1/3.4528*1000</f>
        <v>596935.82020389254</v>
      </c>
      <c r="O83" s="1130" t="s">
        <v>249</v>
      </c>
      <c r="P83" s="1540"/>
      <c r="Q83" s="1540">
        <v>1</v>
      </c>
      <c r="R83" s="817"/>
    </row>
    <row r="84" spans="1:18" ht="17.25" customHeight="1" x14ac:dyDescent="0.2">
      <c r="A84" s="1549"/>
      <c r="B84" s="1556"/>
      <c r="C84" s="1532"/>
      <c r="D84" s="2408"/>
      <c r="E84" s="1204"/>
      <c r="F84" s="173"/>
      <c r="G84" s="812"/>
      <c r="H84" s="1796"/>
      <c r="I84" s="1797"/>
      <c r="J84" s="1798"/>
      <c r="K84" s="1798"/>
      <c r="L84" s="1799"/>
      <c r="M84" s="1800"/>
      <c r="N84" s="1801"/>
      <c r="O84" s="1207" t="s">
        <v>300</v>
      </c>
      <c r="P84" s="1007"/>
      <c r="Q84" s="1007"/>
      <c r="R84" s="1206">
        <v>75</v>
      </c>
    </row>
    <row r="85" spans="1:18" ht="15.75" customHeight="1" x14ac:dyDescent="0.2">
      <c r="A85" s="1549"/>
      <c r="B85" s="1556"/>
      <c r="C85" s="1532"/>
      <c r="D85" s="2282" t="s">
        <v>327</v>
      </c>
      <c r="E85" s="522"/>
      <c r="F85" s="262"/>
      <c r="G85" s="812" t="s">
        <v>22</v>
      </c>
      <c r="H85" s="1789">
        <f>6/3.4528*1000</f>
        <v>1737.7201112140872</v>
      </c>
      <c r="I85" s="1778">
        <f>J85+L85</f>
        <v>6</v>
      </c>
      <c r="J85" s="1790"/>
      <c r="K85" s="1790"/>
      <c r="L85" s="1775">
        <v>6</v>
      </c>
      <c r="M85" s="1791">
        <f>145.9/3.4528*1000</f>
        <v>42255.560704355885</v>
      </c>
      <c r="N85" s="1801"/>
      <c r="O85" s="815" t="s">
        <v>295</v>
      </c>
      <c r="P85" s="1539">
        <v>1</v>
      </c>
      <c r="Q85" s="1539"/>
      <c r="R85" s="816"/>
    </row>
    <row r="86" spans="1:18" ht="25.5" x14ac:dyDescent="0.2">
      <c r="A86" s="1549"/>
      <c r="B86" s="1556"/>
      <c r="C86" s="1532"/>
      <c r="D86" s="2282"/>
      <c r="E86" s="2404"/>
      <c r="F86" s="262"/>
      <c r="G86" s="1203" t="s">
        <v>6</v>
      </c>
      <c r="H86" s="1789"/>
      <c r="I86" s="1778"/>
      <c r="J86" s="1790"/>
      <c r="K86" s="1790"/>
      <c r="L86" s="1780"/>
      <c r="M86" s="1664"/>
      <c r="N86" s="1777">
        <f>2061.1/3.4528*1000</f>
        <v>596935.82020389254</v>
      </c>
      <c r="O86" s="1130" t="s">
        <v>249</v>
      </c>
      <c r="P86" s="1540"/>
      <c r="Q86" s="1540">
        <v>1</v>
      </c>
      <c r="R86" s="817"/>
    </row>
    <row r="87" spans="1:18" ht="12.75" customHeight="1" x14ac:dyDescent="0.2">
      <c r="A87" s="1549"/>
      <c r="B87" s="1556"/>
      <c r="C87" s="1532"/>
      <c r="D87" s="2282"/>
      <c r="E87" s="2404"/>
      <c r="F87" s="262"/>
      <c r="G87" s="1205"/>
      <c r="H87" s="1793"/>
      <c r="I87" s="1668"/>
      <c r="J87" s="1794"/>
      <c r="K87" s="1794"/>
      <c r="L87" s="1802"/>
      <c r="M87" s="1763"/>
      <c r="N87" s="1764"/>
      <c r="O87" s="1130" t="s">
        <v>300</v>
      </c>
      <c r="P87" s="1540"/>
      <c r="Q87" s="1540"/>
      <c r="R87" s="817">
        <v>75</v>
      </c>
    </row>
    <row r="88" spans="1:18" ht="15" customHeight="1" x14ac:dyDescent="0.2">
      <c r="A88" s="1549"/>
      <c r="B88" s="1556"/>
      <c r="C88" s="1532"/>
      <c r="D88" s="2400" t="s">
        <v>326</v>
      </c>
      <c r="E88" s="521"/>
      <c r="F88" s="261"/>
      <c r="G88" s="190" t="s">
        <v>22</v>
      </c>
      <c r="H88" s="1789">
        <f>6/3.4528*1000</f>
        <v>1737.7201112140872</v>
      </c>
      <c r="I88" s="1778">
        <f>J88+L88</f>
        <v>6</v>
      </c>
      <c r="J88" s="1790"/>
      <c r="K88" s="1790"/>
      <c r="L88" s="1775">
        <v>6</v>
      </c>
      <c r="M88" s="1791"/>
      <c r="N88" s="1792"/>
      <c r="O88" s="815" t="s">
        <v>295</v>
      </c>
      <c r="P88" s="1539">
        <v>1</v>
      </c>
      <c r="Q88" s="1539"/>
      <c r="R88" s="816"/>
    </row>
    <row r="89" spans="1:18" ht="25.5" x14ac:dyDescent="0.2">
      <c r="A89" s="1549"/>
      <c r="B89" s="1556"/>
      <c r="C89" s="1532"/>
      <c r="D89" s="2282"/>
      <c r="E89" s="2404"/>
      <c r="F89" s="262"/>
      <c r="G89" s="190" t="s">
        <v>53</v>
      </c>
      <c r="H89" s="1789"/>
      <c r="I89" s="1778"/>
      <c r="J89" s="1790"/>
      <c r="K89" s="1790"/>
      <c r="L89" s="1775"/>
      <c r="M89" s="1763">
        <f>150/3.4528*1000</f>
        <v>43443.002780352181</v>
      </c>
      <c r="N89" s="1764"/>
      <c r="O89" s="1130" t="s">
        <v>249</v>
      </c>
      <c r="P89" s="1540"/>
      <c r="Q89" s="1540">
        <v>1</v>
      </c>
      <c r="R89" s="817"/>
    </row>
    <row r="90" spans="1:18" ht="12.75" customHeight="1" x14ac:dyDescent="0.2">
      <c r="A90" s="1549"/>
      <c r="B90" s="1556"/>
      <c r="C90" s="1532"/>
      <c r="D90" s="2282"/>
      <c r="E90" s="2404"/>
      <c r="F90" s="262"/>
      <c r="G90" s="1203" t="s">
        <v>6</v>
      </c>
      <c r="H90" s="1789"/>
      <c r="I90" s="1778"/>
      <c r="J90" s="1790"/>
      <c r="K90" s="1790"/>
      <c r="L90" s="1780"/>
      <c r="M90" s="1664"/>
      <c r="N90" s="1777">
        <f>2133/3.4528*1000</f>
        <v>617759.499536608</v>
      </c>
      <c r="O90" s="1130" t="s">
        <v>300</v>
      </c>
      <c r="P90" s="1540"/>
      <c r="Q90" s="1540"/>
      <c r="R90" s="817">
        <v>75</v>
      </c>
    </row>
    <row r="91" spans="1:18" ht="12.75" customHeight="1" x14ac:dyDescent="0.2">
      <c r="A91" s="1552"/>
      <c r="B91" s="1556"/>
      <c r="C91" s="2068"/>
      <c r="D91" s="2405" t="s">
        <v>166</v>
      </c>
      <c r="E91" s="807"/>
      <c r="F91" s="2407"/>
      <c r="G91" s="1208" t="s">
        <v>22</v>
      </c>
      <c r="H91" s="1803"/>
      <c r="I91" s="1778"/>
      <c r="J91" s="1804"/>
      <c r="K91" s="1790"/>
      <c r="L91" s="1805"/>
      <c r="M91" s="1664">
        <f>62.3/3.4528*1000</f>
        <v>18043.327154772938</v>
      </c>
      <c r="N91" s="1777"/>
      <c r="O91" s="1210" t="s">
        <v>169</v>
      </c>
      <c r="P91" s="1597"/>
      <c r="Q91" s="1209">
        <v>1</v>
      </c>
      <c r="R91" s="110"/>
    </row>
    <row r="92" spans="1:18" x14ac:dyDescent="0.2">
      <c r="A92" s="1552"/>
      <c r="B92" s="1556"/>
      <c r="C92" s="2068"/>
      <c r="D92" s="2406"/>
      <c r="E92" s="1139"/>
      <c r="F92" s="2148"/>
      <c r="G92" s="202" t="s">
        <v>6</v>
      </c>
      <c r="H92" s="1806"/>
      <c r="I92" s="1773"/>
      <c r="J92" s="1807"/>
      <c r="K92" s="1808"/>
      <c r="L92" s="1809"/>
      <c r="M92" s="1791">
        <f>388.9/3.4528*1000</f>
        <v>112633.2252085264</v>
      </c>
      <c r="N92" s="1792">
        <f>388.9/3.4528*1000</f>
        <v>112633.2252085264</v>
      </c>
      <c r="O92" s="1212" t="s">
        <v>300</v>
      </c>
      <c r="P92" s="744"/>
      <c r="Q92" s="100">
        <v>50</v>
      </c>
      <c r="R92" s="688">
        <v>50</v>
      </c>
    </row>
    <row r="93" spans="1:18" ht="13.5" customHeight="1" thickBot="1" x14ac:dyDescent="0.25">
      <c r="A93" s="1552"/>
      <c r="B93" s="1556"/>
      <c r="C93" s="2068"/>
      <c r="D93" s="2406"/>
      <c r="E93" s="1213"/>
      <c r="F93" s="2148"/>
      <c r="G93" s="754" t="s">
        <v>23</v>
      </c>
      <c r="H93" s="1810">
        <f>SUM(H76:H92)</f>
        <v>8688.6005560704361</v>
      </c>
      <c r="I93" s="1811">
        <f>SUM(I76:I92)</f>
        <v>30</v>
      </c>
      <c r="J93" s="1812"/>
      <c r="K93" s="1813"/>
      <c r="L93" s="1814">
        <f>SUM(L76:L92)</f>
        <v>30</v>
      </c>
      <c r="M93" s="1719">
        <f>SUM(M76:M92)</f>
        <v>343141.79796107509</v>
      </c>
      <c r="N93" s="1814">
        <f>SUM(N76:N92)</f>
        <v>3118136.0055607045</v>
      </c>
      <c r="O93" s="1211"/>
      <c r="P93" s="744"/>
      <c r="Q93" s="100"/>
      <c r="R93" s="688"/>
    </row>
    <row r="94" spans="1:18" ht="25.5" x14ac:dyDescent="0.2">
      <c r="A94" s="1548" t="s">
        <v>24</v>
      </c>
      <c r="B94" s="1555" t="s">
        <v>20</v>
      </c>
      <c r="C94" s="1507" t="s">
        <v>26</v>
      </c>
      <c r="D94" s="141" t="s">
        <v>46</v>
      </c>
      <c r="E94" s="592"/>
      <c r="F94" s="1563"/>
      <c r="G94" s="1594"/>
      <c r="H94" s="1728"/>
      <c r="I94" s="1729"/>
      <c r="J94" s="1815"/>
      <c r="K94" s="1730"/>
      <c r="L94" s="1731"/>
      <c r="M94" s="1732"/>
      <c r="N94" s="1771"/>
      <c r="O94" s="963"/>
      <c r="P94" s="742"/>
      <c r="Q94" s="964"/>
      <c r="R94" s="743"/>
    </row>
    <row r="95" spans="1:18" ht="12.75" customHeight="1" x14ac:dyDescent="0.2">
      <c r="A95" s="1549"/>
      <c r="B95" s="1556"/>
      <c r="C95" s="1532"/>
      <c r="D95" s="2246" t="s">
        <v>72</v>
      </c>
      <c r="E95" s="300" t="s">
        <v>4</v>
      </c>
      <c r="F95" s="167">
        <v>5</v>
      </c>
      <c r="G95" s="12" t="s">
        <v>22</v>
      </c>
      <c r="H95" s="1806">
        <f>567.9/3.4528*1000</f>
        <v>164475.20852641336</v>
      </c>
      <c r="I95" s="1773">
        <f>J95+L95</f>
        <v>567.9</v>
      </c>
      <c r="J95" s="1816"/>
      <c r="K95" s="1817"/>
      <c r="L95" s="1818">
        <v>567.9</v>
      </c>
      <c r="M95" s="1791"/>
      <c r="N95" s="1792"/>
      <c r="O95" s="2393" t="s">
        <v>159</v>
      </c>
      <c r="P95" s="1518"/>
      <c r="Q95" s="128"/>
      <c r="R95" s="110"/>
    </row>
    <row r="96" spans="1:18" s="4" customFormat="1" x14ac:dyDescent="0.2">
      <c r="A96" s="1549"/>
      <c r="B96" s="1556"/>
      <c r="C96" s="1565"/>
      <c r="D96" s="2246"/>
      <c r="E96" s="1582"/>
      <c r="F96" s="262"/>
      <c r="G96" s="191" t="s">
        <v>53</v>
      </c>
      <c r="H96" s="1819"/>
      <c r="I96" s="1773"/>
      <c r="J96" s="1820"/>
      <c r="K96" s="1808"/>
      <c r="L96" s="1775"/>
      <c r="M96" s="1776"/>
      <c r="N96" s="1777"/>
      <c r="O96" s="2394"/>
      <c r="P96" s="1519"/>
      <c r="Q96" s="93"/>
      <c r="R96" s="688"/>
    </row>
    <row r="97" spans="1:18" s="4" customFormat="1" x14ac:dyDescent="0.2">
      <c r="A97" s="1549"/>
      <c r="B97" s="1556"/>
      <c r="C97" s="1565"/>
      <c r="D97" s="2246"/>
      <c r="E97" s="1582"/>
      <c r="F97" s="262"/>
      <c r="G97" s="1573" t="s">
        <v>5</v>
      </c>
      <c r="H97" s="1821"/>
      <c r="I97" s="1778"/>
      <c r="J97" s="1822"/>
      <c r="K97" s="1790"/>
      <c r="L97" s="1780"/>
      <c r="M97" s="1664"/>
      <c r="N97" s="1777"/>
      <c r="O97" s="2394"/>
      <c r="P97" s="1519"/>
      <c r="Q97" s="93"/>
      <c r="R97" s="688"/>
    </row>
    <row r="98" spans="1:18" s="4" customFormat="1" x14ac:dyDescent="0.2">
      <c r="A98" s="1549"/>
      <c r="B98" s="1556"/>
      <c r="C98" s="1565"/>
      <c r="D98" s="2246"/>
      <c r="E98" s="1582"/>
      <c r="F98" s="262"/>
      <c r="G98" s="1573" t="s">
        <v>6</v>
      </c>
      <c r="H98" s="1821"/>
      <c r="I98" s="1778"/>
      <c r="J98" s="1822"/>
      <c r="K98" s="1790"/>
      <c r="L98" s="1780"/>
      <c r="M98" s="1791"/>
      <c r="N98" s="1792"/>
      <c r="O98" s="2394"/>
      <c r="P98" s="1519"/>
      <c r="Q98" s="93"/>
      <c r="R98" s="688"/>
    </row>
    <row r="99" spans="1:18" s="4" customFormat="1" x14ac:dyDescent="0.2">
      <c r="A99" s="1549"/>
      <c r="B99" s="1556"/>
      <c r="C99" s="1565"/>
      <c r="D99" s="144"/>
      <c r="E99" s="1522"/>
      <c r="F99" s="173"/>
      <c r="G99" s="392" t="s">
        <v>23</v>
      </c>
      <c r="H99" s="1810">
        <f>SUM(H95:H98)</f>
        <v>164475.20852641336</v>
      </c>
      <c r="I99" s="1811">
        <f>SUM(I95:I98)</f>
        <v>567.9</v>
      </c>
      <c r="J99" s="1823"/>
      <c r="K99" s="1813"/>
      <c r="L99" s="1824">
        <f>SUM(L94:L98)</f>
        <v>567.9</v>
      </c>
      <c r="M99" s="1825"/>
      <c r="N99" s="1814"/>
      <c r="O99" s="2394"/>
      <c r="P99" s="1519">
        <v>100</v>
      </c>
      <c r="Q99" s="93"/>
      <c r="R99" s="688"/>
    </row>
    <row r="100" spans="1:18" ht="17.25" customHeight="1" x14ac:dyDescent="0.2">
      <c r="A100" s="1549"/>
      <c r="B100" s="1556"/>
      <c r="C100" s="1532"/>
      <c r="D100" s="2245" t="s">
        <v>331</v>
      </c>
      <c r="E100" s="521" t="s">
        <v>4</v>
      </c>
      <c r="F100" s="262">
        <v>5</v>
      </c>
      <c r="G100" s="1574" t="s">
        <v>22</v>
      </c>
      <c r="H100" s="1803">
        <f>861.9/3.4528*1000</f>
        <v>249623.49397590361</v>
      </c>
      <c r="I100" s="1778">
        <f>J100+L100</f>
        <v>861.9</v>
      </c>
      <c r="J100" s="1822"/>
      <c r="K100" s="1790"/>
      <c r="L100" s="1780">
        <v>861.9</v>
      </c>
      <c r="M100" s="1776"/>
      <c r="N100" s="1826"/>
      <c r="O100" s="1214" t="s">
        <v>169</v>
      </c>
      <c r="P100" s="1597" t="s">
        <v>302</v>
      </c>
      <c r="Q100" s="1215"/>
      <c r="R100" s="1216"/>
    </row>
    <row r="101" spans="1:18" ht="25.5" x14ac:dyDescent="0.2">
      <c r="A101" s="1549"/>
      <c r="B101" s="1556"/>
      <c r="C101" s="1532"/>
      <c r="D101" s="2246"/>
      <c r="E101" s="522"/>
      <c r="F101" s="262"/>
      <c r="G101" s="433" t="s">
        <v>23</v>
      </c>
      <c r="H101" s="1827">
        <f>H100</f>
        <v>249623.49397590361</v>
      </c>
      <c r="I101" s="1785">
        <f>SUM(I100:I100)</f>
        <v>861.9</v>
      </c>
      <c r="J101" s="1786"/>
      <c r="K101" s="1828"/>
      <c r="L101" s="1786">
        <f>SUM(L100:L100)</f>
        <v>861.9</v>
      </c>
      <c r="M101" s="1788"/>
      <c r="N101" s="1829"/>
      <c r="O101" s="1217" t="s">
        <v>248</v>
      </c>
      <c r="P101" s="1218">
        <v>100</v>
      </c>
      <c r="Q101" s="1219"/>
      <c r="R101" s="1220"/>
    </row>
    <row r="102" spans="1:18" ht="12.75" customHeight="1" x14ac:dyDescent="0.2">
      <c r="A102" s="1549"/>
      <c r="B102" s="1556"/>
      <c r="C102" s="1532"/>
      <c r="D102" s="2320" t="s">
        <v>332</v>
      </c>
      <c r="E102" s="521" t="s">
        <v>4</v>
      </c>
      <c r="F102" s="261">
        <v>5</v>
      </c>
      <c r="G102" s="1574" t="s">
        <v>22</v>
      </c>
      <c r="H102" s="1803"/>
      <c r="I102" s="1778"/>
      <c r="J102" s="1822"/>
      <c r="K102" s="1790"/>
      <c r="L102" s="1780"/>
      <c r="M102" s="1776">
        <f>60/3.4528*1000</f>
        <v>17377.201112140869</v>
      </c>
      <c r="N102" s="1826">
        <f>150/3.4528*1000</f>
        <v>43443.002780352181</v>
      </c>
      <c r="O102" s="2322" t="s">
        <v>169</v>
      </c>
      <c r="P102" s="2325"/>
      <c r="Q102" s="2325"/>
      <c r="R102" s="2390">
        <v>1</v>
      </c>
    </row>
    <row r="103" spans="1:18" x14ac:dyDescent="0.2">
      <c r="A103" s="1552"/>
      <c r="B103" s="1556"/>
      <c r="C103" s="517"/>
      <c r="D103" s="2293"/>
      <c r="E103" s="522"/>
      <c r="F103" s="262"/>
      <c r="G103" s="392" t="s">
        <v>23</v>
      </c>
      <c r="H103" s="1810"/>
      <c r="I103" s="1811"/>
      <c r="J103" s="1823"/>
      <c r="K103" s="1813"/>
      <c r="L103" s="1824"/>
      <c r="M103" s="1830">
        <f>SUM(M102)</f>
        <v>17377.201112140869</v>
      </c>
      <c r="N103" s="1831">
        <f>SUM(N102)</f>
        <v>43443.002780352181</v>
      </c>
      <c r="O103" s="2323"/>
      <c r="P103" s="2326"/>
      <c r="Q103" s="2326"/>
      <c r="R103" s="2391"/>
    </row>
    <row r="104" spans="1:18" ht="13.5" thickBot="1" x14ac:dyDescent="0.25">
      <c r="A104" s="1553"/>
      <c r="B104" s="1557"/>
      <c r="C104" s="1508"/>
      <c r="D104" s="2321"/>
      <c r="E104" s="2327" t="s">
        <v>225</v>
      </c>
      <c r="F104" s="2328"/>
      <c r="G104" s="2329"/>
      <c r="H104" s="1742">
        <f>H103+H101+H99</f>
        <v>414098.70250231697</v>
      </c>
      <c r="I104" s="1832">
        <f>J104+L104</f>
        <v>1429.8</v>
      </c>
      <c r="J104" s="1833"/>
      <c r="K104" s="1751"/>
      <c r="L104" s="1753">
        <f>L103+L101+L99</f>
        <v>1429.8</v>
      </c>
      <c r="M104" s="1719">
        <f>M103+M101+M99</f>
        <v>17377.201112140869</v>
      </c>
      <c r="N104" s="1753">
        <f>N103+N101+N99</f>
        <v>43443.002780352181</v>
      </c>
      <c r="O104" s="2324"/>
      <c r="P104" s="2012"/>
      <c r="Q104" s="2012"/>
      <c r="R104" s="2392"/>
    </row>
    <row r="105" spans="1:18" ht="12.75" customHeight="1" x14ac:dyDescent="0.2">
      <c r="A105" s="1548" t="s">
        <v>24</v>
      </c>
      <c r="B105" s="1555" t="s">
        <v>20</v>
      </c>
      <c r="C105" s="1188" t="s">
        <v>28</v>
      </c>
      <c r="D105" s="1964" t="s">
        <v>283</v>
      </c>
      <c r="E105" s="2382" t="s">
        <v>130</v>
      </c>
      <c r="F105" s="2384">
        <v>2</v>
      </c>
      <c r="G105" s="1594" t="s">
        <v>22</v>
      </c>
      <c r="H105" s="1728">
        <f>50/3.4528*1000</f>
        <v>14481.00092678406</v>
      </c>
      <c r="I105" s="1834">
        <f>J105+L105</f>
        <v>50</v>
      </c>
      <c r="J105" s="1835">
        <v>50</v>
      </c>
      <c r="K105" s="1836"/>
      <c r="L105" s="1837"/>
      <c r="M105" s="1838"/>
      <c r="N105" s="1838"/>
      <c r="O105" s="2387" t="s">
        <v>66</v>
      </c>
      <c r="P105" s="975">
        <v>3</v>
      </c>
      <c r="Q105" s="976"/>
      <c r="R105" s="743"/>
    </row>
    <row r="106" spans="1:18" ht="25.5" customHeight="1" x14ac:dyDescent="0.2">
      <c r="A106" s="1549"/>
      <c r="B106" s="1556"/>
      <c r="C106" s="215"/>
      <c r="D106" s="2282"/>
      <c r="E106" s="2383"/>
      <c r="F106" s="2385"/>
      <c r="G106" s="1575"/>
      <c r="H106" s="1839"/>
      <c r="I106" s="1684"/>
      <c r="J106" s="1840"/>
      <c r="K106" s="1841"/>
      <c r="L106" s="1842"/>
      <c r="M106" s="1672"/>
      <c r="N106" s="1672"/>
      <c r="O106" s="2388"/>
      <c r="P106" s="1519"/>
      <c r="Q106" s="93"/>
      <c r="R106" s="688"/>
    </row>
    <row r="107" spans="1:18" ht="13.5" thickBot="1" x14ac:dyDescent="0.25">
      <c r="A107" s="1549"/>
      <c r="B107" s="1556"/>
      <c r="C107" s="215"/>
      <c r="D107" s="1965"/>
      <c r="E107" s="986" t="s">
        <v>344</v>
      </c>
      <c r="F107" s="2386"/>
      <c r="G107" s="348" t="s">
        <v>23</v>
      </c>
      <c r="H107" s="1705">
        <f>H105</f>
        <v>14481.00092678406</v>
      </c>
      <c r="I107" s="1832">
        <f>I105</f>
        <v>50</v>
      </c>
      <c r="J107" s="1833">
        <f>J105</f>
        <v>50</v>
      </c>
      <c r="K107" s="1751"/>
      <c r="L107" s="1753"/>
      <c r="M107" s="1719"/>
      <c r="N107" s="1719"/>
      <c r="O107" s="2389"/>
      <c r="P107" s="90"/>
      <c r="Q107" s="1591"/>
      <c r="R107" s="714"/>
    </row>
    <row r="108" spans="1:18" ht="27" customHeight="1" x14ac:dyDescent="0.2">
      <c r="A108" s="1548" t="s">
        <v>24</v>
      </c>
      <c r="B108" s="1555" t="s">
        <v>20</v>
      </c>
      <c r="C108" s="1188" t="s">
        <v>29</v>
      </c>
      <c r="D108" s="1964" t="s">
        <v>333</v>
      </c>
      <c r="E108" s="2128"/>
      <c r="F108" s="2384">
        <v>2</v>
      </c>
      <c r="G108" s="1594" t="s">
        <v>22</v>
      </c>
      <c r="H108" s="1728">
        <f>100/3.4528*1000</f>
        <v>28962.001853568119</v>
      </c>
      <c r="I108" s="1834">
        <f>J108+L108</f>
        <v>100</v>
      </c>
      <c r="J108" s="1835"/>
      <c r="K108" s="1836"/>
      <c r="L108" s="1837">
        <v>100</v>
      </c>
      <c r="M108" s="1843">
        <f>100/3.4528*1000</f>
        <v>28962.001853568119</v>
      </c>
      <c r="N108" s="1838"/>
      <c r="O108" s="2387" t="s">
        <v>282</v>
      </c>
      <c r="P108" s="975"/>
      <c r="Q108" s="976">
        <v>152</v>
      </c>
      <c r="R108" s="743"/>
    </row>
    <row r="109" spans="1:18" ht="27" customHeight="1" x14ac:dyDescent="0.2">
      <c r="A109" s="1549"/>
      <c r="B109" s="1556"/>
      <c r="C109" s="215"/>
      <c r="D109" s="2282"/>
      <c r="E109" s="2207"/>
      <c r="F109" s="2385"/>
      <c r="G109" s="1575"/>
      <c r="H109" s="1839"/>
      <c r="I109" s="1684"/>
      <c r="J109" s="1840"/>
      <c r="K109" s="1841"/>
      <c r="L109" s="1842"/>
      <c r="M109" s="1672"/>
      <c r="N109" s="1672"/>
      <c r="O109" s="2388"/>
      <c r="P109" s="1519"/>
      <c r="Q109" s="93"/>
      <c r="R109" s="688"/>
    </row>
    <row r="110" spans="1:18" ht="13.5" thickBot="1" x14ac:dyDescent="0.25">
      <c r="A110" s="1549"/>
      <c r="B110" s="1556"/>
      <c r="C110" s="215"/>
      <c r="D110" s="2282"/>
      <c r="E110" s="2207"/>
      <c r="F110" s="2385"/>
      <c r="G110" s="392" t="s">
        <v>23</v>
      </c>
      <c r="H110" s="1810">
        <f>SUM(H108:H109)</f>
        <v>28962.001853568119</v>
      </c>
      <c r="I110" s="1811">
        <f>I108</f>
        <v>100</v>
      </c>
      <c r="J110" s="1823"/>
      <c r="K110" s="1813"/>
      <c r="L110" s="1824">
        <f>SUM(L108:L109)</f>
        <v>100</v>
      </c>
      <c r="M110" s="1825">
        <f>SUM(M108:M109)</f>
        <v>28962.001853568119</v>
      </c>
      <c r="N110" s="1825"/>
      <c r="O110" s="2388"/>
      <c r="P110" s="978"/>
      <c r="Q110" s="979"/>
      <c r="R110" s="688"/>
    </row>
    <row r="111" spans="1:18" ht="29.25" customHeight="1" x14ac:dyDescent="0.2">
      <c r="A111" s="1548" t="s">
        <v>24</v>
      </c>
      <c r="B111" s="1555" t="s">
        <v>20</v>
      </c>
      <c r="C111" s="1507" t="s">
        <v>30</v>
      </c>
      <c r="D111" s="1221" t="s">
        <v>199</v>
      </c>
      <c r="E111" s="1222" t="s">
        <v>4</v>
      </c>
      <c r="F111" s="1223"/>
      <c r="G111" s="13"/>
      <c r="H111" s="1844"/>
      <c r="I111" s="1747"/>
      <c r="J111" s="1845"/>
      <c r="K111" s="1748"/>
      <c r="L111" s="1846"/>
      <c r="M111" s="1710"/>
      <c r="N111" s="1710"/>
      <c r="O111" s="1224"/>
      <c r="P111" s="1225"/>
      <c r="Q111" s="1226"/>
      <c r="R111" s="1227"/>
    </row>
    <row r="112" spans="1:18" ht="18" customHeight="1" x14ac:dyDescent="0.2">
      <c r="A112" s="1549"/>
      <c r="B112" s="1556"/>
      <c r="C112" s="1532"/>
      <c r="D112" s="2400" t="s">
        <v>280</v>
      </c>
      <c r="E112" s="2401" t="s">
        <v>131</v>
      </c>
      <c r="F112" s="2399">
        <v>6</v>
      </c>
      <c r="G112" s="1574" t="s">
        <v>296</v>
      </c>
      <c r="H112" s="1803">
        <f>3515/3.4528*1000</f>
        <v>1018014.3651529193</v>
      </c>
      <c r="I112" s="1778">
        <f>+J112+L112</f>
        <v>3515</v>
      </c>
      <c r="J112" s="1847">
        <v>15</v>
      </c>
      <c r="K112" s="1847"/>
      <c r="L112" s="1848">
        <v>3500</v>
      </c>
      <c r="M112" s="1849">
        <f>3000/3.4528*1000</f>
        <v>868860.05560704356</v>
      </c>
      <c r="N112" s="1849"/>
      <c r="O112" s="586" t="s">
        <v>169</v>
      </c>
      <c r="P112" s="1007">
        <v>100</v>
      </c>
      <c r="Q112" s="1007"/>
      <c r="R112" s="587"/>
    </row>
    <row r="113" spans="1:18" ht="16.5" customHeight="1" x14ac:dyDescent="0.2">
      <c r="A113" s="1549"/>
      <c r="B113" s="1556"/>
      <c r="C113" s="1532"/>
      <c r="D113" s="2282"/>
      <c r="E113" s="2358"/>
      <c r="F113" s="2399"/>
      <c r="G113" s="1578"/>
      <c r="H113" s="1839"/>
      <c r="I113" s="1668"/>
      <c r="J113" s="1669"/>
      <c r="K113" s="1669"/>
      <c r="L113" s="1699"/>
      <c r="M113" s="1850"/>
      <c r="N113" s="1800"/>
      <c r="O113" s="2256" t="s">
        <v>177</v>
      </c>
      <c r="P113" s="1539">
        <v>50</v>
      </c>
      <c r="Q113" s="1539">
        <v>50</v>
      </c>
      <c r="R113" s="1526"/>
    </row>
    <row r="114" spans="1:18" ht="13.5" thickBot="1" x14ac:dyDescent="0.25">
      <c r="A114" s="1553"/>
      <c r="B114" s="1557"/>
      <c r="C114" s="1508"/>
      <c r="D114" s="1965"/>
      <c r="E114" s="2359"/>
      <c r="F114" s="1228"/>
      <c r="G114" s="362" t="s">
        <v>23</v>
      </c>
      <c r="H114" s="1705">
        <f>SUM(H112:H113)</f>
        <v>1018014.3651529193</v>
      </c>
      <c r="I114" s="1851">
        <f t="shared" ref="I114:L114" si="10">SUM(I112:I113)</f>
        <v>3515</v>
      </c>
      <c r="J114" s="1744">
        <f t="shared" si="10"/>
        <v>15</v>
      </c>
      <c r="K114" s="1712">
        <f t="shared" si="10"/>
        <v>0</v>
      </c>
      <c r="L114" s="1714">
        <f t="shared" si="10"/>
        <v>3500</v>
      </c>
      <c r="M114" s="1715">
        <f>SUM(M112:M113)</f>
        <v>868860.05560704356</v>
      </c>
      <c r="N114" s="1715"/>
      <c r="O114" s="1973"/>
      <c r="P114" s="685"/>
      <c r="Q114" s="92"/>
      <c r="R114" s="1527"/>
    </row>
    <row r="115" spans="1:18" ht="16.5" customHeight="1" x14ac:dyDescent="0.2">
      <c r="A115" s="1549" t="s">
        <v>24</v>
      </c>
      <c r="B115" s="1556" t="s">
        <v>20</v>
      </c>
      <c r="C115" s="1532" t="s">
        <v>55</v>
      </c>
      <c r="D115" s="2282" t="s">
        <v>287</v>
      </c>
      <c r="E115" s="2207"/>
      <c r="F115" s="1541">
        <v>6</v>
      </c>
      <c r="G115" s="1578" t="s">
        <v>22</v>
      </c>
      <c r="H115" s="1852">
        <f>350/3.4528*1000</f>
        <v>101367.00648748843</v>
      </c>
      <c r="I115" s="1757">
        <f>J115+L115</f>
        <v>350</v>
      </c>
      <c r="J115" s="1853"/>
      <c r="K115" s="1798"/>
      <c r="L115" s="1854">
        <v>350</v>
      </c>
      <c r="M115" s="1717"/>
      <c r="N115" s="1717"/>
      <c r="O115" s="977" t="s">
        <v>286</v>
      </c>
      <c r="P115" s="744">
        <v>100</v>
      </c>
      <c r="Q115" s="100"/>
      <c r="R115" s="688"/>
    </row>
    <row r="116" spans="1:18" ht="13.5" thickBot="1" x14ac:dyDescent="0.25">
      <c r="A116" s="1550"/>
      <c r="B116" s="1557"/>
      <c r="C116" s="1567"/>
      <c r="D116" s="1965"/>
      <c r="E116" s="2129"/>
      <c r="F116" s="1010"/>
      <c r="G116" s="698" t="s">
        <v>23</v>
      </c>
      <c r="H116" s="1855">
        <f>H115</f>
        <v>101367.00648748843</v>
      </c>
      <c r="I116" s="1856">
        <f>J116+L116</f>
        <v>350</v>
      </c>
      <c r="J116" s="1857"/>
      <c r="K116" s="1858"/>
      <c r="L116" s="1859">
        <f>L115</f>
        <v>350</v>
      </c>
      <c r="M116" s="1860"/>
      <c r="N116" s="1860"/>
      <c r="O116" s="81"/>
      <c r="P116" s="90"/>
      <c r="Q116" s="1591"/>
      <c r="R116" s="714"/>
    </row>
    <row r="117" spans="1:18" ht="13.5" thickBot="1" x14ac:dyDescent="0.25">
      <c r="A117" s="1553" t="s">
        <v>24</v>
      </c>
      <c r="B117" s="14" t="s">
        <v>20</v>
      </c>
      <c r="C117" s="2139" t="s">
        <v>27</v>
      </c>
      <c r="D117" s="2154"/>
      <c r="E117" s="2154"/>
      <c r="F117" s="2154"/>
      <c r="G117" s="2154"/>
      <c r="H117" s="1861">
        <f>H116+H114+H110+H107+H104+H93+H74</f>
        <v>2171889.4810009263</v>
      </c>
      <c r="I117" s="1862">
        <f>I116+I110+I104+I107+I114+I93+I74</f>
        <v>7499.1</v>
      </c>
      <c r="J117" s="1863">
        <f t="shared" ref="J117:N117" si="11">J116+J110+J104+J107+J114+J93+J74</f>
        <v>82.4</v>
      </c>
      <c r="K117" s="1864">
        <f t="shared" si="11"/>
        <v>13.3</v>
      </c>
      <c r="L117" s="1865">
        <f t="shared" si="11"/>
        <v>7416.7000000000007</v>
      </c>
      <c r="M117" s="1765">
        <f t="shared" si="11"/>
        <v>1258341.0565338277</v>
      </c>
      <c r="N117" s="1766">
        <f t="shared" si="11"/>
        <v>3161579.0083410568</v>
      </c>
      <c r="O117" s="2239"/>
      <c r="P117" s="2240"/>
      <c r="Q117" s="2240"/>
      <c r="R117" s="2241"/>
    </row>
    <row r="118" spans="1:18" ht="12.75" customHeight="1" thickBot="1" x14ac:dyDescent="0.25">
      <c r="A118" s="1552" t="s">
        <v>24</v>
      </c>
      <c r="B118" s="14" t="s">
        <v>24</v>
      </c>
      <c r="C118" s="1938" t="s">
        <v>49</v>
      </c>
      <c r="D118" s="73"/>
      <c r="E118" s="73"/>
      <c r="F118" s="1934"/>
      <c r="G118" s="124"/>
      <c r="H118" s="1864"/>
      <c r="I118" s="1866"/>
      <c r="J118" s="1866"/>
      <c r="K118" s="1866"/>
      <c r="L118" s="1866"/>
      <c r="M118" s="1866"/>
      <c r="N118" s="1866"/>
      <c r="O118" s="73"/>
      <c r="P118" s="73"/>
      <c r="Q118" s="73"/>
      <c r="R118" s="1939"/>
    </row>
    <row r="119" spans="1:18" ht="27" customHeight="1" x14ac:dyDescent="0.2">
      <c r="A119" s="2201" t="s">
        <v>24</v>
      </c>
      <c r="B119" s="2208" t="s">
        <v>24</v>
      </c>
      <c r="C119" s="1566" t="s">
        <v>20</v>
      </c>
      <c r="D119" s="2132" t="s">
        <v>299</v>
      </c>
      <c r="E119" s="2357" t="s">
        <v>135</v>
      </c>
      <c r="F119" s="2273">
        <v>2</v>
      </c>
      <c r="G119" s="123" t="s">
        <v>22</v>
      </c>
      <c r="H119" s="1756">
        <v>0</v>
      </c>
      <c r="I119" s="1729">
        <f>J119+L119</f>
        <v>0</v>
      </c>
      <c r="J119" s="1730">
        <f>100-100</f>
        <v>0</v>
      </c>
      <c r="K119" s="1730"/>
      <c r="L119" s="1731"/>
      <c r="M119" s="1771">
        <f>100/3.4528*1000</f>
        <v>28962.001853568119</v>
      </c>
      <c r="N119" s="1771">
        <f>100/3.4528*1000</f>
        <v>28962.001853568119</v>
      </c>
      <c r="O119" s="2126" t="s">
        <v>91</v>
      </c>
      <c r="P119" s="874"/>
      <c r="Q119" s="874">
        <v>320</v>
      </c>
      <c r="R119" s="885">
        <v>320</v>
      </c>
    </row>
    <row r="120" spans="1:18" ht="13.5" thickBot="1" x14ac:dyDescent="0.25">
      <c r="A120" s="2203"/>
      <c r="B120" s="2210"/>
      <c r="C120" s="1567"/>
      <c r="D120" s="2133"/>
      <c r="E120" s="2359"/>
      <c r="F120" s="2274"/>
      <c r="G120" s="362" t="s">
        <v>23</v>
      </c>
      <c r="H120" s="1867">
        <f>H119</f>
        <v>0</v>
      </c>
      <c r="I120" s="1706">
        <f>J120+L120</f>
        <v>0</v>
      </c>
      <c r="J120" s="1712">
        <f>SUM(J119)</f>
        <v>0</v>
      </c>
      <c r="K120" s="1712"/>
      <c r="L120" s="1745"/>
      <c r="M120" s="1715">
        <f>SUM(M119)</f>
        <v>28962.001853568119</v>
      </c>
      <c r="N120" s="1714">
        <f>SUM(N119)</f>
        <v>28962.001853568119</v>
      </c>
      <c r="O120" s="2127"/>
      <c r="P120" s="143"/>
      <c r="Q120" s="143"/>
      <c r="R120" s="233"/>
    </row>
    <row r="121" spans="1:18" ht="12.75" customHeight="1" x14ac:dyDescent="0.2">
      <c r="A121" s="1551" t="s">
        <v>24</v>
      </c>
      <c r="B121" s="1555" t="s">
        <v>24</v>
      </c>
      <c r="C121" s="1566" t="s">
        <v>24</v>
      </c>
      <c r="D121" s="2373" t="s">
        <v>290</v>
      </c>
      <c r="E121" s="2376"/>
      <c r="F121" s="2379">
        <v>2</v>
      </c>
      <c r="G121" s="1229" t="s">
        <v>22</v>
      </c>
      <c r="H121" s="1868">
        <f>1060/3.4528*1000</f>
        <v>306997.21964782209</v>
      </c>
      <c r="I121" s="1722">
        <f>J121+L121</f>
        <v>1060</v>
      </c>
      <c r="J121" s="1869">
        <v>1060</v>
      </c>
      <c r="K121" s="1723"/>
      <c r="L121" s="1870"/>
      <c r="M121" s="1843">
        <f>900/3.4528*1000</f>
        <v>260658.01668211311</v>
      </c>
      <c r="N121" s="1871">
        <f>900/3.4528*1000</f>
        <v>260658.01668211311</v>
      </c>
      <c r="O121" s="1061" t="s">
        <v>291</v>
      </c>
      <c r="P121" s="1062">
        <v>315</v>
      </c>
      <c r="Q121" s="1062">
        <v>250</v>
      </c>
      <c r="R121" s="1063">
        <v>250</v>
      </c>
    </row>
    <row r="122" spans="1:18" ht="29.25" customHeight="1" x14ac:dyDescent="0.2">
      <c r="A122" s="1552"/>
      <c r="B122" s="1556"/>
      <c r="C122" s="1565"/>
      <c r="D122" s="2374"/>
      <c r="E122" s="2377"/>
      <c r="F122" s="2380"/>
      <c r="G122" s="1288"/>
      <c r="H122" s="1667"/>
      <c r="I122" s="1695"/>
      <c r="J122" s="1872"/>
      <c r="K122" s="1718"/>
      <c r="L122" s="1692"/>
      <c r="M122" s="1674"/>
      <c r="N122" s="1692"/>
      <c r="O122" s="1577" t="s">
        <v>292</v>
      </c>
      <c r="P122" s="1065">
        <v>15</v>
      </c>
      <c r="Q122" s="1065">
        <v>3</v>
      </c>
      <c r="R122" s="1066">
        <v>3</v>
      </c>
    </row>
    <row r="123" spans="1:18" ht="13.5" thickBot="1" x14ac:dyDescent="0.25">
      <c r="A123" s="1553"/>
      <c r="B123" s="1067"/>
      <c r="C123" s="1567"/>
      <c r="D123" s="2375"/>
      <c r="E123" s="2378"/>
      <c r="F123" s="2381"/>
      <c r="G123" s="1230" t="s">
        <v>23</v>
      </c>
      <c r="H123" s="1873">
        <f>SUM(H121:H122)</f>
        <v>306997.21964782209</v>
      </c>
      <c r="I123" s="1750">
        <f>SUM(I121:I121)</f>
        <v>1060</v>
      </c>
      <c r="J123" s="1751">
        <f>SUM(J121:J121)</f>
        <v>1060</v>
      </c>
      <c r="K123" s="1833"/>
      <c r="L123" s="1720"/>
      <c r="M123" s="1719">
        <f>SUM(M121:M121)</f>
        <v>260658.01668211311</v>
      </c>
      <c r="N123" s="1720">
        <f>SUM(N121:N121)</f>
        <v>260658.01668211311</v>
      </c>
      <c r="O123" s="1068" t="s">
        <v>133</v>
      </c>
      <c r="P123" s="1069">
        <v>285</v>
      </c>
      <c r="Q123" s="1069">
        <v>60</v>
      </c>
      <c r="R123" s="1070">
        <v>60</v>
      </c>
    </row>
    <row r="124" spans="1:18" ht="13.5" thickBot="1" x14ac:dyDescent="0.25">
      <c r="A124" s="15" t="s">
        <v>24</v>
      </c>
      <c r="B124" s="14" t="s">
        <v>24</v>
      </c>
      <c r="C124" s="2139" t="s">
        <v>27</v>
      </c>
      <c r="D124" s="2154"/>
      <c r="E124" s="2154"/>
      <c r="F124" s="2154"/>
      <c r="G124" s="2154"/>
      <c r="H124" s="1726">
        <f>H123+H120</f>
        <v>306997.21964782209</v>
      </c>
      <c r="I124" s="1727">
        <f t="shared" ref="I124:N124" si="12">I123+I120</f>
        <v>1060</v>
      </c>
      <c r="J124" s="1861">
        <f>J123+J120</f>
        <v>1060</v>
      </c>
      <c r="K124" s="1874">
        <f t="shared" si="12"/>
        <v>0</v>
      </c>
      <c r="L124" s="1875">
        <f t="shared" si="12"/>
        <v>0</v>
      </c>
      <c r="M124" s="1727">
        <f t="shared" si="12"/>
        <v>289620.01853568124</v>
      </c>
      <c r="N124" s="1727">
        <f t="shared" si="12"/>
        <v>289620.01853568124</v>
      </c>
      <c r="O124" s="1985"/>
      <c r="P124" s="1986"/>
      <c r="Q124" s="1986"/>
      <c r="R124" s="1987"/>
    </row>
    <row r="125" spans="1:18" ht="13.5" thickBot="1" x14ac:dyDescent="0.25">
      <c r="A125" s="1551" t="s">
        <v>24</v>
      </c>
      <c r="B125" s="148" t="s">
        <v>26</v>
      </c>
      <c r="C125" s="2372" t="s">
        <v>48</v>
      </c>
      <c r="D125" s="2237"/>
      <c r="E125" s="2237"/>
      <c r="F125" s="2237"/>
      <c r="G125" s="2237"/>
      <c r="H125" s="2237"/>
      <c r="I125" s="2237"/>
      <c r="J125" s="2237"/>
      <c r="K125" s="2237"/>
      <c r="L125" s="2237"/>
      <c r="M125" s="2237"/>
      <c r="N125" s="2237"/>
      <c r="O125" s="2237"/>
      <c r="P125" s="2237"/>
      <c r="Q125" s="2237"/>
      <c r="R125" s="2238"/>
    </row>
    <row r="126" spans="1:18" ht="25.5" customHeight="1" x14ac:dyDescent="0.2">
      <c r="A126" s="1548" t="s">
        <v>24</v>
      </c>
      <c r="B126" s="1555" t="s">
        <v>26</v>
      </c>
      <c r="C126" s="1566" t="s">
        <v>20</v>
      </c>
      <c r="D126" s="1072" t="s">
        <v>50</v>
      </c>
      <c r="E126" s="1579"/>
      <c r="F126" s="1074">
        <v>6</v>
      </c>
      <c r="G126" s="1935" t="s">
        <v>22</v>
      </c>
      <c r="H126" s="1876">
        <f>4348.2/3.4528*1000</f>
        <v>1259325.764596849</v>
      </c>
      <c r="I126" s="1722">
        <f>J126+L126</f>
        <v>4348</v>
      </c>
      <c r="J126" s="1877">
        <v>4268</v>
      </c>
      <c r="K126" s="1878"/>
      <c r="L126" s="1837">
        <v>80</v>
      </c>
      <c r="M126" s="1838">
        <f>4896/3.4528*1000</f>
        <v>1417979.6107506952</v>
      </c>
      <c r="N126" s="1879">
        <f>4863/3.4528*1000</f>
        <v>1408422.1501390177</v>
      </c>
      <c r="O126" s="1078"/>
      <c r="P126" s="1079"/>
      <c r="Q126" s="1080"/>
      <c r="R126" s="743"/>
    </row>
    <row r="127" spans="1:18" ht="30" customHeight="1" x14ac:dyDescent="0.2">
      <c r="A127" s="1549"/>
      <c r="B127" s="1556"/>
      <c r="C127" s="1565"/>
      <c r="D127" s="1082" t="s">
        <v>93</v>
      </c>
      <c r="E127" s="1933"/>
      <c r="F127" s="1581"/>
      <c r="G127" s="1936"/>
      <c r="H127" s="1880"/>
      <c r="I127" s="1684"/>
      <c r="J127" s="1686"/>
      <c r="K127" s="1840"/>
      <c r="L127" s="1882"/>
      <c r="M127" s="1674"/>
      <c r="N127" s="1674"/>
      <c r="O127" s="1559" t="s">
        <v>316</v>
      </c>
      <c r="P127" s="1087">
        <v>13</v>
      </c>
      <c r="Q127" s="1087">
        <v>14</v>
      </c>
      <c r="R127" s="1088">
        <v>14</v>
      </c>
    </row>
    <row r="128" spans="1:18" ht="25.5" x14ac:dyDescent="0.2">
      <c r="A128" s="1549"/>
      <c r="B128" s="1556"/>
      <c r="C128" s="161"/>
      <c r="D128" s="1082" t="s">
        <v>61</v>
      </c>
      <c r="E128" s="1571"/>
      <c r="F128" s="1581"/>
      <c r="G128" s="1936"/>
      <c r="H128" s="1880"/>
      <c r="I128" s="1684"/>
      <c r="J128" s="1881"/>
      <c r="K128" s="1840"/>
      <c r="L128" s="1882"/>
      <c r="M128" s="1674"/>
      <c r="N128" s="1674"/>
      <c r="O128" s="1559" t="s">
        <v>317</v>
      </c>
      <c r="P128" s="1092">
        <v>95</v>
      </c>
      <c r="Q128" s="1092">
        <v>95</v>
      </c>
      <c r="R128" s="1093">
        <v>95</v>
      </c>
    </row>
    <row r="129" spans="1:21" s="4" customFormat="1" ht="25.5" x14ac:dyDescent="0.2">
      <c r="A129" s="1549"/>
      <c r="B129" s="1556"/>
      <c r="C129" s="1565"/>
      <c r="D129" s="1094" t="s">
        <v>63</v>
      </c>
      <c r="E129" s="1571"/>
      <c r="F129" s="1569"/>
      <c r="G129" s="1936"/>
      <c r="H129" s="1880"/>
      <c r="I129" s="1684"/>
      <c r="J129" s="1881"/>
      <c r="K129" s="1840"/>
      <c r="L129" s="1882"/>
      <c r="M129" s="1674"/>
      <c r="N129" s="1674"/>
      <c r="O129" s="1558" t="s">
        <v>324</v>
      </c>
      <c r="P129" s="1097">
        <v>30</v>
      </c>
      <c r="Q129" s="1097">
        <v>30</v>
      </c>
      <c r="R129" s="1098">
        <v>30</v>
      </c>
    </row>
    <row r="130" spans="1:21" ht="25.5" x14ac:dyDescent="0.2">
      <c r="A130" s="1549"/>
      <c r="B130" s="1556"/>
      <c r="C130" s="161"/>
      <c r="D130" s="1082" t="s">
        <v>73</v>
      </c>
      <c r="E130" s="1571"/>
      <c r="F130" s="1581"/>
      <c r="G130" s="1936"/>
      <c r="H130" s="1880"/>
      <c r="I130" s="1684"/>
      <c r="J130" s="1881"/>
      <c r="K130" s="1840"/>
      <c r="L130" s="1882"/>
      <c r="M130" s="1674"/>
      <c r="N130" s="1674"/>
      <c r="O130" s="1559" t="s">
        <v>318</v>
      </c>
      <c r="P130" s="1092">
        <v>6</v>
      </c>
      <c r="Q130" s="1092">
        <v>5</v>
      </c>
      <c r="R130" s="1093">
        <v>5</v>
      </c>
    </row>
    <row r="131" spans="1:21" s="4" customFormat="1" x14ac:dyDescent="0.2">
      <c r="A131" s="1549"/>
      <c r="B131" s="1556"/>
      <c r="C131" s="161"/>
      <c r="D131" s="1082" t="s">
        <v>62</v>
      </c>
      <c r="E131" s="1580"/>
      <c r="F131" s="1581"/>
      <c r="G131" s="1936"/>
      <c r="H131" s="1880"/>
      <c r="I131" s="1684"/>
      <c r="J131" s="1881"/>
      <c r="K131" s="1840"/>
      <c r="L131" s="1882"/>
      <c r="M131" s="1674"/>
      <c r="N131" s="1674"/>
      <c r="O131" s="1559" t="s">
        <v>83</v>
      </c>
      <c r="P131" s="281">
        <v>40.1</v>
      </c>
      <c r="Q131" s="281">
        <v>40.1</v>
      </c>
      <c r="R131" s="776">
        <v>40.1</v>
      </c>
    </row>
    <row r="132" spans="1:21" x14ac:dyDescent="0.2">
      <c r="A132" s="1549"/>
      <c r="B132" s="1556"/>
      <c r="C132" s="1565"/>
      <c r="D132" s="1094" t="s">
        <v>64</v>
      </c>
      <c r="E132" s="1580"/>
      <c r="F132" s="1581"/>
      <c r="G132" s="1936"/>
      <c r="H132" s="1880"/>
      <c r="I132" s="1684"/>
      <c r="J132" s="1686"/>
      <c r="K132" s="1940"/>
      <c r="L132" s="1941"/>
      <c r="M132" s="1674"/>
      <c r="N132" s="1674"/>
      <c r="O132" s="1588" t="s">
        <v>319</v>
      </c>
      <c r="P132" s="1589">
        <v>100</v>
      </c>
      <c r="Q132" s="1589">
        <v>100</v>
      </c>
      <c r="R132" s="1590">
        <v>100</v>
      </c>
    </row>
    <row r="133" spans="1:21" s="796" customFormat="1" ht="29.25" customHeight="1" x14ac:dyDescent="0.2">
      <c r="A133" s="1549"/>
      <c r="B133" s="1556"/>
      <c r="C133" s="1565"/>
      <c r="D133" s="1144" t="s">
        <v>142</v>
      </c>
      <c r="E133" s="1108"/>
      <c r="F133" s="1604"/>
      <c r="G133" s="1609"/>
      <c r="H133" s="1702"/>
      <c r="I133" s="1684"/>
      <c r="J133" s="1686"/>
      <c r="K133" s="1686"/>
      <c r="L133" s="1692"/>
      <c r="M133" s="1674"/>
      <c r="N133" s="1674"/>
      <c r="O133" s="1140" t="s">
        <v>320</v>
      </c>
      <c r="P133" s="1112">
        <v>11</v>
      </c>
      <c r="Q133" s="1112">
        <v>13</v>
      </c>
      <c r="R133" s="1113">
        <v>16</v>
      </c>
      <c r="S133" s="795"/>
      <c r="U133" s="797"/>
    </row>
    <row r="134" spans="1:21" s="796" customFormat="1" ht="30.75" customHeight="1" x14ac:dyDescent="0.2">
      <c r="A134" s="1549"/>
      <c r="B134" s="1556"/>
      <c r="C134" s="1565"/>
      <c r="D134" s="2402" t="s">
        <v>334</v>
      </c>
      <c r="E134" s="2395"/>
      <c r="F134" s="2397"/>
      <c r="G134" s="1111"/>
      <c r="H134" s="1885"/>
      <c r="I134" s="1762"/>
      <c r="J134" s="1872"/>
      <c r="K134" s="1872"/>
      <c r="L134" s="1884"/>
      <c r="M134" s="1883"/>
      <c r="N134" s="1883"/>
      <c r="O134" s="1605" t="s">
        <v>321</v>
      </c>
      <c r="P134" s="1112">
        <v>1</v>
      </c>
      <c r="Q134" s="1112">
        <v>1</v>
      </c>
      <c r="R134" s="1113">
        <v>1</v>
      </c>
      <c r="S134" s="795"/>
      <c r="U134" s="797"/>
    </row>
    <row r="135" spans="1:21" ht="13.5" thickBot="1" x14ac:dyDescent="0.25">
      <c r="A135" s="1549"/>
      <c r="B135" s="1556"/>
      <c r="C135" s="1565"/>
      <c r="D135" s="2403"/>
      <c r="E135" s="2396"/>
      <c r="F135" s="2398"/>
      <c r="G135" s="420" t="s">
        <v>23</v>
      </c>
      <c r="H135" s="1886">
        <f>SUM(H126:H134)</f>
        <v>1259325.764596849</v>
      </c>
      <c r="I135" s="1750">
        <f>SUM(I126:I134)</f>
        <v>4348</v>
      </c>
      <c r="J135" s="1750">
        <f t="shared" ref="J135:N135" si="13">SUM(J126:J134)</f>
        <v>4268</v>
      </c>
      <c r="K135" s="1750">
        <f t="shared" si="13"/>
        <v>0</v>
      </c>
      <c r="L135" s="1750">
        <f t="shared" si="13"/>
        <v>80</v>
      </c>
      <c r="M135" s="1750">
        <f t="shared" si="13"/>
        <v>1417979.6107506952</v>
      </c>
      <c r="N135" s="1750">
        <f t="shared" si="13"/>
        <v>1408422.1501390177</v>
      </c>
      <c r="O135" s="1141"/>
      <c r="P135" s="90"/>
      <c r="Q135" s="1591"/>
      <c r="R135" s="714"/>
    </row>
    <row r="136" spans="1:21" ht="26.25" customHeight="1" x14ac:dyDescent="0.2">
      <c r="A136" s="1548" t="s">
        <v>24</v>
      </c>
      <c r="B136" s="1555" t="s">
        <v>26</v>
      </c>
      <c r="C136" s="1566" t="s">
        <v>24</v>
      </c>
      <c r="D136" s="2367" t="s">
        <v>276</v>
      </c>
      <c r="E136" s="2365" t="s">
        <v>139</v>
      </c>
      <c r="F136" s="2369">
        <v>6</v>
      </c>
      <c r="G136" s="1118" t="s">
        <v>22</v>
      </c>
      <c r="H136" s="1876">
        <f>73/3.4528*1000</f>
        <v>21142.261353104728</v>
      </c>
      <c r="I136" s="1722">
        <f>J136+L136</f>
        <v>73</v>
      </c>
      <c r="J136" s="1877"/>
      <c r="K136" s="1835"/>
      <c r="L136" s="1837">
        <v>73</v>
      </c>
      <c r="M136" s="1838">
        <f>210/3.4528*1000</f>
        <v>60820.203892493053</v>
      </c>
      <c r="N136" s="1879">
        <f>320/3.4528*1000</f>
        <v>92678.40593141799</v>
      </c>
      <c r="O136" s="2370" t="s">
        <v>140</v>
      </c>
      <c r="P136" s="975">
        <v>1</v>
      </c>
      <c r="Q136" s="976">
        <v>4</v>
      </c>
      <c r="R136" s="743">
        <v>6</v>
      </c>
    </row>
    <row r="137" spans="1:21" ht="13.5" thickBot="1" x14ac:dyDescent="0.25">
      <c r="A137" s="1550"/>
      <c r="B137" s="1557"/>
      <c r="C137" s="1567"/>
      <c r="D137" s="2368"/>
      <c r="E137" s="2366"/>
      <c r="F137" s="2319"/>
      <c r="G137" s="420" t="s">
        <v>23</v>
      </c>
      <c r="H137" s="1886">
        <f>SUM(H136)</f>
        <v>21142.261353104728</v>
      </c>
      <c r="I137" s="1750">
        <f>J137+L137</f>
        <v>73</v>
      </c>
      <c r="J137" s="1751"/>
      <c r="K137" s="1751"/>
      <c r="L137" s="1753">
        <f>L136</f>
        <v>73</v>
      </c>
      <c r="M137" s="1719">
        <f>SUM(M136)</f>
        <v>60820.203892493053</v>
      </c>
      <c r="N137" s="1720">
        <f>SUM(N136)</f>
        <v>92678.40593141799</v>
      </c>
      <c r="O137" s="2371"/>
      <c r="P137" s="90"/>
      <c r="Q137" s="1591"/>
      <c r="R137" s="714"/>
    </row>
    <row r="138" spans="1:21" ht="30" customHeight="1" x14ac:dyDescent="0.2">
      <c r="A138" s="2204" t="s">
        <v>24</v>
      </c>
      <c r="B138" s="2167" t="s">
        <v>26</v>
      </c>
      <c r="C138" s="147" t="s">
        <v>26</v>
      </c>
      <c r="D138" s="2364" t="s">
        <v>59</v>
      </c>
      <c r="E138" s="2365"/>
      <c r="F138" s="2360">
        <v>2</v>
      </c>
      <c r="G138" s="1120" t="s">
        <v>22</v>
      </c>
      <c r="H138" s="1887">
        <f>108/3.4528*1000</f>
        <v>31278.962001853568</v>
      </c>
      <c r="I138" s="1888">
        <f>J138+L138</f>
        <v>108</v>
      </c>
      <c r="J138" s="1889">
        <v>108</v>
      </c>
      <c r="K138" s="1748"/>
      <c r="L138" s="1749"/>
      <c r="M138" s="1838">
        <f>100/3.4528*1000</f>
        <v>28962.001853568119</v>
      </c>
      <c r="N138" s="1838">
        <f>100/3.4528*1000</f>
        <v>28962.001853568119</v>
      </c>
      <c r="O138" s="1996" t="s">
        <v>322</v>
      </c>
      <c r="P138" s="1122">
        <v>320</v>
      </c>
      <c r="Q138" s="1123">
        <v>300</v>
      </c>
      <c r="R138" s="743">
        <v>300</v>
      </c>
    </row>
    <row r="139" spans="1:21" ht="13.5" thickBot="1" x14ac:dyDescent="0.25">
      <c r="A139" s="2206"/>
      <c r="B139" s="2168"/>
      <c r="C139" s="145"/>
      <c r="D139" s="2356"/>
      <c r="E139" s="2366"/>
      <c r="F139" s="2362"/>
      <c r="G139" s="420" t="s">
        <v>23</v>
      </c>
      <c r="H139" s="1890">
        <f>H138</f>
        <v>31278.962001853568</v>
      </c>
      <c r="I139" s="1719">
        <f>J139+L139</f>
        <v>108</v>
      </c>
      <c r="J139" s="1823">
        <f>SUM(J138)</f>
        <v>108</v>
      </c>
      <c r="K139" s="1813"/>
      <c r="L139" s="1824"/>
      <c r="M139" s="1719">
        <f>SUM(M138)</f>
        <v>28962.001853568119</v>
      </c>
      <c r="N139" s="1814">
        <f>SUM(N138)</f>
        <v>28962.001853568119</v>
      </c>
      <c r="O139" s="1998"/>
      <c r="P139" s="90"/>
      <c r="Q139" s="1591"/>
      <c r="R139" s="714"/>
    </row>
    <row r="140" spans="1:21" x14ac:dyDescent="0.2">
      <c r="A140" s="1548" t="s">
        <v>24</v>
      </c>
      <c r="B140" s="1555" t="s">
        <v>26</v>
      </c>
      <c r="C140" s="147" t="s">
        <v>28</v>
      </c>
      <c r="D140" s="1584" t="s">
        <v>281</v>
      </c>
      <c r="E140" s="1603"/>
      <c r="F140" s="1585">
        <v>2</v>
      </c>
      <c r="G140" s="1127" t="s">
        <v>22</v>
      </c>
      <c r="H140" s="1891"/>
      <c r="I140" s="1834"/>
      <c r="J140" s="1869"/>
      <c r="K140" s="1869"/>
      <c r="L140" s="1870"/>
      <c r="M140" s="1838">
        <f>250/3.4528*1000</f>
        <v>72405.004633920296</v>
      </c>
      <c r="N140" s="1879"/>
      <c r="O140" s="1162" t="s">
        <v>323</v>
      </c>
      <c r="P140" s="1163"/>
      <c r="Q140" s="1124">
        <v>10</v>
      </c>
      <c r="R140" s="743"/>
    </row>
    <row r="141" spans="1:21" ht="16.5" customHeight="1" x14ac:dyDescent="0.2">
      <c r="A141" s="1549"/>
      <c r="B141" s="1556"/>
      <c r="C141" s="146"/>
      <c r="D141" s="2363" t="s">
        <v>335</v>
      </c>
      <c r="E141" s="1601"/>
      <c r="F141" s="1586"/>
      <c r="G141" s="1127"/>
      <c r="H141" s="1682"/>
      <c r="I141" s="1684"/>
      <c r="J141" s="1686"/>
      <c r="K141" s="1686"/>
      <c r="L141" s="1689"/>
      <c r="M141" s="1672"/>
      <c r="N141" s="1698"/>
      <c r="O141" s="1162"/>
      <c r="P141" s="1163"/>
      <c r="Q141" s="1124"/>
      <c r="R141" s="688"/>
    </row>
    <row r="142" spans="1:21" ht="13.5" thickBot="1" x14ac:dyDescent="0.25">
      <c r="A142" s="1550"/>
      <c r="B142" s="1557"/>
      <c r="C142" s="145"/>
      <c r="D142" s="2356"/>
      <c r="E142" s="1602"/>
      <c r="F142" s="1587"/>
      <c r="G142" s="420" t="s">
        <v>23</v>
      </c>
      <c r="H142" s="1886"/>
      <c r="I142" s="1832">
        <f t="shared" ref="I142:L142" si="14">SUM(I141:I141)</f>
        <v>0</v>
      </c>
      <c r="J142" s="1833">
        <f t="shared" si="14"/>
        <v>0</v>
      </c>
      <c r="K142" s="1833">
        <f t="shared" si="14"/>
        <v>0</v>
      </c>
      <c r="L142" s="1720">
        <f t="shared" si="14"/>
        <v>0</v>
      </c>
      <c r="M142" s="1719">
        <f>SUM(M140:M141)</f>
        <v>72405.004633920296</v>
      </c>
      <c r="N142" s="1720"/>
      <c r="O142" s="1517"/>
      <c r="P142" s="90"/>
      <c r="Q142" s="1591"/>
      <c r="R142" s="714"/>
    </row>
    <row r="143" spans="1:21" ht="63.75" customHeight="1" x14ac:dyDescent="0.2">
      <c r="A143" s="2201" t="s">
        <v>24</v>
      </c>
      <c r="B143" s="2208" t="s">
        <v>26</v>
      </c>
      <c r="C143" s="147" t="s">
        <v>29</v>
      </c>
      <c r="D143" s="2354" t="s">
        <v>306</v>
      </c>
      <c r="E143" s="2357" t="s">
        <v>135</v>
      </c>
      <c r="F143" s="2360">
        <v>2</v>
      </c>
      <c r="G143" s="609" t="s">
        <v>22</v>
      </c>
      <c r="H143" s="1891">
        <f>64/3.4528*1000</f>
        <v>18535.681186283597</v>
      </c>
      <c r="I143" s="1834">
        <f>J143+L143</f>
        <v>64</v>
      </c>
      <c r="J143" s="1869"/>
      <c r="K143" s="1869"/>
      <c r="L143" s="1870">
        <v>64</v>
      </c>
      <c r="M143" s="1838">
        <f>74/3.4528*1000</f>
        <v>21431.881371640407</v>
      </c>
      <c r="N143" s="1879">
        <f>67/3.4528*1000</f>
        <v>19404.541241890642</v>
      </c>
      <c r="O143" s="1125" t="s">
        <v>90</v>
      </c>
      <c r="P143" s="1126">
        <v>9</v>
      </c>
      <c r="Q143" s="1123">
        <v>10</v>
      </c>
      <c r="R143" s="743">
        <v>10</v>
      </c>
    </row>
    <row r="144" spans="1:21" ht="31.5" customHeight="1" x14ac:dyDescent="0.2">
      <c r="A144" s="2202"/>
      <c r="B144" s="2209"/>
      <c r="C144" s="146"/>
      <c r="D144" s="2355"/>
      <c r="E144" s="2358"/>
      <c r="F144" s="2361"/>
      <c r="G144" s="1127"/>
      <c r="H144" s="1682"/>
      <c r="I144" s="1684"/>
      <c r="J144" s="1686"/>
      <c r="K144" s="1686"/>
      <c r="L144" s="1689"/>
      <c r="M144" s="1717"/>
      <c r="N144" s="1892"/>
      <c r="O144" s="1128"/>
      <c r="P144" s="531"/>
      <c r="Q144" s="1124"/>
      <c r="R144" s="688"/>
    </row>
    <row r="145" spans="1:23" ht="13.5" thickBot="1" x14ac:dyDescent="0.25">
      <c r="A145" s="2203"/>
      <c r="B145" s="2210"/>
      <c r="C145" s="145"/>
      <c r="D145" s="2356"/>
      <c r="E145" s="2359"/>
      <c r="F145" s="2362"/>
      <c r="G145" s="420" t="s">
        <v>23</v>
      </c>
      <c r="H145" s="1886">
        <f>SUM(H143:H144)</f>
        <v>18535.681186283597</v>
      </c>
      <c r="I145" s="1832">
        <f>J145+L145</f>
        <v>64</v>
      </c>
      <c r="J145" s="1751"/>
      <c r="K145" s="1751"/>
      <c r="L145" s="1753">
        <f>SUM(L143)</f>
        <v>64</v>
      </c>
      <c r="M145" s="1719">
        <f>SUM(M143)</f>
        <v>21431.881371640407</v>
      </c>
      <c r="N145" s="1720">
        <f>SUM(N143)</f>
        <v>19404.541241890642</v>
      </c>
      <c r="O145" s="1129"/>
      <c r="P145" s="90"/>
      <c r="Q145" s="1591"/>
      <c r="R145" s="714"/>
    </row>
    <row r="146" spans="1:23" ht="13.5" thickBot="1" x14ac:dyDescent="0.25">
      <c r="A146" s="31" t="s">
        <v>24</v>
      </c>
      <c r="B146" s="33" t="s">
        <v>26</v>
      </c>
      <c r="C146" s="2139" t="s">
        <v>27</v>
      </c>
      <c r="D146" s="2154"/>
      <c r="E146" s="2154"/>
      <c r="F146" s="2154"/>
      <c r="G146" s="2353"/>
      <c r="H146" s="1861">
        <f>H145+H142+H139+H137+H135</f>
        <v>1330282.6691380909</v>
      </c>
      <c r="I146" s="1893">
        <f t="shared" ref="I146:N146" si="15">I145+I139+I137+I135+I142</f>
        <v>4593</v>
      </c>
      <c r="J146" s="1874">
        <f t="shared" si="15"/>
        <v>4376</v>
      </c>
      <c r="K146" s="1861">
        <f t="shared" si="15"/>
        <v>0</v>
      </c>
      <c r="L146" s="1894">
        <f t="shared" si="15"/>
        <v>217</v>
      </c>
      <c r="M146" s="1727">
        <f t="shared" si="15"/>
        <v>1601598.702502317</v>
      </c>
      <c r="N146" s="1727">
        <f t="shared" si="15"/>
        <v>1549467.0991658946</v>
      </c>
      <c r="O146" s="1985"/>
      <c r="P146" s="1986"/>
      <c r="Q146" s="1986"/>
      <c r="R146" s="1987"/>
    </row>
    <row r="147" spans="1:23" ht="13.5" thickBot="1" x14ac:dyDescent="0.25">
      <c r="A147" s="31" t="s">
        <v>24</v>
      </c>
      <c r="B147" s="2199" t="s">
        <v>10</v>
      </c>
      <c r="C147" s="2199"/>
      <c r="D147" s="2199"/>
      <c r="E147" s="2199"/>
      <c r="F147" s="2199"/>
      <c r="G147" s="2199"/>
      <c r="H147" s="1767">
        <f>H146+H124+H117</f>
        <v>3809169.3697868395</v>
      </c>
      <c r="I147" s="1895">
        <f>J147+L147</f>
        <v>13152.1</v>
      </c>
      <c r="J147" s="1896">
        <f>J146+J124+J117</f>
        <v>5518.4</v>
      </c>
      <c r="K147" s="1896">
        <f>K146+K124+K117</f>
        <v>13.3</v>
      </c>
      <c r="L147" s="1897">
        <f>L146+L124+L117</f>
        <v>7633.7000000000007</v>
      </c>
      <c r="M147" s="1767">
        <f>M146+M124+M117</f>
        <v>3149559.7775718262</v>
      </c>
      <c r="N147" s="1898">
        <f>N146+N124+N117</f>
        <v>5000666.1260426324</v>
      </c>
      <c r="O147" s="2159"/>
      <c r="P147" s="2160"/>
      <c r="Q147" s="2160"/>
      <c r="R147" s="2161"/>
    </row>
    <row r="148" spans="1:23" ht="14.25" customHeight="1" thickBot="1" x14ac:dyDescent="0.25">
      <c r="A148" s="34" t="s">
        <v>9</v>
      </c>
      <c r="B148" s="2200" t="s">
        <v>11</v>
      </c>
      <c r="C148" s="2200"/>
      <c r="D148" s="2200"/>
      <c r="E148" s="2200"/>
      <c r="F148" s="2200"/>
      <c r="G148" s="2200"/>
      <c r="H148" s="1899">
        <f>H147+H67</f>
        <v>59443089.666357733</v>
      </c>
      <c r="I148" s="1900">
        <f>J148+L148</f>
        <v>205244.89999999997</v>
      </c>
      <c r="J148" s="1901">
        <f>J147+J67</f>
        <v>197310.99999999997</v>
      </c>
      <c r="K148" s="1901">
        <f>K147+K67</f>
        <v>128507.10000000002</v>
      </c>
      <c r="L148" s="1902">
        <f>L147+L67</f>
        <v>7933.9000000000005</v>
      </c>
      <c r="M148" s="1899">
        <f>M147+M67</f>
        <v>58748870.481927715</v>
      </c>
      <c r="N148" s="1903">
        <f>N147+N67</f>
        <v>60484708.063021317</v>
      </c>
      <c r="O148" s="2163"/>
      <c r="P148" s="2164"/>
      <c r="Q148" s="2164"/>
      <c r="R148" s="2165"/>
    </row>
    <row r="149" spans="1:23" s="241" customFormat="1" ht="14.25" customHeight="1" x14ac:dyDescent="0.2">
      <c r="A149" s="1390"/>
      <c r="B149" s="1391"/>
      <c r="C149" s="1391"/>
      <c r="D149" s="1391"/>
      <c r="E149" s="1391"/>
      <c r="F149" s="1391"/>
      <c r="G149" s="1391"/>
      <c r="H149" s="1904"/>
      <c r="I149" s="1904"/>
      <c r="J149" s="1904"/>
      <c r="K149" s="1904"/>
      <c r="L149" s="1904"/>
      <c r="M149" s="1904"/>
      <c r="N149" s="1904"/>
      <c r="O149" s="1389"/>
      <c r="P149" s="1389"/>
      <c r="Q149" s="1389"/>
      <c r="R149" s="1389"/>
    </row>
    <row r="150" spans="1:23" s="5" customFormat="1" ht="13.5" thickBot="1" x14ac:dyDescent="0.25">
      <c r="A150" s="2166" t="s">
        <v>2</v>
      </c>
      <c r="B150" s="2166"/>
      <c r="C150" s="2166"/>
      <c r="D150" s="2166"/>
      <c r="E150" s="2166"/>
      <c r="F150" s="2166"/>
      <c r="G150" s="2166"/>
      <c r="H150" s="2166"/>
      <c r="I150" s="2166"/>
      <c r="J150" s="2166"/>
      <c r="K150" s="2166"/>
      <c r="L150" s="2166"/>
      <c r="M150" s="2166"/>
      <c r="N150" s="2166"/>
      <c r="O150" s="309"/>
      <c r="P150" s="309"/>
      <c r="Q150" s="309"/>
      <c r="R150" s="107"/>
    </row>
    <row r="151" spans="1:23" s="6" customFormat="1" ht="39.75" customHeight="1" thickBot="1" x14ac:dyDescent="0.25">
      <c r="A151" s="2196" t="s">
        <v>3</v>
      </c>
      <c r="B151" s="2197"/>
      <c r="C151" s="2197"/>
      <c r="D151" s="2197"/>
      <c r="E151" s="2197"/>
      <c r="F151" s="2197"/>
      <c r="G151" s="2198"/>
      <c r="H151" s="1905" t="s">
        <v>304</v>
      </c>
      <c r="I151" s="2350" t="s">
        <v>304</v>
      </c>
      <c r="J151" s="2351"/>
      <c r="K151" s="2351"/>
      <c r="L151" s="2352"/>
      <c r="M151" s="1906" t="s">
        <v>305</v>
      </c>
      <c r="N151" s="1906" t="s">
        <v>305</v>
      </c>
      <c r="O151" s="83"/>
      <c r="P151" s="2162"/>
      <c r="Q151" s="2162"/>
      <c r="R151" s="72"/>
      <c r="U151" s="2"/>
      <c r="W151" s="2"/>
    </row>
    <row r="152" spans="1:23" s="6" customFormat="1" x14ac:dyDescent="0.2">
      <c r="A152" s="2186" t="s">
        <v>33</v>
      </c>
      <c r="B152" s="2187"/>
      <c r="C152" s="2187"/>
      <c r="D152" s="2187"/>
      <c r="E152" s="2187"/>
      <c r="F152" s="2187"/>
      <c r="G152" s="2188"/>
      <c r="H152" s="1907">
        <f>SUM(H153:H156)</f>
        <v>58105653.382761821</v>
      </c>
      <c r="I152" s="2347">
        <f>SUM(I153:L156)</f>
        <v>200626.99999999994</v>
      </c>
      <c r="J152" s="2348"/>
      <c r="K152" s="2348"/>
      <c r="L152" s="2349"/>
      <c r="M152" s="1908">
        <f>SUM(M153:M156)</f>
        <v>57767377.201112136</v>
      </c>
      <c r="N152" s="1908">
        <f>SUM(N153:N156)</f>
        <v>57366572.057460614</v>
      </c>
      <c r="O152" s="84"/>
      <c r="P152" s="2178"/>
      <c r="Q152" s="2178"/>
      <c r="R152" s="72"/>
    </row>
    <row r="153" spans="1:23" s="6" customFormat="1" x14ac:dyDescent="0.2">
      <c r="A153" s="2181" t="s">
        <v>36</v>
      </c>
      <c r="B153" s="2182"/>
      <c r="C153" s="2182"/>
      <c r="D153" s="2182"/>
      <c r="E153" s="2182"/>
      <c r="F153" s="2182"/>
      <c r="G153" s="2183"/>
      <c r="H153" s="1909">
        <f>SUMIF(G12:G143,"sb",H12:H143)</f>
        <v>22906047.265987024</v>
      </c>
      <c r="I153" s="2335">
        <f>SUMIF(G12:G144,"sb",I12:I144)</f>
        <v>79089.799999999974</v>
      </c>
      <c r="J153" s="2336"/>
      <c r="K153" s="2336"/>
      <c r="L153" s="2337"/>
      <c r="M153" s="1910">
        <f>SUMIF(G12:G145,"sb",M12:M145)</f>
        <v>22518448.795180716</v>
      </c>
      <c r="N153" s="1910">
        <f>SUMIF(G12:G145,"sb",N12:N145)</f>
        <v>22190772.706209455</v>
      </c>
      <c r="O153" s="82"/>
      <c r="P153" s="2169"/>
      <c r="Q153" s="2169"/>
      <c r="R153" s="72"/>
    </row>
    <row r="154" spans="1:23" s="6" customFormat="1" x14ac:dyDescent="0.2">
      <c r="A154" s="2181" t="s">
        <v>44</v>
      </c>
      <c r="B154" s="2182"/>
      <c r="C154" s="2182"/>
      <c r="D154" s="2182"/>
      <c r="E154" s="2182"/>
      <c r="F154" s="2182"/>
      <c r="G154" s="2183"/>
      <c r="H154" s="1909">
        <f>SUMIF(G12:G143,"sb(sp)",H12:H143)</f>
        <v>5008283.1325301202</v>
      </c>
      <c r="I154" s="2344">
        <f>SUMIF(G12:G145,"sb(sp)",I12:I145)</f>
        <v>17292.599999999999</v>
      </c>
      <c r="J154" s="2345"/>
      <c r="K154" s="2345"/>
      <c r="L154" s="2346"/>
      <c r="M154" s="1910">
        <f>SUMIF(G12:G145,"sb(sp)",M12:M145)</f>
        <v>5008283.1325301202</v>
      </c>
      <c r="N154" s="1910">
        <f>SUMIF(G12:G145,"sb(sp)",N12:N145)</f>
        <v>5008283.1325301202</v>
      </c>
      <c r="O154" s="82"/>
      <c r="P154" s="2169"/>
      <c r="Q154" s="2169"/>
      <c r="R154" s="72"/>
    </row>
    <row r="155" spans="1:23" s="6" customFormat="1" x14ac:dyDescent="0.2">
      <c r="A155" s="2181" t="s">
        <v>37</v>
      </c>
      <c r="B155" s="2182"/>
      <c r="C155" s="2182"/>
      <c r="D155" s="2182"/>
      <c r="E155" s="2182"/>
      <c r="F155" s="2182"/>
      <c r="G155" s="2183"/>
      <c r="H155" s="1909">
        <f>SUMIF(G12:G143,"sb(vb)",H12:H143)</f>
        <v>30191322.984244674</v>
      </c>
      <c r="I155" s="2335">
        <f>SUMIF(G12:G145,"sb(vb)",I12:I145)</f>
        <v>104244.59999999999</v>
      </c>
      <c r="J155" s="2336"/>
      <c r="K155" s="2336"/>
      <c r="L155" s="2337"/>
      <c r="M155" s="1911">
        <f>SUMIF(G12:G143,G13,M12:M143)</f>
        <v>30197202.270620946</v>
      </c>
      <c r="N155" s="1911">
        <f>SUMIF(G12:G143,G13,N12:N143)</f>
        <v>30167516.21872104</v>
      </c>
      <c r="O155" s="82"/>
      <c r="P155" s="2169"/>
      <c r="Q155" s="2169"/>
      <c r="R155" s="72"/>
    </row>
    <row r="156" spans="1:23" s="6" customFormat="1" ht="13.5" thickBot="1" x14ac:dyDescent="0.25">
      <c r="A156" s="2181" t="s">
        <v>54</v>
      </c>
      <c r="B156" s="2182"/>
      <c r="C156" s="2182"/>
      <c r="D156" s="2182"/>
      <c r="E156" s="2182"/>
      <c r="F156" s="2182"/>
      <c r="G156" s="2183"/>
      <c r="H156" s="1909">
        <f>SUMIF(G12:G143,"sb(p)",H12:H143)</f>
        <v>0</v>
      </c>
      <c r="I156" s="2341">
        <f>SUMIF(G15:G145,"sb(p)",I15:I145)</f>
        <v>0</v>
      </c>
      <c r="J156" s="2342"/>
      <c r="K156" s="2342"/>
      <c r="L156" s="2343"/>
      <c r="M156" s="1912">
        <f>SUMIF(G15:G145,"sb(p)",M15:M145)</f>
        <v>43443.002780352181</v>
      </c>
      <c r="N156" s="1912">
        <f>SUMIF(G15:G145,#REF!,N15:N145)</f>
        <v>0</v>
      </c>
      <c r="O156" s="82"/>
      <c r="P156" s="2169"/>
      <c r="Q156" s="2169"/>
      <c r="R156" s="72"/>
    </row>
    <row r="157" spans="1:23" s="6" customFormat="1" ht="13.5" thickBot="1" x14ac:dyDescent="0.25">
      <c r="A157" s="2217" t="s">
        <v>34</v>
      </c>
      <c r="B157" s="2218"/>
      <c r="C157" s="2218"/>
      <c r="D157" s="2218"/>
      <c r="E157" s="2218"/>
      <c r="F157" s="2218"/>
      <c r="G157" s="2219"/>
      <c r="H157" s="1913">
        <f>SUM(H158:H159)</f>
        <v>1337436.2835959222</v>
      </c>
      <c r="I157" s="2338">
        <f>SUM(I158:L159)</f>
        <v>4617.8999999999996</v>
      </c>
      <c r="J157" s="2339"/>
      <c r="K157" s="2339"/>
      <c r="L157" s="2340"/>
      <c r="M157" s="1914">
        <f>SUM(M158:M159)</f>
        <v>981493.28081556992</v>
      </c>
      <c r="N157" s="1914">
        <f>SUM(N158:N158)</f>
        <v>3118136.0055607045</v>
      </c>
      <c r="O157" s="60"/>
      <c r="P157" s="2179"/>
      <c r="Q157" s="2179"/>
      <c r="R157" s="72"/>
      <c r="T157" s="239"/>
    </row>
    <row r="158" spans="1:23" s="6" customFormat="1" x14ac:dyDescent="0.2">
      <c r="A158" s="2220" t="s">
        <v>38</v>
      </c>
      <c r="B158" s="2221"/>
      <c r="C158" s="2221"/>
      <c r="D158" s="2221"/>
      <c r="E158" s="2221"/>
      <c r="F158" s="2221"/>
      <c r="G158" s="2222"/>
      <c r="H158" s="1915">
        <f>SUMIF(G12:G143,"es",H12:H143)</f>
        <v>319421.9184430028</v>
      </c>
      <c r="I158" s="2341">
        <f>SUMIF(G15:G145,"es",I15:I145)</f>
        <v>1102.9000000000001</v>
      </c>
      <c r="J158" s="2342"/>
      <c r="K158" s="2342"/>
      <c r="L158" s="2342"/>
      <c r="M158" s="1916">
        <f>SUMIF(G15:G143,"es",M15:M143)</f>
        <v>112633.2252085264</v>
      </c>
      <c r="N158" s="1916">
        <f>SUMIF(G15:G145,"es",N15:N145)</f>
        <v>3118136.0055607045</v>
      </c>
      <c r="O158" s="45"/>
      <c r="P158" s="2173"/>
      <c r="Q158" s="2173"/>
      <c r="R158" s="72"/>
    </row>
    <row r="159" spans="1:23" s="6" customFormat="1" ht="13.5" thickBot="1" x14ac:dyDescent="0.25">
      <c r="A159" s="2332" t="s">
        <v>297</v>
      </c>
      <c r="B159" s="2333"/>
      <c r="C159" s="2333"/>
      <c r="D159" s="2333"/>
      <c r="E159" s="2333"/>
      <c r="F159" s="2333"/>
      <c r="G159" s="2334"/>
      <c r="H159" s="1917">
        <f>SUMIF(G12:G143,"KVJUD ",H12:H143)</f>
        <v>1018014.3651529193</v>
      </c>
      <c r="I159" s="2335">
        <f>SUMIF(G12:G143,G112,I12:I143)</f>
        <v>3515</v>
      </c>
      <c r="J159" s="2336"/>
      <c r="K159" s="2336"/>
      <c r="L159" s="2337"/>
      <c r="M159" s="1918">
        <f>SUMIF(G12:G143,"KVJUD ",M12:M143)</f>
        <v>868860.05560704356</v>
      </c>
      <c r="N159" s="1918"/>
      <c r="O159" s="45"/>
      <c r="P159" s="1545"/>
      <c r="Q159" s="1545"/>
      <c r="R159" s="72"/>
    </row>
    <row r="160" spans="1:23" ht="13.5" thickBot="1" x14ac:dyDescent="0.25">
      <c r="A160" s="2214" t="s">
        <v>35</v>
      </c>
      <c r="B160" s="2215"/>
      <c r="C160" s="2215"/>
      <c r="D160" s="2215"/>
      <c r="E160" s="2215"/>
      <c r="F160" s="2215"/>
      <c r="G160" s="2216"/>
      <c r="H160" s="1919">
        <f>H157+H152</f>
        <v>59443089.666357741</v>
      </c>
      <c r="I160" s="2330">
        <f>I157+I152</f>
        <v>205244.89999999994</v>
      </c>
      <c r="J160" s="2331"/>
      <c r="K160" s="2331"/>
      <c r="L160" s="2331"/>
      <c r="M160" s="1920">
        <f>M152+M157</f>
        <v>58748870.481927708</v>
      </c>
      <c r="N160" s="1920">
        <f>N157+N152</f>
        <v>60484708.063021317</v>
      </c>
      <c r="O160" s="84"/>
      <c r="P160" s="2178"/>
      <c r="Q160" s="2178"/>
    </row>
    <row r="162" spans="1:18" x14ac:dyDescent="0.2">
      <c r="D162" s="2"/>
      <c r="E162" s="251"/>
      <c r="F162" s="1510"/>
      <c r="G162" s="125"/>
      <c r="H162" s="1921"/>
      <c r="I162" s="1922"/>
      <c r="J162" s="1923"/>
      <c r="K162" s="1924"/>
      <c r="L162" s="1925"/>
      <c r="M162" s="1925"/>
      <c r="N162" s="1925"/>
    </row>
    <row r="163" spans="1:18" x14ac:dyDescent="0.2">
      <c r="D163" s="2"/>
      <c r="E163" s="251"/>
      <c r="F163" s="1510"/>
      <c r="G163" s="125"/>
      <c r="H163" s="1921"/>
      <c r="I163" s="1925"/>
      <c r="J163" s="1924"/>
      <c r="K163" s="1924"/>
      <c r="L163" s="1925"/>
      <c r="M163" s="1925"/>
      <c r="N163" s="1925"/>
      <c r="P163" s="825"/>
    </row>
    <row r="164" spans="1:18" x14ac:dyDescent="0.2">
      <c r="D164" s="2"/>
      <c r="E164" s="251"/>
      <c r="F164" s="1510"/>
      <c r="G164" s="125"/>
      <c r="H164" s="1921"/>
      <c r="I164" s="1925"/>
      <c r="J164" s="1926"/>
      <c r="K164" s="1924"/>
      <c r="L164" s="1925"/>
      <c r="M164" s="1925"/>
      <c r="N164" s="1925"/>
    </row>
    <row r="165" spans="1:18" x14ac:dyDescent="0.2">
      <c r="D165" s="2"/>
      <c r="E165" s="251"/>
      <c r="F165" s="1510"/>
      <c r="G165" s="125"/>
      <c r="H165" s="1921"/>
      <c r="I165" s="1925"/>
      <c r="J165" s="1925"/>
      <c r="K165" s="1925"/>
      <c r="L165" s="1925"/>
      <c r="M165" s="1925"/>
      <c r="N165" s="1925"/>
    </row>
    <row r="166" spans="1:18" x14ac:dyDescent="0.2">
      <c r="D166" s="2"/>
      <c r="E166" s="251"/>
      <c r="F166" s="1510"/>
      <c r="G166" s="125"/>
      <c r="H166" s="1921"/>
      <c r="I166" s="1925"/>
      <c r="J166" s="1925"/>
      <c r="K166" s="1925"/>
      <c r="L166" s="1925"/>
      <c r="M166" s="1925"/>
      <c r="N166" s="1925"/>
    </row>
    <row r="167" spans="1:18" x14ac:dyDescent="0.2">
      <c r="D167" s="2"/>
      <c r="E167" s="251"/>
      <c r="F167" s="1510"/>
      <c r="G167" s="125"/>
      <c r="H167" s="1921"/>
      <c r="I167" s="1925"/>
      <c r="J167" s="1925"/>
      <c r="K167" s="1925"/>
      <c r="L167" s="1925"/>
      <c r="M167" s="1925"/>
      <c r="N167" s="1925"/>
      <c r="O167" s="2"/>
    </row>
    <row r="168" spans="1:18" x14ac:dyDescent="0.2">
      <c r="D168" s="2"/>
      <c r="E168" s="251"/>
      <c r="F168" s="1510"/>
      <c r="G168" s="125"/>
      <c r="H168" s="1921"/>
      <c r="I168" s="1925"/>
      <c r="J168" s="1925"/>
      <c r="K168" s="1925"/>
      <c r="L168" s="1925"/>
      <c r="M168" s="1925"/>
      <c r="N168" s="1925"/>
    </row>
    <row r="169" spans="1:18" x14ac:dyDescent="0.2">
      <c r="D169" s="2"/>
      <c r="E169" s="251"/>
      <c r="F169" s="1510"/>
      <c r="G169" s="125"/>
      <c r="H169" s="1921"/>
      <c r="I169" s="1925"/>
      <c r="J169" s="1925"/>
      <c r="K169" s="1925"/>
      <c r="L169" s="1925"/>
      <c r="M169" s="1925"/>
      <c r="N169" s="1925"/>
    </row>
    <row r="170" spans="1:18" x14ac:dyDescent="0.2">
      <c r="D170" s="2"/>
      <c r="E170" s="251"/>
      <c r="F170" s="1510"/>
      <c r="G170" s="125"/>
      <c r="H170" s="1921"/>
      <c r="I170" s="1925"/>
      <c r="J170" s="1925"/>
      <c r="K170" s="1925"/>
      <c r="L170" s="1925"/>
      <c r="M170" s="1925"/>
      <c r="N170" s="1925"/>
    </row>
    <row r="171" spans="1:18" x14ac:dyDescent="0.2">
      <c r="D171" s="2"/>
      <c r="E171" s="251"/>
      <c r="F171" s="1510"/>
      <c r="G171" s="125"/>
      <c r="H171" s="1921"/>
      <c r="I171" s="1925"/>
      <c r="J171" s="1925"/>
      <c r="K171" s="1925"/>
      <c r="L171" s="1925"/>
      <c r="M171" s="1925"/>
      <c r="N171" s="1925"/>
    </row>
    <row r="172" spans="1:18" x14ac:dyDescent="0.2">
      <c r="D172" s="2"/>
      <c r="E172" s="251"/>
      <c r="F172" s="1510"/>
      <c r="G172" s="125"/>
      <c r="H172" s="1921"/>
      <c r="I172" s="1925"/>
      <c r="J172" s="1925"/>
      <c r="K172" s="1925"/>
      <c r="L172" s="1925"/>
      <c r="M172" s="1925"/>
      <c r="N172" s="1925"/>
    </row>
    <row r="173" spans="1:18" x14ac:dyDescent="0.2">
      <c r="A173" s="2"/>
      <c r="B173" s="2"/>
      <c r="C173" s="2"/>
      <c r="D173" s="2"/>
      <c r="E173" s="251"/>
      <c r="F173" s="1510"/>
      <c r="G173" s="125"/>
      <c r="H173" s="1921"/>
      <c r="I173" s="1925"/>
      <c r="J173" s="1925"/>
      <c r="K173" s="1925"/>
      <c r="L173" s="1925"/>
      <c r="M173" s="1925"/>
      <c r="N173" s="1925"/>
      <c r="O173" s="2"/>
      <c r="P173" s="2"/>
      <c r="Q173" s="2"/>
      <c r="R173" s="2"/>
    </row>
    <row r="174" spans="1:18" x14ac:dyDescent="0.2">
      <c r="A174" s="2"/>
      <c r="B174" s="2"/>
      <c r="C174" s="2"/>
      <c r="D174" s="2"/>
      <c r="E174" s="251"/>
      <c r="F174" s="1510"/>
      <c r="G174" s="125"/>
      <c r="H174" s="1921"/>
      <c r="I174" s="1925"/>
      <c r="J174" s="1925"/>
      <c r="K174" s="1925"/>
      <c r="L174" s="1925"/>
      <c r="M174" s="1925"/>
      <c r="N174" s="1925"/>
      <c r="O174" s="2"/>
      <c r="P174" s="2"/>
      <c r="Q174" s="2"/>
      <c r="R174" s="2"/>
    </row>
    <row r="175" spans="1:18" x14ac:dyDescent="0.2">
      <c r="A175" s="2"/>
      <c r="B175" s="2"/>
      <c r="C175" s="2"/>
      <c r="D175" s="2"/>
      <c r="E175" s="251"/>
      <c r="F175" s="1510"/>
      <c r="G175" s="125"/>
      <c r="H175" s="1921"/>
      <c r="I175" s="1925"/>
      <c r="J175" s="1925"/>
      <c r="K175" s="1925"/>
      <c r="L175" s="1925"/>
      <c r="M175" s="1925"/>
      <c r="N175" s="1925"/>
      <c r="O175" s="2"/>
      <c r="P175" s="2"/>
      <c r="Q175" s="2"/>
      <c r="R175" s="2"/>
    </row>
    <row r="176" spans="1:18" x14ac:dyDescent="0.2">
      <c r="A176" s="2"/>
      <c r="B176" s="2"/>
      <c r="C176" s="2"/>
      <c r="D176" s="2"/>
      <c r="E176" s="251"/>
      <c r="F176" s="1510"/>
      <c r="G176" s="125"/>
      <c r="H176" s="1921"/>
      <c r="I176" s="1925"/>
      <c r="J176" s="1925"/>
      <c r="K176" s="1925"/>
      <c r="L176" s="1925"/>
      <c r="M176" s="1925"/>
      <c r="N176" s="1925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51"/>
      <c r="F177" s="1510"/>
      <c r="G177" s="125"/>
      <c r="H177" s="1921"/>
      <c r="I177" s="1925"/>
      <c r="J177" s="1925"/>
      <c r="K177" s="1925"/>
      <c r="L177" s="1925"/>
      <c r="M177" s="1925"/>
      <c r="N177" s="1925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51"/>
      <c r="F178" s="1510"/>
      <c r="G178" s="125"/>
      <c r="H178" s="1921"/>
      <c r="I178" s="1925"/>
      <c r="J178" s="1925"/>
      <c r="K178" s="1925"/>
      <c r="L178" s="1925"/>
      <c r="M178" s="1925"/>
      <c r="N178" s="1925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51"/>
      <c r="F179" s="1510"/>
      <c r="G179" s="125"/>
      <c r="H179" s="1921"/>
      <c r="I179" s="1925"/>
      <c r="J179" s="1925"/>
      <c r="K179" s="1925"/>
      <c r="L179" s="1925"/>
      <c r="M179" s="1925"/>
      <c r="N179" s="1925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51"/>
      <c r="F180" s="1510"/>
      <c r="G180" s="125"/>
      <c r="H180" s="1921"/>
      <c r="I180" s="1925"/>
      <c r="J180" s="1925"/>
      <c r="K180" s="1925"/>
      <c r="L180" s="1925"/>
      <c r="M180" s="1925"/>
      <c r="N180" s="1925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51"/>
      <c r="F181" s="1510"/>
      <c r="G181" s="125"/>
      <c r="H181" s="1921"/>
      <c r="I181" s="1925"/>
      <c r="J181" s="1925"/>
      <c r="K181" s="1925"/>
      <c r="L181" s="1925"/>
      <c r="M181" s="1925"/>
      <c r="N181" s="1925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51"/>
      <c r="F182" s="1510"/>
      <c r="G182" s="125"/>
      <c r="H182" s="1921"/>
      <c r="I182" s="1925"/>
      <c r="J182" s="1925"/>
      <c r="K182" s="1925"/>
      <c r="L182" s="1925"/>
      <c r="M182" s="1925"/>
      <c r="N182" s="1925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51"/>
      <c r="F183" s="1510"/>
      <c r="G183" s="125"/>
      <c r="H183" s="1921"/>
      <c r="I183" s="1925"/>
      <c r="J183" s="1925"/>
      <c r="K183" s="1925"/>
      <c r="L183" s="1925"/>
      <c r="M183" s="1925"/>
      <c r="N183" s="1925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51"/>
      <c r="F184" s="1510"/>
      <c r="G184" s="125"/>
      <c r="H184" s="1921"/>
      <c r="I184" s="1925"/>
      <c r="J184" s="1925"/>
      <c r="K184" s="1925"/>
      <c r="L184" s="1925"/>
      <c r="M184" s="1925"/>
      <c r="N184" s="1925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51"/>
      <c r="F185" s="1510"/>
      <c r="G185" s="125"/>
      <c r="H185" s="1921"/>
      <c r="I185" s="1925"/>
      <c r="J185" s="1925"/>
      <c r="K185" s="1925"/>
      <c r="L185" s="1925"/>
      <c r="M185" s="1925"/>
      <c r="N185" s="1925"/>
      <c r="O185" s="2"/>
      <c r="P185" s="2"/>
      <c r="Q185" s="2"/>
      <c r="R185" s="2"/>
    </row>
  </sheetData>
  <mergeCells count="249">
    <mergeCell ref="F5:F7"/>
    <mergeCell ref="G5:G7"/>
    <mergeCell ref="A8:R8"/>
    <mergeCell ref="Q20:Q21"/>
    <mergeCell ref="R20:R21"/>
    <mergeCell ref="A20:A22"/>
    <mergeCell ref="C20:C22"/>
    <mergeCell ref="F20:F22"/>
    <mergeCell ref="O20:O21"/>
    <mergeCell ref="P20:P21"/>
    <mergeCell ref="D15:D16"/>
    <mergeCell ref="O17:O18"/>
    <mergeCell ref="A9:R9"/>
    <mergeCell ref="B10:R10"/>
    <mergeCell ref="C11:R11"/>
    <mergeCell ref="C12:C13"/>
    <mergeCell ref="D12:D13"/>
    <mergeCell ref="E12:E13"/>
    <mergeCell ref="D20:D22"/>
    <mergeCell ref="E20:E22"/>
    <mergeCell ref="P29:P30"/>
    <mergeCell ref="Q29:Q30"/>
    <mergeCell ref="F24:F2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O6:O7"/>
    <mergeCell ref="P6:R6"/>
    <mergeCell ref="I5:L7"/>
    <mergeCell ref="M5:M7"/>
    <mergeCell ref="N5:N7"/>
    <mergeCell ref="O5:R5"/>
    <mergeCell ref="H5:H7"/>
    <mergeCell ref="R29:R30"/>
    <mergeCell ref="A29:A30"/>
    <mergeCell ref="B29:B30"/>
    <mergeCell ref="C29:C30"/>
    <mergeCell ref="D29:D30"/>
    <mergeCell ref="F27:F28"/>
    <mergeCell ref="A27:A28"/>
    <mergeCell ref="B27:B28"/>
    <mergeCell ref="C27:C28"/>
    <mergeCell ref="D27:D28"/>
    <mergeCell ref="E27:E28"/>
    <mergeCell ref="A24:A26"/>
    <mergeCell ref="C24:C26"/>
    <mergeCell ref="D24:D26"/>
    <mergeCell ref="E24:E26"/>
    <mergeCell ref="O33:O34"/>
    <mergeCell ref="D35:D36"/>
    <mergeCell ref="D31:D32"/>
    <mergeCell ref="E31:E32"/>
    <mergeCell ref="F31:F32"/>
    <mergeCell ref="D33:D34"/>
    <mergeCell ref="E33:E34"/>
    <mergeCell ref="F33:F34"/>
    <mergeCell ref="F29:F30"/>
    <mergeCell ref="O29:O30"/>
    <mergeCell ref="E29:E30"/>
    <mergeCell ref="O39:O40"/>
    <mergeCell ref="P39:P40"/>
    <mergeCell ref="Q39:Q40"/>
    <mergeCell ref="R39:R40"/>
    <mergeCell ref="D41:D42"/>
    <mergeCell ref="E41:E42"/>
    <mergeCell ref="F41:F42"/>
    <mergeCell ref="D39:D40"/>
    <mergeCell ref="E39:E40"/>
    <mergeCell ref="F39:F40"/>
    <mergeCell ref="O43:O44"/>
    <mergeCell ref="D45:D46"/>
    <mergeCell ref="E45:E46"/>
    <mergeCell ref="F45:F46"/>
    <mergeCell ref="O41:O42"/>
    <mergeCell ref="P41:P42"/>
    <mergeCell ref="Q41:Q42"/>
    <mergeCell ref="R41:R42"/>
    <mergeCell ref="D43:D44"/>
    <mergeCell ref="E43:E44"/>
    <mergeCell ref="F43:F44"/>
    <mergeCell ref="C50:R50"/>
    <mergeCell ref="B51:B52"/>
    <mergeCell ref="C51:C52"/>
    <mergeCell ref="D51:D52"/>
    <mergeCell ref="E51:E52"/>
    <mergeCell ref="F51:F52"/>
    <mergeCell ref="O47:O48"/>
    <mergeCell ref="P47:P48"/>
    <mergeCell ref="Q47:Q48"/>
    <mergeCell ref="R47:R48"/>
    <mergeCell ref="C49:G49"/>
    <mergeCell ref="O49:R49"/>
    <mergeCell ref="D47:D48"/>
    <mergeCell ref="E47:E48"/>
    <mergeCell ref="F47:F48"/>
    <mergeCell ref="F53:F54"/>
    <mergeCell ref="O53:O54"/>
    <mergeCell ref="A55:A56"/>
    <mergeCell ref="C55:C56"/>
    <mergeCell ref="D55:D56"/>
    <mergeCell ref="E55:E56"/>
    <mergeCell ref="A53:A54"/>
    <mergeCell ref="B53:B54"/>
    <mergeCell ref="C53:C54"/>
    <mergeCell ref="D53:D54"/>
    <mergeCell ref="E53:E54"/>
    <mergeCell ref="A60:A61"/>
    <mergeCell ref="B60:B61"/>
    <mergeCell ref="C60:C61"/>
    <mergeCell ref="D60:D61"/>
    <mergeCell ref="E60:E61"/>
    <mergeCell ref="F60:F61"/>
    <mergeCell ref="F55:F56"/>
    <mergeCell ref="A57:A59"/>
    <mergeCell ref="B57:B59"/>
    <mergeCell ref="C57:C59"/>
    <mergeCell ref="D57:D59"/>
    <mergeCell ref="E57:E59"/>
    <mergeCell ref="F57:F59"/>
    <mergeCell ref="F62:F63"/>
    <mergeCell ref="A64:A65"/>
    <mergeCell ref="C64:C65"/>
    <mergeCell ref="D64:D65"/>
    <mergeCell ref="E64:E65"/>
    <mergeCell ref="F64:F65"/>
    <mergeCell ref="A62:A63"/>
    <mergeCell ref="C62:C63"/>
    <mergeCell ref="D62:D63"/>
    <mergeCell ref="E62:E63"/>
    <mergeCell ref="D76:D78"/>
    <mergeCell ref="C69:R69"/>
    <mergeCell ref="D71:D74"/>
    <mergeCell ref="O71:O73"/>
    <mergeCell ref="O64:O65"/>
    <mergeCell ref="C66:G66"/>
    <mergeCell ref="P66:R66"/>
    <mergeCell ref="B67:G67"/>
    <mergeCell ref="O67:R67"/>
    <mergeCell ref="B68:R68"/>
    <mergeCell ref="D88:D90"/>
    <mergeCell ref="E89:E90"/>
    <mergeCell ref="C91:C93"/>
    <mergeCell ref="D91:D93"/>
    <mergeCell ref="F91:F93"/>
    <mergeCell ref="D79:D81"/>
    <mergeCell ref="D82:D84"/>
    <mergeCell ref="D85:D87"/>
    <mergeCell ref="E86:E87"/>
    <mergeCell ref="D105:D107"/>
    <mergeCell ref="E105:E106"/>
    <mergeCell ref="F105:F107"/>
    <mergeCell ref="O105:O107"/>
    <mergeCell ref="R102:R104"/>
    <mergeCell ref="D100:D101"/>
    <mergeCell ref="D95:D98"/>
    <mergeCell ref="O95:O99"/>
    <mergeCell ref="E134:E135"/>
    <mergeCell ref="F134:F135"/>
    <mergeCell ref="D115:D116"/>
    <mergeCell ref="E115:E116"/>
    <mergeCell ref="F112:F113"/>
    <mergeCell ref="O113:O114"/>
    <mergeCell ref="D112:D114"/>
    <mergeCell ref="E112:E114"/>
    <mergeCell ref="D134:D135"/>
    <mergeCell ref="D108:D110"/>
    <mergeCell ref="E108:E110"/>
    <mergeCell ref="F108:F110"/>
    <mergeCell ref="O108:O110"/>
    <mergeCell ref="A119:A120"/>
    <mergeCell ref="B119:B120"/>
    <mergeCell ref="D119:D120"/>
    <mergeCell ref="E119:E120"/>
    <mergeCell ref="F119:F120"/>
    <mergeCell ref="C117:G117"/>
    <mergeCell ref="O117:R117"/>
    <mergeCell ref="D136:D137"/>
    <mergeCell ref="E136:E137"/>
    <mergeCell ref="F136:F137"/>
    <mergeCell ref="O136:O137"/>
    <mergeCell ref="C124:G124"/>
    <mergeCell ref="O124:R124"/>
    <mergeCell ref="C125:R125"/>
    <mergeCell ref="O119:O120"/>
    <mergeCell ref="D121:D123"/>
    <mergeCell ref="E121:E123"/>
    <mergeCell ref="F121:F123"/>
    <mergeCell ref="O138:O139"/>
    <mergeCell ref="A143:A145"/>
    <mergeCell ref="B143:B145"/>
    <mergeCell ref="D143:D145"/>
    <mergeCell ref="E143:E145"/>
    <mergeCell ref="F143:F145"/>
    <mergeCell ref="D141:D142"/>
    <mergeCell ref="A138:A139"/>
    <mergeCell ref="B138:B139"/>
    <mergeCell ref="D138:D139"/>
    <mergeCell ref="E138:E139"/>
    <mergeCell ref="F138:F139"/>
    <mergeCell ref="A150:N150"/>
    <mergeCell ref="A151:G151"/>
    <mergeCell ref="I151:L151"/>
    <mergeCell ref="P151:Q151"/>
    <mergeCell ref="C146:G146"/>
    <mergeCell ref="O146:R146"/>
    <mergeCell ref="B147:G147"/>
    <mergeCell ref="O147:R147"/>
    <mergeCell ref="B148:G148"/>
    <mergeCell ref="O148:R148"/>
    <mergeCell ref="I155:L155"/>
    <mergeCell ref="P155:Q155"/>
    <mergeCell ref="A154:G154"/>
    <mergeCell ref="I154:L154"/>
    <mergeCell ref="A152:G152"/>
    <mergeCell ref="I152:L152"/>
    <mergeCell ref="P152:Q152"/>
    <mergeCell ref="A153:G153"/>
    <mergeCell ref="I153:L153"/>
    <mergeCell ref="P153:Q153"/>
    <mergeCell ref="P160:Q160"/>
    <mergeCell ref="D37:D38"/>
    <mergeCell ref="E37:E38"/>
    <mergeCell ref="F37:F38"/>
    <mergeCell ref="D102:D104"/>
    <mergeCell ref="O102:O104"/>
    <mergeCell ref="P102:P104"/>
    <mergeCell ref="Q102:Q104"/>
    <mergeCell ref="E104:G104"/>
    <mergeCell ref="A160:G160"/>
    <mergeCell ref="I160:L160"/>
    <mergeCell ref="A159:G159"/>
    <mergeCell ref="I159:L159"/>
    <mergeCell ref="A157:G157"/>
    <mergeCell ref="I157:L157"/>
    <mergeCell ref="P157:Q157"/>
    <mergeCell ref="A158:G158"/>
    <mergeCell ref="I158:L158"/>
    <mergeCell ref="P158:Q158"/>
    <mergeCell ref="A156:G156"/>
    <mergeCell ref="I156:L156"/>
    <mergeCell ref="P156:Q156"/>
    <mergeCell ref="P154:Q154"/>
    <mergeCell ref="A155:G155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2" manualBreakCount="2">
    <brk id="63" max="16" man="1"/>
    <brk id="120" max="16" man="1"/>
  </rowBreaks>
  <colBreaks count="1" manualBreakCount="1">
    <brk id="18" max="1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48"/>
  <sheetViews>
    <sheetView zoomScaleNormal="100" zoomScaleSheetLayoutView="80" workbookViewId="0">
      <selection sqref="A1:X1"/>
    </sheetView>
  </sheetViews>
  <sheetFormatPr defaultRowHeight="12.75" x14ac:dyDescent="0.2"/>
  <cols>
    <col min="1" max="4" width="2.42578125" style="6" customWidth="1"/>
    <col min="5" max="5" width="34.7109375" style="6" customWidth="1"/>
    <col min="6" max="6" width="3.5703125" style="250" customWidth="1"/>
    <col min="7" max="7" width="2.85546875" style="250" customWidth="1"/>
    <col min="8" max="8" width="3" style="72" customWidth="1"/>
    <col min="9" max="9" width="12.140625" style="1433" customWidth="1"/>
    <col min="10" max="10" width="8.140625" style="1433" customWidth="1"/>
    <col min="11" max="11" width="8.85546875" style="6" customWidth="1"/>
    <col min="12" max="13" width="8.42578125" style="6" customWidth="1"/>
    <col min="14" max="14" width="7.28515625" style="6" customWidth="1"/>
    <col min="15" max="16" width="8.42578125" style="6" customWidth="1"/>
    <col min="17" max="17" width="8.5703125" style="6" customWidth="1"/>
    <col min="18" max="18" width="7.42578125" style="6" customWidth="1"/>
    <col min="19" max="19" width="8.42578125" style="6" customWidth="1"/>
    <col min="20" max="20" width="8.85546875" style="6" customWidth="1"/>
    <col min="21" max="21" width="22.85546875" style="6" customWidth="1"/>
    <col min="22" max="22" width="6.140625" style="18" customWidth="1"/>
    <col min="23" max="23" width="6.85546875" style="72" customWidth="1"/>
    <col min="24" max="24" width="5.85546875" style="1458" customWidth="1"/>
    <col min="25" max="25" width="9.140625" style="2" hidden="1" customWidth="1"/>
    <col min="26" max="16384" width="9.140625" style="2"/>
  </cols>
  <sheetData>
    <row r="1" spans="1:31" x14ac:dyDescent="0.2">
      <c r="A1" s="2079" t="s">
        <v>235</v>
      </c>
      <c r="B1" s="2079"/>
      <c r="C1" s="2079"/>
      <c r="D1" s="2079"/>
      <c r="E1" s="2079"/>
      <c r="F1" s="2079"/>
      <c r="G1" s="2079"/>
      <c r="H1" s="2079"/>
      <c r="I1" s="2079"/>
      <c r="J1" s="2079"/>
      <c r="K1" s="2079"/>
      <c r="L1" s="2079"/>
      <c r="M1" s="2079"/>
      <c r="N1" s="2079"/>
      <c r="O1" s="2079"/>
      <c r="P1" s="2079"/>
      <c r="Q1" s="2079"/>
      <c r="R1" s="2079"/>
      <c r="S1" s="2079"/>
      <c r="T1" s="2079"/>
      <c r="U1" s="2079"/>
      <c r="V1" s="2079"/>
      <c r="W1" s="2079"/>
      <c r="X1" s="2079"/>
    </row>
    <row r="2" spans="1:31" x14ac:dyDescent="0.2">
      <c r="A2" s="2086" t="s">
        <v>39</v>
      </c>
      <c r="B2" s="2086"/>
      <c r="C2" s="2086"/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2086"/>
      <c r="O2" s="2086"/>
      <c r="P2" s="2086"/>
      <c r="Q2" s="2086"/>
      <c r="R2" s="2086"/>
      <c r="S2" s="2086"/>
      <c r="T2" s="2086"/>
      <c r="U2" s="2086"/>
      <c r="V2" s="2086"/>
      <c r="W2" s="2086"/>
      <c r="X2" s="2086"/>
    </row>
    <row r="3" spans="1:31" x14ac:dyDescent="0.2">
      <c r="A3" s="2087" t="s">
        <v>230</v>
      </c>
      <c r="B3" s="2087"/>
      <c r="C3" s="2087"/>
      <c r="D3" s="2087"/>
      <c r="E3" s="2087"/>
      <c r="F3" s="2087"/>
      <c r="G3" s="2087"/>
      <c r="H3" s="2087"/>
      <c r="I3" s="2087"/>
      <c r="J3" s="2087"/>
      <c r="K3" s="2087"/>
      <c r="L3" s="2087"/>
      <c r="M3" s="2087"/>
      <c r="N3" s="2087"/>
      <c r="O3" s="2087"/>
      <c r="P3" s="2087"/>
      <c r="Q3" s="2087"/>
      <c r="R3" s="2087"/>
      <c r="S3" s="2087"/>
      <c r="T3" s="2087"/>
      <c r="U3" s="2087"/>
      <c r="V3" s="2087"/>
      <c r="W3" s="2087"/>
      <c r="X3" s="2087"/>
    </row>
    <row r="4" spans="1:31" ht="13.5" thickBot="1" x14ac:dyDescent="0.25">
      <c r="A4" s="1434"/>
      <c r="B4" s="1434"/>
      <c r="C4" s="2100" t="s">
        <v>8</v>
      </c>
      <c r="D4" s="2100"/>
      <c r="E4" s="2100"/>
      <c r="F4" s="2100"/>
      <c r="G4" s="2100"/>
      <c r="H4" s="2100"/>
      <c r="I4" s="2100"/>
      <c r="J4" s="2100"/>
      <c r="K4" s="2100"/>
      <c r="L4" s="2100"/>
      <c r="M4" s="2100"/>
      <c r="N4" s="2100"/>
      <c r="O4" s="2100"/>
      <c r="P4" s="2100"/>
      <c r="Q4" s="2100"/>
      <c r="R4" s="2100"/>
      <c r="S4" s="2100"/>
      <c r="T4" s="2100"/>
      <c r="U4" s="2100"/>
      <c r="V4" s="2100"/>
      <c r="W4" s="2100"/>
      <c r="X4" s="2100"/>
    </row>
    <row r="5" spans="1:31" ht="27" customHeight="1" x14ac:dyDescent="0.2">
      <c r="A5" s="2101" t="s">
        <v>12</v>
      </c>
      <c r="B5" s="2120" t="s">
        <v>13</v>
      </c>
      <c r="C5" s="2120" t="s">
        <v>14</v>
      </c>
      <c r="D5" s="2080" t="s">
        <v>65</v>
      </c>
      <c r="E5" s="2107" t="s">
        <v>31</v>
      </c>
      <c r="F5" s="2080" t="s">
        <v>15</v>
      </c>
      <c r="G5" s="2083" t="s">
        <v>94</v>
      </c>
      <c r="H5" s="2088" t="s">
        <v>16</v>
      </c>
      <c r="I5" s="2110" t="s">
        <v>158</v>
      </c>
      <c r="J5" s="2110" t="s">
        <v>17</v>
      </c>
      <c r="K5" s="2104" t="s">
        <v>236</v>
      </c>
      <c r="L5" s="2105"/>
      <c r="M5" s="2105"/>
      <c r="N5" s="2106"/>
      <c r="O5" s="2104" t="s">
        <v>303</v>
      </c>
      <c r="P5" s="2105"/>
      <c r="Q5" s="2105"/>
      <c r="R5" s="2106"/>
      <c r="S5" s="2097" t="s">
        <v>109</v>
      </c>
      <c r="T5" s="2097" t="s">
        <v>237</v>
      </c>
      <c r="U5" s="2091" t="s">
        <v>74</v>
      </c>
      <c r="V5" s="2092"/>
      <c r="W5" s="2092"/>
      <c r="X5" s="2093"/>
    </row>
    <row r="6" spans="1:31" ht="12.75" customHeight="1" x14ac:dyDescent="0.2">
      <c r="A6" s="2102"/>
      <c r="B6" s="2121"/>
      <c r="C6" s="2121"/>
      <c r="D6" s="2081"/>
      <c r="E6" s="2108"/>
      <c r="F6" s="2081"/>
      <c r="G6" s="2084"/>
      <c r="H6" s="2089"/>
      <c r="I6" s="2111"/>
      <c r="J6" s="2111"/>
      <c r="K6" s="2115" t="s">
        <v>18</v>
      </c>
      <c r="L6" s="2117" t="s">
        <v>19</v>
      </c>
      <c r="M6" s="2117"/>
      <c r="N6" s="2118" t="s">
        <v>42</v>
      </c>
      <c r="O6" s="2115" t="s">
        <v>18</v>
      </c>
      <c r="P6" s="2117" t="s">
        <v>19</v>
      </c>
      <c r="Q6" s="2117"/>
      <c r="R6" s="2118" t="s">
        <v>42</v>
      </c>
      <c r="S6" s="2098"/>
      <c r="T6" s="2098"/>
      <c r="U6" s="2113" t="s">
        <v>31</v>
      </c>
      <c r="V6" s="2094" t="s">
        <v>308</v>
      </c>
      <c r="W6" s="2095"/>
      <c r="X6" s="2096"/>
    </row>
    <row r="7" spans="1:31" ht="116.25" customHeight="1" thickBot="1" x14ac:dyDescent="0.25">
      <c r="A7" s="2103"/>
      <c r="B7" s="2122"/>
      <c r="C7" s="2122"/>
      <c r="D7" s="2082"/>
      <c r="E7" s="2109"/>
      <c r="F7" s="2082"/>
      <c r="G7" s="2085"/>
      <c r="H7" s="2090"/>
      <c r="I7" s="2112"/>
      <c r="J7" s="2112"/>
      <c r="K7" s="2116"/>
      <c r="L7" s="1435" t="s">
        <v>18</v>
      </c>
      <c r="M7" s="8" t="s">
        <v>32</v>
      </c>
      <c r="N7" s="2119"/>
      <c r="O7" s="2116"/>
      <c r="P7" s="1435" t="s">
        <v>18</v>
      </c>
      <c r="Q7" s="8" t="s">
        <v>32</v>
      </c>
      <c r="R7" s="2119"/>
      <c r="S7" s="2099"/>
      <c r="T7" s="2099"/>
      <c r="U7" s="2114"/>
      <c r="V7" s="295" t="s">
        <v>77</v>
      </c>
      <c r="W7" s="295" t="s">
        <v>110</v>
      </c>
      <c r="X7" s="296" t="s">
        <v>238</v>
      </c>
    </row>
    <row r="8" spans="1:31" ht="13.5" thickBot="1" x14ac:dyDescent="0.25">
      <c r="A8" s="2044" t="s">
        <v>41</v>
      </c>
      <c r="B8" s="2045"/>
      <c r="C8" s="2045"/>
      <c r="D8" s="2045"/>
      <c r="E8" s="2045"/>
      <c r="F8" s="2045"/>
      <c r="G8" s="2045"/>
      <c r="H8" s="2045"/>
      <c r="I8" s="2045"/>
      <c r="J8" s="2045"/>
      <c r="K8" s="2045"/>
      <c r="L8" s="2045"/>
      <c r="M8" s="2045"/>
      <c r="N8" s="2045"/>
      <c r="O8" s="2045"/>
      <c r="P8" s="2045"/>
      <c r="Q8" s="2045"/>
      <c r="R8" s="2045"/>
      <c r="S8" s="2045"/>
      <c r="T8" s="2045"/>
      <c r="U8" s="2045"/>
      <c r="V8" s="2045"/>
      <c r="W8" s="2045"/>
      <c r="X8" s="2046"/>
    </row>
    <row r="9" spans="1:31" ht="13.5" thickBot="1" x14ac:dyDescent="0.25">
      <c r="A9" s="2047" t="s">
        <v>40</v>
      </c>
      <c r="B9" s="2048"/>
      <c r="C9" s="2048"/>
      <c r="D9" s="2048"/>
      <c r="E9" s="2048"/>
      <c r="F9" s="2048"/>
      <c r="G9" s="2048"/>
      <c r="H9" s="2048"/>
      <c r="I9" s="2048"/>
      <c r="J9" s="2048"/>
      <c r="K9" s="2048"/>
      <c r="L9" s="2048"/>
      <c r="M9" s="2048"/>
      <c r="N9" s="2048"/>
      <c r="O9" s="2048"/>
      <c r="P9" s="2048"/>
      <c r="Q9" s="2048"/>
      <c r="R9" s="2048"/>
      <c r="S9" s="2048"/>
      <c r="T9" s="2048"/>
      <c r="U9" s="2048"/>
      <c r="V9" s="2048"/>
      <c r="W9" s="2048"/>
      <c r="X9" s="2049"/>
    </row>
    <row r="10" spans="1:31" ht="13.5" thickBot="1" x14ac:dyDescent="0.25">
      <c r="A10" s="136" t="s">
        <v>20</v>
      </c>
      <c r="B10" s="2056" t="s">
        <v>51</v>
      </c>
      <c r="C10" s="2057"/>
      <c r="D10" s="2057"/>
      <c r="E10" s="2057"/>
      <c r="F10" s="2057"/>
      <c r="G10" s="2057"/>
      <c r="H10" s="2057"/>
      <c r="I10" s="2057"/>
      <c r="J10" s="2057"/>
      <c r="K10" s="2057"/>
      <c r="L10" s="2057"/>
      <c r="M10" s="2057"/>
      <c r="N10" s="2057"/>
      <c r="O10" s="2057"/>
      <c r="P10" s="2057"/>
      <c r="Q10" s="2057"/>
      <c r="R10" s="2057"/>
      <c r="S10" s="2057"/>
      <c r="T10" s="2057"/>
      <c r="U10" s="2057"/>
      <c r="V10" s="2057"/>
      <c r="W10" s="2057"/>
      <c r="X10" s="2058"/>
    </row>
    <row r="11" spans="1:31" ht="13.5" thickBot="1" x14ac:dyDescent="0.25">
      <c r="A11" s="258" t="s">
        <v>20</v>
      </c>
      <c r="B11" s="109" t="s">
        <v>20</v>
      </c>
      <c r="C11" s="2060" t="s">
        <v>194</v>
      </c>
      <c r="D11" s="2061"/>
      <c r="E11" s="2061"/>
      <c r="F11" s="2061"/>
      <c r="G11" s="2061"/>
      <c r="H11" s="2061"/>
      <c r="I11" s="2061"/>
      <c r="J11" s="2062"/>
      <c r="K11" s="2062"/>
      <c r="L11" s="2062"/>
      <c r="M11" s="2062"/>
      <c r="N11" s="2062"/>
      <c r="O11" s="2062"/>
      <c r="P11" s="2062"/>
      <c r="Q11" s="2062"/>
      <c r="R11" s="2062"/>
      <c r="S11" s="2062"/>
      <c r="T11" s="2062"/>
      <c r="U11" s="2062"/>
      <c r="V11" s="2062"/>
      <c r="W11" s="2062"/>
      <c r="X11" s="2063"/>
    </row>
    <row r="12" spans="1:31" x14ac:dyDescent="0.2">
      <c r="A12" s="25" t="s">
        <v>20</v>
      </c>
      <c r="B12" s="16" t="s">
        <v>20</v>
      </c>
      <c r="C12" s="2059" t="s">
        <v>20</v>
      </c>
      <c r="D12" s="2573"/>
      <c r="E12" s="2574" t="s">
        <v>107</v>
      </c>
      <c r="F12" s="2054"/>
      <c r="G12" s="2050"/>
      <c r="H12" s="2065"/>
      <c r="I12" s="715"/>
      <c r="J12" s="715"/>
      <c r="K12" s="792"/>
      <c r="L12" s="792"/>
      <c r="M12" s="792"/>
      <c r="N12" s="788"/>
      <c r="O12" s="50"/>
      <c r="P12" s="51"/>
      <c r="Q12" s="51"/>
      <c r="R12" s="52"/>
      <c r="S12" s="75"/>
      <c r="T12" s="7"/>
      <c r="U12" s="1159"/>
      <c r="V12" s="88"/>
      <c r="W12" s="89"/>
      <c r="X12" s="743"/>
    </row>
    <row r="13" spans="1:31" x14ac:dyDescent="0.2">
      <c r="A13" s="26"/>
      <c r="B13" s="27"/>
      <c r="C13" s="2003"/>
      <c r="D13" s="2476"/>
      <c r="E13" s="2469"/>
      <c r="F13" s="2055"/>
      <c r="G13" s="2051"/>
      <c r="H13" s="2066"/>
      <c r="I13" s="720"/>
      <c r="J13" s="720"/>
      <c r="K13" s="285"/>
      <c r="L13" s="286"/>
      <c r="M13" s="286"/>
      <c r="N13" s="793"/>
      <c r="O13" s="54"/>
      <c r="P13" s="204"/>
      <c r="Q13" s="204"/>
      <c r="R13" s="55"/>
      <c r="S13" s="718"/>
      <c r="T13" s="881"/>
      <c r="U13" s="1462"/>
      <c r="V13" s="428"/>
      <c r="W13" s="1458"/>
      <c r="X13" s="688"/>
    </row>
    <row r="14" spans="1:31" ht="26.25" customHeight="1" x14ac:dyDescent="0.2">
      <c r="A14" s="26"/>
      <c r="B14" s="1436"/>
      <c r="C14" s="172"/>
      <c r="D14" s="1154" t="s">
        <v>20</v>
      </c>
      <c r="E14" s="2192" t="s">
        <v>203</v>
      </c>
      <c r="F14" s="1138"/>
      <c r="G14" s="1153" t="s">
        <v>21</v>
      </c>
      <c r="H14" s="1186" t="s">
        <v>43</v>
      </c>
      <c r="I14" s="1152" t="s">
        <v>164</v>
      </c>
      <c r="J14" s="149" t="s">
        <v>22</v>
      </c>
      <c r="K14" s="833">
        <v>29557.8</v>
      </c>
      <c r="L14" s="834">
        <v>29557.8</v>
      </c>
      <c r="M14" s="834">
        <v>20487.400000000001</v>
      </c>
      <c r="N14" s="763"/>
      <c r="O14" s="789">
        <f>+P14+R14</f>
        <v>32019</v>
      </c>
      <c r="P14" s="281">
        <f>31319.2+699.8</f>
        <v>32019</v>
      </c>
      <c r="Q14" s="281">
        <f>21708.5+534.3</f>
        <v>22242.799999999999</v>
      </c>
      <c r="R14" s="1035"/>
      <c r="S14" s="1036">
        <v>32019</v>
      </c>
      <c r="T14" s="1036">
        <v>32019</v>
      </c>
      <c r="U14" s="1505" t="s">
        <v>309</v>
      </c>
      <c r="V14" s="836" t="s">
        <v>250</v>
      </c>
      <c r="W14" s="836" t="s">
        <v>251</v>
      </c>
      <c r="X14" s="837" t="s">
        <v>252</v>
      </c>
      <c r="Z14" s="175"/>
      <c r="AA14" s="175"/>
      <c r="AB14" s="175"/>
      <c r="AC14" s="175"/>
      <c r="AD14" s="175"/>
      <c r="AE14" s="175"/>
    </row>
    <row r="15" spans="1:31" ht="15" customHeight="1" x14ac:dyDescent="0.2">
      <c r="A15" s="26"/>
      <c r="B15" s="27"/>
      <c r="C15" s="172"/>
      <c r="D15" s="1155"/>
      <c r="E15" s="2192"/>
      <c r="F15" s="1138"/>
      <c r="G15" s="1153"/>
      <c r="H15" s="1186"/>
      <c r="I15" s="1152"/>
      <c r="J15" s="130" t="s">
        <v>240</v>
      </c>
      <c r="K15" s="278">
        <f>L15+N15</f>
        <v>31.8</v>
      </c>
      <c r="L15" s="293">
        <v>31.8</v>
      </c>
      <c r="M15" s="293"/>
      <c r="N15" s="782"/>
      <c r="O15" s="278"/>
      <c r="P15" s="293"/>
      <c r="Q15" s="838"/>
      <c r="R15" s="844"/>
      <c r="S15" s="872"/>
      <c r="T15" s="876"/>
      <c r="U15" s="274" t="s">
        <v>259</v>
      </c>
      <c r="V15" s="1156" t="s">
        <v>253</v>
      </c>
      <c r="W15" s="1157" t="s">
        <v>254</v>
      </c>
      <c r="X15" s="1158" t="s">
        <v>255</v>
      </c>
    </row>
    <row r="16" spans="1:31" ht="14.25" customHeight="1" x14ac:dyDescent="0.2">
      <c r="A16" s="26"/>
      <c r="B16" s="27"/>
      <c r="C16" s="172"/>
      <c r="D16" s="1155"/>
      <c r="E16" s="2192"/>
      <c r="F16" s="1138"/>
      <c r="G16" s="1153"/>
      <c r="H16" s="1186"/>
      <c r="I16" s="1152"/>
      <c r="J16" s="130" t="s">
        <v>25</v>
      </c>
      <c r="K16" s="278">
        <f>L16+N16</f>
        <v>18416.399999999998</v>
      </c>
      <c r="L16" s="293">
        <v>18364.8</v>
      </c>
      <c r="M16" s="293">
        <f>122+13296.3</f>
        <v>13418.3</v>
      </c>
      <c r="N16" s="782">
        <v>51.6</v>
      </c>
      <c r="O16" s="833">
        <f>P16+R16</f>
        <v>19382.7</v>
      </c>
      <c r="P16" s="832">
        <v>19299.7</v>
      </c>
      <c r="Q16" s="832">
        <v>14114.6</v>
      </c>
      <c r="R16" s="843">
        <v>83</v>
      </c>
      <c r="S16" s="3">
        <v>19382.7</v>
      </c>
      <c r="T16" s="3">
        <v>19382.7</v>
      </c>
      <c r="U16" s="2466" t="s">
        <v>310</v>
      </c>
      <c r="V16" s="836" t="s">
        <v>256</v>
      </c>
      <c r="W16" s="836" t="s">
        <v>257</v>
      </c>
      <c r="X16" s="837" t="s">
        <v>258</v>
      </c>
      <c r="Z16" s="175"/>
      <c r="AA16" s="175"/>
      <c r="AB16" s="175"/>
      <c r="AC16" s="175"/>
      <c r="AD16" s="175"/>
      <c r="AE16" s="175"/>
    </row>
    <row r="17" spans="1:31" ht="15" customHeight="1" x14ac:dyDescent="0.2">
      <c r="A17" s="26"/>
      <c r="B17" s="27"/>
      <c r="C17" s="172"/>
      <c r="D17" s="1155"/>
      <c r="E17" s="1150"/>
      <c r="F17" s="1138"/>
      <c r="G17" s="1153"/>
      <c r="H17" s="1186"/>
      <c r="I17" s="1152"/>
      <c r="J17" s="427" t="s">
        <v>96</v>
      </c>
      <c r="K17" s="278">
        <v>9570.5</v>
      </c>
      <c r="L17" s="293">
        <v>9570.5</v>
      </c>
      <c r="M17" s="293">
        <v>1281.9000000000001</v>
      </c>
      <c r="N17" s="764"/>
      <c r="O17" s="813">
        <f>P17+R17</f>
        <v>10690.4</v>
      </c>
      <c r="P17" s="265">
        <v>10678.4</v>
      </c>
      <c r="Q17" s="265">
        <v>1437</v>
      </c>
      <c r="R17" s="267">
        <v>12</v>
      </c>
      <c r="S17" s="1031">
        <v>10690.4</v>
      </c>
      <c r="T17" s="1031">
        <v>10690.4</v>
      </c>
      <c r="U17" s="2467"/>
      <c r="V17" s="1160"/>
      <c r="W17" s="1160"/>
      <c r="X17" s="1161"/>
      <c r="Z17" s="175"/>
      <c r="AA17" s="175"/>
      <c r="AB17" s="175"/>
      <c r="AC17" s="175"/>
      <c r="AD17" s="175"/>
      <c r="AE17" s="175"/>
    </row>
    <row r="18" spans="1:31" ht="14.25" customHeight="1" thickBot="1" x14ac:dyDescent="0.25">
      <c r="A18" s="26"/>
      <c r="B18" s="27"/>
      <c r="C18" s="1439"/>
      <c r="D18" s="1480"/>
      <c r="E18" s="1151"/>
      <c r="F18" s="1454"/>
      <c r="G18" s="1443"/>
      <c r="H18" s="1523"/>
      <c r="I18" s="1152"/>
      <c r="J18" s="841" t="s">
        <v>23</v>
      </c>
      <c r="K18" s="888">
        <f t="shared" ref="K18:T18" si="0">SUM(K14:K17)</f>
        <v>57576.5</v>
      </c>
      <c r="L18" s="888">
        <f t="shared" si="0"/>
        <v>57524.899999999994</v>
      </c>
      <c r="M18" s="888">
        <f t="shared" si="0"/>
        <v>35187.599999999999</v>
      </c>
      <c r="N18" s="341">
        <f t="shared" si="0"/>
        <v>51.6</v>
      </c>
      <c r="O18" s="361">
        <f>SUM(O14:O17)</f>
        <v>62092.1</v>
      </c>
      <c r="P18" s="364">
        <f t="shared" si="0"/>
        <v>61997.1</v>
      </c>
      <c r="Q18" s="364">
        <f>SUM(Q14:Q17)</f>
        <v>37794.400000000001</v>
      </c>
      <c r="R18" s="351">
        <f t="shared" si="0"/>
        <v>95</v>
      </c>
      <c r="S18" s="350">
        <f>SUM(S14:S17)</f>
        <v>62092.1</v>
      </c>
      <c r="T18" s="341">
        <f t="shared" si="0"/>
        <v>62092.1</v>
      </c>
      <c r="U18" s="847" t="s">
        <v>260</v>
      </c>
      <c r="V18" s="1446">
        <v>244</v>
      </c>
      <c r="W18" s="875">
        <v>300</v>
      </c>
      <c r="X18" s="886">
        <v>340</v>
      </c>
      <c r="Z18" s="1189"/>
      <c r="AA18" s="1189"/>
      <c r="AB18" s="1189"/>
      <c r="AC18" s="1189"/>
      <c r="AD18" s="175"/>
      <c r="AE18" s="175"/>
    </row>
    <row r="19" spans="1:31" x14ac:dyDescent="0.2">
      <c r="A19" s="2123"/>
      <c r="B19" s="27"/>
      <c r="C19" s="2002"/>
      <c r="D19" s="2557" t="s">
        <v>24</v>
      </c>
      <c r="E19" s="2020" t="s">
        <v>293</v>
      </c>
      <c r="F19" s="2005"/>
      <c r="G19" s="2021" t="s">
        <v>21</v>
      </c>
      <c r="H19" s="2023" t="s">
        <v>43</v>
      </c>
      <c r="I19" s="1152"/>
      <c r="J19" s="130" t="s">
        <v>22</v>
      </c>
      <c r="K19" s="830">
        <v>6511.3</v>
      </c>
      <c r="L19" s="831">
        <v>6511.3</v>
      </c>
      <c r="M19" s="831">
        <v>4479.7</v>
      </c>
      <c r="N19" s="782"/>
      <c r="O19" s="475">
        <f>P19+R19</f>
        <v>4971.3</v>
      </c>
      <c r="P19" s="1606">
        <f>4877.1+94.2</f>
        <v>4971.3</v>
      </c>
      <c r="Q19" s="1606">
        <f>3323.1+71.9</f>
        <v>3395</v>
      </c>
      <c r="R19" s="988"/>
      <c r="S19" s="772">
        <v>4971.3</v>
      </c>
      <c r="T19" s="772">
        <v>4971.3</v>
      </c>
      <c r="U19" s="2578" t="s">
        <v>311</v>
      </c>
      <c r="V19" s="2580">
        <v>8</v>
      </c>
      <c r="W19" s="2580">
        <v>7</v>
      </c>
      <c r="X19" s="2582">
        <v>6</v>
      </c>
    </row>
    <row r="20" spans="1:31" x14ac:dyDescent="0.2">
      <c r="A20" s="2123"/>
      <c r="B20" s="27"/>
      <c r="C20" s="2002"/>
      <c r="D20" s="2557"/>
      <c r="E20" s="2020"/>
      <c r="F20" s="2005"/>
      <c r="G20" s="2021"/>
      <c r="H20" s="2023"/>
      <c r="I20" s="1152"/>
      <c r="J20" s="923" t="s">
        <v>240</v>
      </c>
      <c r="K20" s="292">
        <f>L20+N20</f>
        <v>11.5</v>
      </c>
      <c r="L20" s="292">
        <v>11.5</v>
      </c>
      <c r="M20" s="832"/>
      <c r="N20" s="782"/>
      <c r="O20" s="789"/>
      <c r="P20" s="1032"/>
      <c r="Q20" s="780"/>
      <c r="R20" s="1166"/>
      <c r="S20" s="799"/>
      <c r="T20" s="879"/>
      <c r="U20" s="2464"/>
      <c r="V20" s="2458"/>
      <c r="W20" s="2458"/>
      <c r="X20" s="2460"/>
    </row>
    <row r="21" spans="1:31" x14ac:dyDescent="0.2">
      <c r="A21" s="2123"/>
      <c r="B21" s="27"/>
      <c r="C21" s="2003"/>
      <c r="D21" s="2557"/>
      <c r="E21" s="2020"/>
      <c r="F21" s="2005"/>
      <c r="G21" s="2021"/>
      <c r="H21" s="2023"/>
      <c r="I21" s="1152"/>
      <c r="J21" s="130" t="s">
        <v>25</v>
      </c>
      <c r="K21" s="833">
        <f>+L21+N21</f>
        <v>6246.8</v>
      </c>
      <c r="L21" s="832">
        <v>6231</v>
      </c>
      <c r="M21" s="832">
        <v>4621.5</v>
      </c>
      <c r="N21" s="984">
        <v>15.8</v>
      </c>
      <c r="O21" s="789">
        <f>P21+R21</f>
        <v>5937.3</v>
      </c>
      <c r="P21" s="780">
        <v>5917.3</v>
      </c>
      <c r="Q21" s="780">
        <v>4367.8999999999996</v>
      </c>
      <c r="R21" s="843">
        <v>20</v>
      </c>
      <c r="S21" s="3">
        <v>5937.3</v>
      </c>
      <c r="T21" s="3">
        <v>5937.3</v>
      </c>
      <c r="U21" s="2579"/>
      <c r="V21" s="2581"/>
      <c r="W21" s="2581"/>
      <c r="X21" s="2583"/>
    </row>
    <row r="22" spans="1:31" ht="12.75" customHeight="1" x14ac:dyDescent="0.2">
      <c r="A22" s="2123"/>
      <c r="B22" s="27"/>
      <c r="C22" s="2003"/>
      <c r="D22" s="2475"/>
      <c r="E22" s="2465"/>
      <c r="F22" s="2055"/>
      <c r="G22" s="2051"/>
      <c r="H22" s="2572"/>
      <c r="I22" s="1152"/>
      <c r="J22" s="431" t="s">
        <v>96</v>
      </c>
      <c r="K22" s="833">
        <f>L22+N22</f>
        <v>1961.6</v>
      </c>
      <c r="L22" s="926">
        <v>1961.6</v>
      </c>
      <c r="M22" s="926">
        <v>395.4</v>
      </c>
      <c r="N22" s="764"/>
      <c r="O22" s="278">
        <f>P22+R22</f>
        <v>1958.3</v>
      </c>
      <c r="P22" s="265">
        <v>1958.3</v>
      </c>
      <c r="Q22" s="265">
        <v>393.6</v>
      </c>
      <c r="R22" s="786"/>
      <c r="S22" s="835">
        <v>1958.3</v>
      </c>
      <c r="T22" s="835">
        <v>1958.3</v>
      </c>
      <c r="U22" s="1506" t="s">
        <v>312</v>
      </c>
      <c r="V22" s="852">
        <v>2119</v>
      </c>
      <c r="W22" s="852">
        <v>2200</v>
      </c>
      <c r="X22" s="853">
        <v>2200</v>
      </c>
    </row>
    <row r="23" spans="1:31" ht="13.5" thickBot="1" x14ac:dyDescent="0.25">
      <c r="A23" s="1427"/>
      <c r="B23" s="27"/>
      <c r="C23" s="1432"/>
      <c r="D23" s="1481"/>
      <c r="E23" s="1423"/>
      <c r="F23" s="1469"/>
      <c r="G23" s="1408"/>
      <c r="H23" s="848"/>
      <c r="I23" s="1152"/>
      <c r="J23" s="841" t="s">
        <v>23</v>
      </c>
      <c r="K23" s="341">
        <f t="shared" ref="K23:T23" si="1">SUM(K19:K22)</f>
        <v>14731.2</v>
      </c>
      <c r="L23" s="342">
        <f t="shared" si="1"/>
        <v>14715.4</v>
      </c>
      <c r="M23" s="341">
        <f t="shared" si="1"/>
        <v>9496.6</v>
      </c>
      <c r="N23" s="363">
        <f t="shared" si="1"/>
        <v>15.8</v>
      </c>
      <c r="O23" s="361">
        <f>SUM(O19:O22)</f>
        <v>12866.9</v>
      </c>
      <c r="P23" s="341">
        <f t="shared" si="1"/>
        <v>12846.9</v>
      </c>
      <c r="Q23" s="342">
        <f t="shared" si="1"/>
        <v>8156.5</v>
      </c>
      <c r="R23" s="351">
        <f t="shared" si="1"/>
        <v>20</v>
      </c>
      <c r="S23" s="350">
        <f>SUM(S19:S22)</f>
        <v>12866.9</v>
      </c>
      <c r="T23" s="341">
        <f t="shared" si="1"/>
        <v>12866.9</v>
      </c>
      <c r="U23" s="851" t="s">
        <v>261</v>
      </c>
      <c r="V23" s="849">
        <v>1060</v>
      </c>
      <c r="W23" s="875">
        <v>1040</v>
      </c>
      <c r="X23" s="850">
        <v>1020</v>
      </c>
    </row>
    <row r="24" spans="1:31" x14ac:dyDescent="0.2">
      <c r="A24" s="2067"/>
      <c r="B24" s="1436"/>
      <c r="C24" s="2068"/>
      <c r="D24" s="2557" t="s">
        <v>26</v>
      </c>
      <c r="E24" s="2020" t="s">
        <v>294</v>
      </c>
      <c r="F24" s="2005"/>
      <c r="G24" s="2078" t="s">
        <v>21</v>
      </c>
      <c r="H24" s="2001" t="s">
        <v>43</v>
      </c>
      <c r="I24" s="1152"/>
      <c r="J24" s="715" t="s">
        <v>22</v>
      </c>
      <c r="K24" s="760">
        <f>+L24</f>
        <v>15540.7</v>
      </c>
      <c r="L24" s="761">
        <v>15540.7</v>
      </c>
      <c r="M24" s="761">
        <v>10071</v>
      </c>
      <c r="N24" s="762"/>
      <c r="O24" s="787">
        <f>P24+R24</f>
        <v>14951.199999999999</v>
      </c>
      <c r="P24" s="778">
        <f>14946.3+4.9</f>
        <v>14951.199999999999</v>
      </c>
      <c r="Q24" s="778">
        <f>9596.2+3.7</f>
        <v>9599.9000000000015</v>
      </c>
      <c r="R24" s="542"/>
      <c r="S24" s="1033">
        <v>29897.5</v>
      </c>
      <c r="T24" s="1033">
        <v>29897.5</v>
      </c>
      <c r="U24" s="856" t="s">
        <v>262</v>
      </c>
      <c r="V24" s="868">
        <v>36</v>
      </c>
      <c r="W24" s="868">
        <v>35</v>
      </c>
      <c r="X24" s="869">
        <v>35</v>
      </c>
    </row>
    <row r="25" spans="1:31" x14ac:dyDescent="0.2">
      <c r="A25" s="2067"/>
      <c r="B25" s="1436"/>
      <c r="C25" s="2068"/>
      <c r="D25" s="2557"/>
      <c r="E25" s="2020"/>
      <c r="F25" s="2005"/>
      <c r="G25" s="2078"/>
      <c r="H25" s="2001"/>
      <c r="I25" s="1152"/>
      <c r="J25" s="922" t="s">
        <v>240</v>
      </c>
      <c r="K25" s="269">
        <f>L25+N25</f>
        <v>33.9</v>
      </c>
      <c r="L25" s="280">
        <v>33.9</v>
      </c>
      <c r="M25" s="854"/>
      <c r="N25" s="763"/>
      <c r="O25" s="789"/>
      <c r="P25" s="281"/>
      <c r="Q25" s="281"/>
      <c r="R25" s="776"/>
      <c r="S25" s="1034"/>
      <c r="T25" s="896"/>
      <c r="U25" s="931"/>
      <c r="V25" s="932"/>
      <c r="W25" s="932"/>
      <c r="X25" s="933"/>
    </row>
    <row r="26" spans="1:31" x14ac:dyDescent="0.2">
      <c r="A26" s="2067"/>
      <c r="B26" s="1436"/>
      <c r="C26" s="2068"/>
      <c r="D26" s="2557"/>
      <c r="E26" s="2020"/>
      <c r="F26" s="2005"/>
      <c r="G26" s="2078"/>
      <c r="H26" s="2001"/>
      <c r="I26" s="1152"/>
      <c r="J26" s="149" t="s">
        <v>25</v>
      </c>
      <c r="K26" s="279">
        <f>L26+N26</f>
        <v>74677.5</v>
      </c>
      <c r="L26" s="280">
        <f>29767.1+42091.8+2543.6+275</f>
        <v>74677.5</v>
      </c>
      <c r="M26" s="280">
        <f>22224.6+31482.4+1883.2+209.9</f>
        <v>55800.1</v>
      </c>
      <c r="N26" s="763"/>
      <c r="O26" s="789">
        <f>P26+R26</f>
        <v>73633.7</v>
      </c>
      <c r="P26" s="281">
        <v>73592.5</v>
      </c>
      <c r="Q26" s="281">
        <f>21597.8+31043+2126+324.9</f>
        <v>55091.700000000004</v>
      </c>
      <c r="R26" s="1035">
        <f>15.8+25.4</f>
        <v>41.2</v>
      </c>
      <c r="S26" s="798">
        <v>73633.7</v>
      </c>
      <c r="T26" s="798">
        <v>73633.7</v>
      </c>
      <c r="U26" s="860" t="s">
        <v>263</v>
      </c>
      <c r="V26" s="1471">
        <v>16960</v>
      </c>
      <c r="W26" s="1471">
        <v>17000</v>
      </c>
      <c r="X26" s="1503">
        <v>17000</v>
      </c>
    </row>
    <row r="27" spans="1:31" x14ac:dyDescent="0.2">
      <c r="A27" s="2067"/>
      <c r="B27" s="1436"/>
      <c r="C27" s="2068"/>
      <c r="D27" s="2557"/>
      <c r="E27" s="2020"/>
      <c r="F27" s="2005"/>
      <c r="G27" s="2078"/>
      <c r="H27" s="2001"/>
      <c r="I27" s="1152"/>
      <c r="J27" s="149" t="s">
        <v>25</v>
      </c>
      <c r="K27" s="279">
        <f>L27+N27</f>
        <v>2115.4</v>
      </c>
      <c r="L27" s="253">
        <v>2115.4</v>
      </c>
      <c r="M27" s="253">
        <v>1207.7</v>
      </c>
      <c r="N27" s="765"/>
      <c r="O27" s="789">
        <f>P27+R27</f>
        <v>2129.1999999999998</v>
      </c>
      <c r="P27" s="281">
        <v>2129.1999999999998</v>
      </c>
      <c r="Q27" s="281">
        <v>1218.2</v>
      </c>
      <c r="R27" s="776"/>
      <c r="S27" s="1036">
        <v>2129.1999999999998</v>
      </c>
      <c r="T27" s="1036">
        <v>2129.1999999999998</v>
      </c>
      <c r="U27" s="857"/>
      <c r="V27" s="858"/>
      <c r="W27" s="858"/>
      <c r="X27" s="859"/>
    </row>
    <row r="28" spans="1:31" x14ac:dyDescent="0.2">
      <c r="A28" s="1427"/>
      <c r="B28" s="1436"/>
      <c r="C28" s="1437"/>
      <c r="D28" s="2475"/>
      <c r="E28" s="2465"/>
      <c r="F28" s="2055"/>
      <c r="G28" s="2299"/>
      <c r="H28" s="2571"/>
      <c r="I28" s="1152"/>
      <c r="J28" s="427" t="s">
        <v>96</v>
      </c>
      <c r="K28" s="982">
        <v>3326.9</v>
      </c>
      <c r="L28" s="253">
        <v>3326.9</v>
      </c>
      <c r="M28" s="254">
        <v>1016.2</v>
      </c>
      <c r="N28" s="765"/>
      <c r="O28" s="271">
        <f>P28+R28</f>
        <v>3261.2</v>
      </c>
      <c r="P28" s="253">
        <v>3261.2</v>
      </c>
      <c r="Q28" s="254">
        <v>975.6</v>
      </c>
      <c r="R28" s="937"/>
      <c r="S28" s="1031">
        <v>3261.2</v>
      </c>
      <c r="T28" s="1031">
        <v>3261.2</v>
      </c>
      <c r="U28" s="120"/>
      <c r="V28" s="103"/>
      <c r="W28" s="1458"/>
      <c r="X28" s="688"/>
    </row>
    <row r="29" spans="1:31" ht="13.5" thickBot="1" x14ac:dyDescent="0.25">
      <c r="A29" s="1427"/>
      <c r="B29" s="1436"/>
      <c r="C29" s="1437"/>
      <c r="D29" s="1481"/>
      <c r="E29" s="1442"/>
      <c r="F29" s="1454"/>
      <c r="G29" s="1430"/>
      <c r="H29" s="1524"/>
      <c r="I29" s="1152"/>
      <c r="J29" s="841" t="s">
        <v>23</v>
      </c>
      <c r="K29" s="361">
        <f t="shared" ref="K29:T29" si="2">SUM(K24:K28)</f>
        <v>95694.399999999994</v>
      </c>
      <c r="L29" s="364">
        <f t="shared" si="2"/>
        <v>95694.399999999994</v>
      </c>
      <c r="M29" s="364">
        <f t="shared" si="2"/>
        <v>68095</v>
      </c>
      <c r="N29" s="341">
        <f t="shared" si="2"/>
        <v>0</v>
      </c>
      <c r="O29" s="353">
        <f>SUM(O24:O28)</f>
        <v>93975.299999999988</v>
      </c>
      <c r="P29" s="343">
        <f>SUM(P24:P28)</f>
        <v>93934.099999999991</v>
      </c>
      <c r="Q29" s="343">
        <f>SUM(Q24:Q28)</f>
        <v>66885.400000000009</v>
      </c>
      <c r="R29" s="413">
        <f t="shared" si="2"/>
        <v>41.2</v>
      </c>
      <c r="S29" s="350">
        <f>SUM(S24:S28)</f>
        <v>108921.59999999999</v>
      </c>
      <c r="T29" s="341">
        <f t="shared" si="2"/>
        <v>108921.59999999999</v>
      </c>
      <c r="U29" s="861"/>
      <c r="V29" s="1472"/>
      <c r="W29" s="1472"/>
      <c r="X29" s="1504"/>
    </row>
    <row r="30" spans="1:31" x14ac:dyDescent="0.2">
      <c r="A30" s="2069"/>
      <c r="B30" s="2070"/>
      <c r="C30" s="2003"/>
      <c r="D30" s="2557" t="s">
        <v>28</v>
      </c>
      <c r="E30" s="2020" t="s">
        <v>264</v>
      </c>
      <c r="F30" s="2564"/>
      <c r="G30" s="2078" t="s">
        <v>21</v>
      </c>
      <c r="H30" s="2043">
        <v>2</v>
      </c>
      <c r="I30" s="1152"/>
      <c r="J30" s="130" t="s">
        <v>22</v>
      </c>
      <c r="K30" s="292">
        <f>+L30</f>
        <v>15109.2</v>
      </c>
      <c r="L30" s="293">
        <v>15109.2</v>
      </c>
      <c r="M30" s="293">
        <v>11254.1</v>
      </c>
      <c r="N30" s="782"/>
      <c r="O30" s="1607">
        <f>P30+R30</f>
        <v>15118.9</v>
      </c>
      <c r="P30" s="1608">
        <v>15118.9</v>
      </c>
      <c r="Q30" s="1608">
        <v>11257.5</v>
      </c>
      <c r="R30" s="855"/>
      <c r="S30" s="846">
        <v>15118.9</v>
      </c>
      <c r="T30" s="846">
        <v>15118.9</v>
      </c>
      <c r="U30" s="856" t="s">
        <v>66</v>
      </c>
      <c r="V30" s="868">
        <v>6</v>
      </c>
      <c r="W30" s="868">
        <v>6</v>
      </c>
      <c r="X30" s="869">
        <v>6</v>
      </c>
    </row>
    <row r="31" spans="1:31" x14ac:dyDescent="0.2">
      <c r="A31" s="2067"/>
      <c r="B31" s="2071"/>
      <c r="C31" s="2003"/>
      <c r="D31" s="2563"/>
      <c r="E31" s="2006"/>
      <c r="F31" s="2019"/>
      <c r="G31" s="2073"/>
      <c r="H31" s="2042"/>
      <c r="I31" s="1152"/>
      <c r="J31" s="130" t="s">
        <v>240</v>
      </c>
      <c r="K31" s="292">
        <f>L31+N31</f>
        <v>12</v>
      </c>
      <c r="L31" s="292">
        <v>12</v>
      </c>
      <c r="M31" s="832"/>
      <c r="N31" s="763"/>
      <c r="O31" s="866"/>
      <c r="P31" s="864"/>
      <c r="Q31" s="530"/>
      <c r="R31" s="867"/>
      <c r="S31" s="835"/>
      <c r="T31" s="1496"/>
      <c r="U31" s="931"/>
      <c r="V31" s="932"/>
      <c r="W31" s="932"/>
      <c r="X31" s="933"/>
    </row>
    <row r="32" spans="1:31" x14ac:dyDescent="0.2">
      <c r="A32" s="2067"/>
      <c r="B32" s="2071"/>
      <c r="C32" s="2003"/>
      <c r="D32" s="2563"/>
      <c r="E32" s="2006"/>
      <c r="F32" s="2019"/>
      <c r="G32" s="2073"/>
      <c r="H32" s="2042"/>
      <c r="I32" s="1152"/>
      <c r="J32" s="24" t="s">
        <v>25</v>
      </c>
      <c r="K32" s="865">
        <v>227.7</v>
      </c>
      <c r="L32" s="832">
        <v>227.7</v>
      </c>
      <c r="M32" s="832">
        <v>173.8</v>
      </c>
      <c r="N32" s="764"/>
      <c r="O32" s="870">
        <f>P32+R32</f>
        <v>232.2</v>
      </c>
      <c r="P32" s="832">
        <v>232.2</v>
      </c>
      <c r="Q32" s="832">
        <v>177.3</v>
      </c>
      <c r="R32" s="938"/>
      <c r="S32" s="718">
        <v>232.2</v>
      </c>
      <c r="T32" s="927">
        <v>232.2</v>
      </c>
      <c r="U32" s="2304" t="s">
        <v>265</v>
      </c>
      <c r="V32" s="2585">
        <v>5049</v>
      </c>
      <c r="W32" s="2585">
        <v>5050</v>
      </c>
      <c r="X32" s="2588">
        <v>5100</v>
      </c>
    </row>
    <row r="33" spans="1:26" x14ac:dyDescent="0.2">
      <c r="A33" s="2561"/>
      <c r="B33" s="2562"/>
      <c r="C33" s="2003"/>
      <c r="D33" s="2475"/>
      <c r="E33" s="2465"/>
      <c r="F33" s="2565"/>
      <c r="G33" s="2299"/>
      <c r="H33" s="2559"/>
      <c r="I33" s="1152"/>
      <c r="J33" s="427" t="s">
        <v>96</v>
      </c>
      <c r="K33" s="833">
        <f>L33+N33</f>
        <v>1027.2</v>
      </c>
      <c r="L33" s="927">
        <v>916.2</v>
      </c>
      <c r="M33" s="926">
        <v>276.39999999999998</v>
      </c>
      <c r="N33" s="929">
        <v>111</v>
      </c>
      <c r="O33" s="781">
        <f>P33+R33</f>
        <v>1033.5</v>
      </c>
      <c r="P33" s="265">
        <v>920.5</v>
      </c>
      <c r="Q33" s="265">
        <v>252.8</v>
      </c>
      <c r="R33" s="255">
        <v>113</v>
      </c>
      <c r="S33" s="835">
        <v>1033.5</v>
      </c>
      <c r="T33" s="835">
        <v>1033.5</v>
      </c>
      <c r="U33" s="2305"/>
      <c r="V33" s="2586"/>
      <c r="W33" s="2586"/>
      <c r="X33" s="2589"/>
    </row>
    <row r="34" spans="1:26" ht="13.5" thickBot="1" x14ac:dyDescent="0.25">
      <c r="A34" s="1427"/>
      <c r="B34" s="1436"/>
      <c r="C34" s="1437"/>
      <c r="D34" s="1481"/>
      <c r="E34" s="863"/>
      <c r="F34" s="1457"/>
      <c r="G34" s="1430"/>
      <c r="H34" s="1528"/>
      <c r="I34" s="1152"/>
      <c r="J34" s="841" t="s">
        <v>23</v>
      </c>
      <c r="K34" s="364">
        <f t="shared" ref="K34:T34" si="3">SUM(K30:K33)</f>
        <v>16376.100000000002</v>
      </c>
      <c r="L34" s="364">
        <f t="shared" si="3"/>
        <v>16265.100000000002</v>
      </c>
      <c r="M34" s="364">
        <f t="shared" si="3"/>
        <v>11704.3</v>
      </c>
      <c r="N34" s="341">
        <f t="shared" si="3"/>
        <v>111</v>
      </c>
      <c r="O34" s="361">
        <f>SUM(O30:O33)</f>
        <v>16384.599999999999</v>
      </c>
      <c r="P34" s="364">
        <f>SUM(P30:P33)</f>
        <v>16271.6</v>
      </c>
      <c r="Q34" s="364">
        <f>SUM(Q30:Q33)</f>
        <v>11687.599999999999</v>
      </c>
      <c r="R34" s="351">
        <f t="shared" si="3"/>
        <v>113</v>
      </c>
      <c r="S34" s="350">
        <f>SUM(S30:S33)</f>
        <v>16384.599999999999</v>
      </c>
      <c r="T34" s="351">
        <f t="shared" si="3"/>
        <v>16384.599999999999</v>
      </c>
      <c r="U34" s="2584"/>
      <c r="V34" s="2587"/>
      <c r="W34" s="2587"/>
      <c r="X34" s="2590"/>
    </row>
    <row r="35" spans="1:26" x14ac:dyDescent="0.2">
      <c r="A35" s="2067"/>
      <c r="B35" s="2071"/>
      <c r="C35" s="2003"/>
      <c r="D35" s="2557" t="s">
        <v>29</v>
      </c>
      <c r="E35" s="2072" t="s">
        <v>147</v>
      </c>
      <c r="F35" s="2077"/>
      <c r="G35" s="2021" t="s">
        <v>21</v>
      </c>
      <c r="H35" s="2043">
        <v>2</v>
      </c>
      <c r="I35" s="1152"/>
      <c r="J35" s="129" t="s">
        <v>22</v>
      </c>
      <c r="K35" s="830">
        <f>+L35</f>
        <v>525.20000000000005</v>
      </c>
      <c r="L35" s="831">
        <v>525.20000000000005</v>
      </c>
      <c r="M35" s="831">
        <v>389.8</v>
      </c>
      <c r="N35" s="842"/>
      <c r="O35" s="284">
        <f>+P35</f>
        <v>745.7</v>
      </c>
      <c r="P35" s="773">
        <v>745.7</v>
      </c>
      <c r="Q35" s="773">
        <v>545.79999999999995</v>
      </c>
      <c r="R35" s="1038"/>
      <c r="S35" s="1033">
        <v>745.7</v>
      </c>
      <c r="T35" s="783">
        <v>745.7</v>
      </c>
      <c r="U35" s="2039" t="s">
        <v>84</v>
      </c>
      <c r="V35" s="2037">
        <v>4</v>
      </c>
      <c r="W35" s="2037">
        <v>4.5</v>
      </c>
      <c r="X35" s="2027">
        <v>5</v>
      </c>
      <c r="Y35" s="171"/>
    </row>
    <row r="36" spans="1:26" x14ac:dyDescent="0.2">
      <c r="A36" s="2067"/>
      <c r="B36" s="2071"/>
      <c r="C36" s="2003"/>
      <c r="D36" s="2557"/>
      <c r="E36" s="2072"/>
      <c r="F36" s="2077"/>
      <c r="G36" s="2021"/>
      <c r="H36" s="2043"/>
      <c r="I36" s="1152"/>
      <c r="J36" s="24" t="s">
        <v>25</v>
      </c>
      <c r="K36" s="833">
        <v>670.2</v>
      </c>
      <c r="L36" s="834">
        <v>670.2</v>
      </c>
      <c r="M36" s="834">
        <v>511.7</v>
      </c>
      <c r="N36" s="765"/>
      <c r="O36" s="789">
        <f>P36+R36</f>
        <v>668</v>
      </c>
      <c r="P36" s="281">
        <v>668</v>
      </c>
      <c r="Q36" s="281">
        <v>510</v>
      </c>
      <c r="R36" s="255"/>
      <c r="S36" s="1036">
        <v>668</v>
      </c>
      <c r="T36" s="1037">
        <v>668</v>
      </c>
      <c r="U36" s="2039"/>
      <c r="V36" s="2037"/>
      <c r="W36" s="2037"/>
      <c r="X36" s="2027"/>
    </row>
    <row r="37" spans="1:26" x14ac:dyDescent="0.2">
      <c r="A37" s="2067"/>
      <c r="B37" s="2071"/>
      <c r="C37" s="2003"/>
      <c r="D37" s="2475"/>
      <c r="E37" s="2558"/>
      <c r="F37" s="2303"/>
      <c r="G37" s="2051"/>
      <c r="H37" s="2559"/>
      <c r="I37" s="1152"/>
      <c r="J37" s="430" t="s">
        <v>96</v>
      </c>
      <c r="K37" s="928">
        <f>L37+N37</f>
        <v>9</v>
      </c>
      <c r="L37" s="929">
        <v>9</v>
      </c>
      <c r="M37" s="253"/>
      <c r="N37" s="765"/>
      <c r="O37" s="271">
        <f>P37+R37</f>
        <v>4</v>
      </c>
      <c r="P37" s="253">
        <v>4</v>
      </c>
      <c r="Q37" s="939"/>
      <c r="R37" s="255"/>
      <c r="S37" s="1018">
        <v>4</v>
      </c>
      <c r="T37" s="1018">
        <v>4</v>
      </c>
      <c r="U37" s="2039"/>
      <c r="V37" s="2037"/>
      <c r="W37" s="2037"/>
      <c r="X37" s="2027"/>
    </row>
    <row r="38" spans="1:26" ht="13.5" thickBot="1" x14ac:dyDescent="0.25">
      <c r="A38" s="1427"/>
      <c r="B38" s="1436"/>
      <c r="C38" s="1432"/>
      <c r="D38" s="1481"/>
      <c r="E38" s="1456"/>
      <c r="F38" s="1485"/>
      <c r="G38" s="1443"/>
      <c r="H38" s="1528"/>
      <c r="I38" s="1152"/>
      <c r="J38" s="841" t="s">
        <v>23</v>
      </c>
      <c r="K38" s="364">
        <f t="shared" ref="K38:T38" si="4">SUM(K35:K37)</f>
        <v>1204.4000000000001</v>
      </c>
      <c r="L38" s="364">
        <f t="shared" si="4"/>
        <v>1204.4000000000001</v>
      </c>
      <c r="M38" s="364">
        <f t="shared" si="4"/>
        <v>901.5</v>
      </c>
      <c r="N38" s="341"/>
      <c r="O38" s="361">
        <f>SUM(O35:O37)</f>
        <v>1417.7</v>
      </c>
      <c r="P38" s="364">
        <f t="shared" si="4"/>
        <v>1417.7</v>
      </c>
      <c r="Q38" s="364">
        <f t="shared" si="4"/>
        <v>1055.8</v>
      </c>
      <c r="R38" s="351"/>
      <c r="S38" s="350">
        <f>SUM(S35:S37)</f>
        <v>1417.7</v>
      </c>
      <c r="T38" s="351">
        <f t="shared" si="4"/>
        <v>1417.7</v>
      </c>
      <c r="U38" s="940"/>
      <c r="V38" s="1451"/>
      <c r="W38" s="941"/>
      <c r="X38" s="1444"/>
    </row>
    <row r="39" spans="1:26" x14ac:dyDescent="0.2">
      <c r="A39" s="214"/>
      <c r="B39" s="27"/>
      <c r="C39" s="215"/>
      <c r="D39" s="2557" t="s">
        <v>30</v>
      </c>
      <c r="E39" s="2072" t="s">
        <v>148</v>
      </c>
      <c r="F39" s="2570"/>
      <c r="G39" s="2021" t="s">
        <v>21</v>
      </c>
      <c r="H39" s="2001" t="s">
        <v>43</v>
      </c>
      <c r="I39" s="1152"/>
      <c r="J39" s="129" t="s">
        <v>22</v>
      </c>
      <c r="K39" s="830">
        <f>+L39</f>
        <v>1178.8</v>
      </c>
      <c r="L39" s="831">
        <v>1178.8</v>
      </c>
      <c r="M39" s="831">
        <v>853.9</v>
      </c>
      <c r="N39" s="791"/>
      <c r="O39" s="1134">
        <f>+P39</f>
        <v>1135</v>
      </c>
      <c r="P39" s="256">
        <f>1125+10</f>
        <v>1135</v>
      </c>
      <c r="Q39" s="256">
        <f>811.4+7.7</f>
        <v>819.1</v>
      </c>
      <c r="R39" s="282"/>
      <c r="S39" s="1039">
        <v>1135</v>
      </c>
      <c r="T39" s="1039">
        <v>1135</v>
      </c>
      <c r="U39" s="878" t="s">
        <v>119</v>
      </c>
      <c r="V39" s="868">
        <v>92</v>
      </c>
      <c r="W39" s="868">
        <v>130</v>
      </c>
      <c r="X39" s="869">
        <v>145</v>
      </c>
    </row>
    <row r="40" spans="1:26" x14ac:dyDescent="0.2">
      <c r="A40" s="214"/>
      <c r="B40" s="27"/>
      <c r="C40" s="215"/>
      <c r="D40" s="2563"/>
      <c r="E40" s="2015"/>
      <c r="F40" s="2011"/>
      <c r="G40" s="2013"/>
      <c r="H40" s="2024"/>
      <c r="I40" s="1152"/>
      <c r="J40" s="923" t="s">
        <v>240</v>
      </c>
      <c r="K40" s="781">
        <f>L40+N40</f>
        <v>10.9</v>
      </c>
      <c r="L40" s="293">
        <v>10.9</v>
      </c>
      <c r="M40" s="832"/>
      <c r="N40" s="879"/>
      <c r="O40" s="278"/>
      <c r="P40" s="293"/>
      <c r="Q40" s="293"/>
      <c r="R40" s="770"/>
      <c r="S40" s="799"/>
      <c r="T40" s="799"/>
      <c r="U40" s="934"/>
      <c r="V40" s="932"/>
      <c r="W40" s="935"/>
      <c r="X40" s="933"/>
    </row>
    <row r="41" spans="1:26" x14ac:dyDescent="0.2">
      <c r="A41" s="214"/>
      <c r="B41" s="27"/>
      <c r="C41" s="215"/>
      <c r="D41" s="2563"/>
      <c r="E41" s="2015"/>
      <c r="F41" s="2011"/>
      <c r="G41" s="2013"/>
      <c r="H41" s="2024"/>
      <c r="I41" s="1152"/>
      <c r="J41" s="149" t="s">
        <v>25</v>
      </c>
      <c r="K41" s="833">
        <v>248.6</v>
      </c>
      <c r="L41" s="834">
        <v>248.6</v>
      </c>
      <c r="M41" s="834">
        <v>182</v>
      </c>
      <c r="N41" s="269"/>
      <c r="O41" s="781">
        <f>P41+R41</f>
        <v>269</v>
      </c>
      <c r="P41" s="280">
        <v>269</v>
      </c>
      <c r="Q41" s="280">
        <v>197.1</v>
      </c>
      <c r="R41" s="283"/>
      <c r="S41" s="1036">
        <v>269</v>
      </c>
      <c r="T41" s="1036">
        <v>269</v>
      </c>
      <c r="U41" s="934"/>
      <c r="V41" s="1416"/>
      <c r="W41" s="1426"/>
      <c r="X41" s="942"/>
    </row>
    <row r="42" spans="1:26" x14ac:dyDescent="0.2">
      <c r="A42" s="214"/>
      <c r="B42" s="27"/>
      <c r="C42" s="215"/>
      <c r="D42" s="2475"/>
      <c r="E42" s="2558"/>
      <c r="F42" s="2325"/>
      <c r="G42" s="2051"/>
      <c r="H42" s="2571"/>
      <c r="I42" s="1152"/>
      <c r="J42" s="427" t="s">
        <v>96</v>
      </c>
      <c r="K42" s="833">
        <f>L42+N42</f>
        <v>111.4</v>
      </c>
      <c r="L42" s="834">
        <v>111.4</v>
      </c>
      <c r="M42" s="834">
        <v>18.7</v>
      </c>
      <c r="N42" s="254"/>
      <c r="O42" s="271">
        <f>P42+R42</f>
        <v>113.3</v>
      </c>
      <c r="P42" s="253">
        <v>113.3</v>
      </c>
      <c r="Q42" s="253">
        <v>18.7</v>
      </c>
      <c r="R42" s="771"/>
      <c r="S42" s="1018">
        <v>113.3</v>
      </c>
      <c r="T42" s="1018">
        <v>113.3</v>
      </c>
      <c r="U42" s="936"/>
      <c r="V42" s="1416"/>
      <c r="W42" s="1426"/>
      <c r="X42" s="942"/>
    </row>
    <row r="43" spans="1:26" ht="13.5" thickBot="1" x14ac:dyDescent="0.25">
      <c r="A43" s="26"/>
      <c r="B43" s="27"/>
      <c r="C43" s="839"/>
      <c r="D43" s="1481"/>
      <c r="E43" s="1456"/>
      <c r="F43" s="1455"/>
      <c r="G43" s="1443"/>
      <c r="H43" s="1524"/>
      <c r="I43" s="1152"/>
      <c r="J43" s="841" t="s">
        <v>23</v>
      </c>
      <c r="K43" s="364">
        <f t="shared" ref="K43:T43" si="5">SUM(K39:K42)</f>
        <v>1549.7</v>
      </c>
      <c r="L43" s="364">
        <f t="shared" si="5"/>
        <v>1549.7</v>
      </c>
      <c r="M43" s="364">
        <f t="shared" si="5"/>
        <v>1054.6000000000001</v>
      </c>
      <c r="N43" s="341"/>
      <c r="O43" s="361">
        <f>SUM(O39:O42)</f>
        <v>1517.3</v>
      </c>
      <c r="P43" s="364">
        <f t="shared" si="5"/>
        <v>1517.3</v>
      </c>
      <c r="Q43" s="364">
        <f t="shared" si="5"/>
        <v>1034.9000000000001</v>
      </c>
      <c r="R43" s="351"/>
      <c r="S43" s="350">
        <f>SUM(S39:S42)</f>
        <v>1517.3</v>
      </c>
      <c r="T43" s="351">
        <f t="shared" si="5"/>
        <v>1517.3</v>
      </c>
      <c r="U43" s="943"/>
      <c r="V43" s="499"/>
      <c r="W43" s="590"/>
      <c r="X43" s="1453"/>
    </row>
    <row r="44" spans="1:26" ht="12.75" customHeight="1" x14ac:dyDescent="0.2">
      <c r="A44" s="214"/>
      <c r="B44" s="27"/>
      <c r="C44" s="172"/>
      <c r="D44" s="2566" t="s">
        <v>55</v>
      </c>
      <c r="E44" s="2053" t="s">
        <v>195</v>
      </c>
      <c r="F44" s="2077"/>
      <c r="G44" s="2021" t="s">
        <v>21</v>
      </c>
      <c r="H44" s="2043">
        <v>2</v>
      </c>
      <c r="I44" s="1152"/>
      <c r="J44" s="130" t="s">
        <v>22</v>
      </c>
      <c r="K44" s="830">
        <f>+L44</f>
        <v>398.5</v>
      </c>
      <c r="L44" s="831">
        <v>398.5</v>
      </c>
      <c r="M44" s="831">
        <v>287.8</v>
      </c>
      <c r="N44" s="782"/>
      <c r="O44" s="284">
        <f>P44+R44</f>
        <v>395.5</v>
      </c>
      <c r="P44" s="773">
        <v>395.5</v>
      </c>
      <c r="Q44" s="773">
        <v>281.89999999999998</v>
      </c>
      <c r="R44" s="257"/>
      <c r="S44" s="1034">
        <v>395.5</v>
      </c>
      <c r="T44" s="1034">
        <v>395.5</v>
      </c>
      <c r="U44" s="2437" t="s">
        <v>120</v>
      </c>
      <c r="V44" s="877">
        <v>250</v>
      </c>
      <c r="W44" s="873">
        <v>255</v>
      </c>
      <c r="X44" s="840">
        <v>260</v>
      </c>
      <c r="Z44" s="175"/>
    </row>
    <row r="45" spans="1:26" ht="12.75" customHeight="1" x14ac:dyDescent="0.2">
      <c r="A45" s="214"/>
      <c r="B45" s="27"/>
      <c r="C45" s="172"/>
      <c r="D45" s="2567"/>
      <c r="E45" s="2032"/>
      <c r="F45" s="2303"/>
      <c r="G45" s="2051"/>
      <c r="H45" s="2559"/>
      <c r="I45" s="1152"/>
      <c r="J45" s="720" t="s">
        <v>240</v>
      </c>
      <c r="K45" s="813">
        <f>L45+N45</f>
        <v>26.7</v>
      </c>
      <c r="L45" s="265">
        <v>26.7</v>
      </c>
      <c r="M45" s="926"/>
      <c r="N45" s="764"/>
      <c r="O45" s="1030"/>
      <c r="P45" s="286"/>
      <c r="Q45" s="286"/>
      <c r="R45" s="267"/>
      <c r="S45" s="1040"/>
      <c r="T45" s="287"/>
      <c r="U45" s="2437"/>
      <c r="V45" s="877"/>
      <c r="W45" s="877"/>
      <c r="X45" s="840"/>
      <c r="Z45" s="175"/>
    </row>
    <row r="46" spans="1:26" x14ac:dyDescent="0.2">
      <c r="A46" s="214"/>
      <c r="B46" s="27"/>
      <c r="C46" s="172"/>
      <c r="D46" s="2567"/>
      <c r="E46" s="2032"/>
      <c r="F46" s="2303"/>
      <c r="G46" s="2051"/>
      <c r="H46" s="2559"/>
      <c r="I46" s="1152"/>
      <c r="J46" s="297" t="s">
        <v>96</v>
      </c>
      <c r="K46" s="865">
        <f>L46+N46</f>
        <v>230</v>
      </c>
      <c r="L46" s="930">
        <v>230</v>
      </c>
      <c r="M46" s="930">
        <v>32.799999999999997</v>
      </c>
      <c r="N46" s="765"/>
      <c r="O46" s="271">
        <f>P46+R46</f>
        <v>231.9</v>
      </c>
      <c r="P46" s="253">
        <v>231.9</v>
      </c>
      <c r="Q46" s="253">
        <v>32.9</v>
      </c>
      <c r="R46" s="179"/>
      <c r="S46" s="985">
        <v>231.9</v>
      </c>
      <c r="T46" s="985">
        <v>231.9</v>
      </c>
      <c r="U46" s="2437"/>
      <c r="V46" s="944"/>
      <c r="W46" s="944"/>
      <c r="X46" s="945"/>
    </row>
    <row r="47" spans="1:26" x14ac:dyDescent="0.2">
      <c r="A47" s="214"/>
      <c r="B47" s="27"/>
      <c r="C47" s="172"/>
      <c r="D47" s="1001"/>
      <c r="E47" s="2144"/>
      <c r="F47" s="1485"/>
      <c r="G47" s="1487"/>
      <c r="H47" s="1528"/>
      <c r="I47" s="1136"/>
      <c r="J47" s="414" t="s">
        <v>23</v>
      </c>
      <c r="K47" s="384">
        <f t="shared" ref="K47:T47" si="6">SUM(K44:K46)</f>
        <v>655.20000000000005</v>
      </c>
      <c r="L47" s="383">
        <f t="shared" si="6"/>
        <v>655.20000000000005</v>
      </c>
      <c r="M47" s="356">
        <f t="shared" si="6"/>
        <v>320.60000000000002</v>
      </c>
      <c r="N47" s="357"/>
      <c r="O47" s="408">
        <f>SUM(O44:O46)</f>
        <v>627.4</v>
      </c>
      <c r="P47" s="356">
        <f t="shared" si="6"/>
        <v>627.4</v>
      </c>
      <c r="Q47" s="383">
        <f t="shared" si="6"/>
        <v>314.79999999999995</v>
      </c>
      <c r="R47" s="407"/>
      <c r="S47" s="914">
        <f t="shared" si="6"/>
        <v>627.4</v>
      </c>
      <c r="T47" s="407">
        <f t="shared" si="6"/>
        <v>627.4</v>
      </c>
      <c r="U47" s="1002"/>
      <c r="V47" s="1003"/>
      <c r="W47" s="1003"/>
      <c r="X47" s="1004"/>
    </row>
    <row r="48" spans="1:26" ht="15" customHeight="1" x14ac:dyDescent="0.2">
      <c r="A48" s="214"/>
      <c r="B48" s="27"/>
      <c r="C48" s="172"/>
      <c r="D48" s="1480" t="s">
        <v>241</v>
      </c>
      <c r="E48" s="2282" t="s">
        <v>267</v>
      </c>
      <c r="F48" s="1409"/>
      <c r="G48" s="1484" t="s">
        <v>21</v>
      </c>
      <c r="H48" s="1564">
        <v>2</v>
      </c>
      <c r="I48" s="1136"/>
      <c r="J48" s="130" t="s">
        <v>22</v>
      </c>
      <c r="K48" s="278"/>
      <c r="L48" s="293"/>
      <c r="M48" s="293"/>
      <c r="N48" s="782"/>
      <c r="O48" s="994">
        <f>P48+R48</f>
        <v>173.5</v>
      </c>
      <c r="P48" s="995">
        <v>173.5</v>
      </c>
      <c r="Q48" s="996">
        <v>132.4</v>
      </c>
      <c r="R48" s="997"/>
      <c r="S48" s="872">
        <v>173.5</v>
      </c>
      <c r="T48" s="998"/>
      <c r="U48" s="999" t="s">
        <v>266</v>
      </c>
      <c r="V48" s="1470">
        <v>9</v>
      </c>
      <c r="W48" s="877"/>
      <c r="X48" s="840"/>
      <c r="Z48" s="175"/>
    </row>
    <row r="49" spans="1:26" x14ac:dyDescent="0.2">
      <c r="A49" s="1386"/>
      <c r="B49" s="1387"/>
      <c r="C49" s="1000"/>
      <c r="D49" s="1001"/>
      <c r="E49" s="2408"/>
      <c r="F49" s="1485"/>
      <c r="G49" s="1487"/>
      <c r="H49" s="1528"/>
      <c r="I49" s="1388"/>
      <c r="J49" s="414" t="s">
        <v>23</v>
      </c>
      <c r="K49" s="384">
        <f t="shared" ref="K49:T49" si="7">SUM(K48:K48)</f>
        <v>0</v>
      </c>
      <c r="L49" s="383">
        <f t="shared" si="7"/>
        <v>0</v>
      </c>
      <c r="M49" s="356">
        <f t="shared" si="7"/>
        <v>0</v>
      </c>
      <c r="N49" s="357"/>
      <c r="O49" s="408">
        <f t="shared" si="7"/>
        <v>173.5</v>
      </c>
      <c r="P49" s="356">
        <f t="shared" si="7"/>
        <v>173.5</v>
      </c>
      <c r="Q49" s="383">
        <f t="shared" si="7"/>
        <v>132.4</v>
      </c>
      <c r="R49" s="407"/>
      <c r="S49" s="914">
        <f t="shared" si="7"/>
        <v>173.5</v>
      </c>
      <c r="T49" s="407">
        <f t="shared" si="7"/>
        <v>0</v>
      </c>
      <c r="U49" s="1002"/>
      <c r="V49" s="1003"/>
      <c r="W49" s="1003"/>
      <c r="X49" s="1004"/>
    </row>
    <row r="50" spans="1:26" ht="15" customHeight="1" x14ac:dyDescent="0.2">
      <c r="A50" s="1401"/>
      <c r="B50" s="1392"/>
      <c r="C50" s="1402"/>
      <c r="D50" s="2536" t="s">
        <v>9</v>
      </c>
      <c r="E50" s="2402" t="s">
        <v>289</v>
      </c>
      <c r="F50" s="1169"/>
      <c r="G50" s="1483" t="s">
        <v>21</v>
      </c>
      <c r="H50" s="1170">
        <v>2</v>
      </c>
      <c r="I50" s="2499"/>
      <c r="J50" s="1103" t="s">
        <v>22</v>
      </c>
      <c r="K50" s="1171"/>
      <c r="L50" s="1172"/>
      <c r="M50" s="1172"/>
      <c r="N50" s="1173"/>
      <c r="O50" s="833">
        <f>P50+R50</f>
        <v>314.8</v>
      </c>
      <c r="P50" s="834">
        <v>314.8</v>
      </c>
      <c r="Q50" s="1174"/>
      <c r="R50" s="1173"/>
      <c r="S50" s="3">
        <v>314.8</v>
      </c>
      <c r="T50" s="39">
        <v>314.8</v>
      </c>
      <c r="U50" s="1175" t="s">
        <v>66</v>
      </c>
      <c r="V50" s="1463">
        <v>92</v>
      </c>
      <c r="W50" s="128">
        <v>92</v>
      </c>
      <c r="X50" s="110">
        <v>92</v>
      </c>
    </row>
    <row r="51" spans="1:26" ht="15" customHeight="1" x14ac:dyDescent="0.2">
      <c r="A51" s="1401"/>
      <c r="B51" s="1392"/>
      <c r="C51" s="1402"/>
      <c r="D51" s="2537"/>
      <c r="E51" s="2374"/>
      <c r="F51" s="1177"/>
      <c r="G51" s="1394"/>
      <c r="H51" s="1178"/>
      <c r="I51" s="2499"/>
      <c r="J51" s="1179" t="s">
        <v>23</v>
      </c>
      <c r="K51" s="536"/>
      <c r="L51" s="537"/>
      <c r="M51" s="537"/>
      <c r="N51" s="1180"/>
      <c r="O51" s="1181">
        <f>O50</f>
        <v>314.8</v>
      </c>
      <c r="P51" s="537">
        <f t="shared" ref="P51:T51" si="8">P50</f>
        <v>314.8</v>
      </c>
      <c r="Q51" s="537"/>
      <c r="R51" s="537"/>
      <c r="S51" s="654">
        <f t="shared" si="8"/>
        <v>314.8</v>
      </c>
      <c r="T51" s="1182">
        <f t="shared" si="8"/>
        <v>314.8</v>
      </c>
      <c r="U51" s="1176"/>
      <c r="V51" s="978"/>
      <c r="W51" s="979"/>
      <c r="X51" s="688"/>
    </row>
    <row r="52" spans="1:26" ht="13.5" thickBot="1" x14ac:dyDescent="0.25">
      <c r="A52" s="602"/>
      <c r="B52" s="28"/>
      <c r="C52" s="993"/>
      <c r="D52" s="168"/>
      <c r="E52" s="2568"/>
      <c r="F52" s="2568"/>
      <c r="G52" s="2568"/>
      <c r="H52" s="2568"/>
      <c r="I52" s="2569"/>
      <c r="J52" s="162" t="s">
        <v>23</v>
      </c>
      <c r="K52" s="240">
        <f>K49+K47+K43+K38+K34+K29+K23+K18+K51</f>
        <v>187787.5</v>
      </c>
      <c r="L52" s="240">
        <f t="shared" ref="L52:T52" si="9">L49+L47+L43+L38+L34+L29+L23+L18+L51</f>
        <v>187609.09999999998</v>
      </c>
      <c r="M52" s="240">
        <f t="shared" si="9"/>
        <v>126760.20000000001</v>
      </c>
      <c r="N52" s="240">
        <f t="shared" si="9"/>
        <v>178.4</v>
      </c>
      <c r="O52" s="240">
        <f t="shared" si="9"/>
        <v>189369.59999999998</v>
      </c>
      <c r="P52" s="240">
        <f t="shared" si="9"/>
        <v>189100.39999999997</v>
      </c>
      <c r="Q52" s="240">
        <f t="shared" si="9"/>
        <v>127061.80000000002</v>
      </c>
      <c r="R52" s="240">
        <f t="shared" si="9"/>
        <v>269.2</v>
      </c>
      <c r="S52" s="240">
        <f t="shared" si="9"/>
        <v>204315.9</v>
      </c>
      <c r="T52" s="240">
        <f t="shared" si="9"/>
        <v>204142.4</v>
      </c>
      <c r="U52" s="1168"/>
      <c r="V52" s="685"/>
      <c r="W52" s="685"/>
      <c r="X52" s="218"/>
      <c r="Z52" s="242"/>
    </row>
    <row r="53" spans="1:26" ht="29.25" customHeight="1" x14ac:dyDescent="0.2">
      <c r="A53" s="1417" t="s">
        <v>20</v>
      </c>
      <c r="B53" s="259" t="s">
        <v>20</v>
      </c>
      <c r="C53" s="1431" t="s">
        <v>24</v>
      </c>
      <c r="D53" s="2009"/>
      <c r="E53" s="2007" t="s">
        <v>209</v>
      </c>
      <c r="F53" s="2017" t="s">
        <v>132</v>
      </c>
      <c r="G53" s="2009" t="s">
        <v>21</v>
      </c>
      <c r="H53" s="1983">
        <v>2</v>
      </c>
      <c r="I53" s="2495" t="s">
        <v>164</v>
      </c>
      <c r="J53" s="130" t="s">
        <v>25</v>
      </c>
      <c r="K53" s="278">
        <f t="shared" ref="K53:K58" si="10">L53+N53</f>
        <v>51.1</v>
      </c>
      <c r="L53" s="293">
        <v>51.1</v>
      </c>
      <c r="M53" s="293">
        <v>39</v>
      </c>
      <c r="N53" s="879"/>
      <c r="O53" s="887">
        <f>P53+R53</f>
        <v>50.9</v>
      </c>
      <c r="P53" s="831">
        <v>50.9</v>
      </c>
      <c r="Q53" s="831">
        <v>38.799999999999997</v>
      </c>
      <c r="R53" s="257"/>
      <c r="S53" s="871">
        <v>50.9</v>
      </c>
      <c r="T53" s="880">
        <v>50.9</v>
      </c>
      <c r="U53" s="2431" t="s">
        <v>268</v>
      </c>
      <c r="V53" s="1994">
        <v>1</v>
      </c>
      <c r="W53" s="1994">
        <v>1</v>
      </c>
      <c r="X53" s="1989">
        <v>1</v>
      </c>
      <c r="Z53" s="241"/>
    </row>
    <row r="54" spans="1:26" ht="13.5" thickBot="1" x14ac:dyDescent="0.25">
      <c r="A54" s="1438"/>
      <c r="B54" s="28"/>
      <c r="C54" s="1465"/>
      <c r="D54" s="2010"/>
      <c r="E54" s="2008"/>
      <c r="F54" s="2018"/>
      <c r="G54" s="2010"/>
      <c r="H54" s="1984"/>
      <c r="I54" s="2496"/>
      <c r="J54" s="348" t="s">
        <v>23</v>
      </c>
      <c r="K54" s="361">
        <f t="shared" si="10"/>
        <v>51.1</v>
      </c>
      <c r="L54" s="342">
        <f t="shared" ref="L54:Q54" si="11">SUM(L53:L53)</f>
        <v>51.1</v>
      </c>
      <c r="M54" s="342">
        <f t="shared" si="11"/>
        <v>39</v>
      </c>
      <c r="N54" s="341">
        <f t="shared" si="11"/>
        <v>0</v>
      </c>
      <c r="O54" s="349">
        <f t="shared" si="11"/>
        <v>50.9</v>
      </c>
      <c r="P54" s="342">
        <f t="shared" si="11"/>
        <v>50.9</v>
      </c>
      <c r="Q54" s="364">
        <f t="shared" si="11"/>
        <v>38.799999999999997</v>
      </c>
      <c r="R54" s="351"/>
      <c r="S54" s="350">
        <f>SUM(S53:S53)</f>
        <v>50.9</v>
      </c>
      <c r="T54" s="351">
        <f>SUM(T53:T53)</f>
        <v>50.9</v>
      </c>
      <c r="U54" s="2432"/>
      <c r="V54" s="2433"/>
      <c r="W54" s="2433"/>
      <c r="X54" s="2434"/>
    </row>
    <row r="55" spans="1:26" ht="27" customHeight="1" x14ac:dyDescent="0.2">
      <c r="A55" s="1399" t="s">
        <v>20</v>
      </c>
      <c r="B55" s="1412" t="s">
        <v>20</v>
      </c>
      <c r="C55" s="1396" t="s">
        <v>26</v>
      </c>
      <c r="D55" s="2493"/>
      <c r="E55" s="2007" t="s">
        <v>155</v>
      </c>
      <c r="F55" s="2030"/>
      <c r="G55" s="2009" t="s">
        <v>21</v>
      </c>
      <c r="H55" s="1983">
        <v>2</v>
      </c>
      <c r="I55" s="2495" t="s">
        <v>164</v>
      </c>
      <c r="J55" s="129" t="s">
        <v>25</v>
      </c>
      <c r="K55" s="284">
        <f t="shared" si="10"/>
        <v>157.4</v>
      </c>
      <c r="L55" s="773">
        <v>157.4</v>
      </c>
      <c r="M55" s="773">
        <v>120.1</v>
      </c>
      <c r="N55" s="790"/>
      <c r="O55" s="870">
        <f>P55+R55</f>
        <v>141.1</v>
      </c>
      <c r="P55" s="881">
        <v>141.1</v>
      </c>
      <c r="Q55" s="832">
        <v>107.8</v>
      </c>
      <c r="R55" s="257"/>
      <c r="S55" s="121">
        <v>141.1</v>
      </c>
      <c r="T55" s="927">
        <v>141.1</v>
      </c>
      <c r="U55" s="1996" t="s">
        <v>313</v>
      </c>
      <c r="V55" s="1993">
        <v>5</v>
      </c>
      <c r="W55" s="1993">
        <v>5</v>
      </c>
      <c r="X55" s="1988">
        <v>5</v>
      </c>
    </row>
    <row r="56" spans="1:26" ht="13.5" thickBot="1" x14ac:dyDescent="0.25">
      <c r="A56" s="1400"/>
      <c r="B56" s="28"/>
      <c r="C56" s="1397"/>
      <c r="D56" s="2494"/>
      <c r="E56" s="2008"/>
      <c r="F56" s="2031"/>
      <c r="G56" s="2010"/>
      <c r="H56" s="1984"/>
      <c r="I56" s="2496"/>
      <c r="J56" s="348" t="s">
        <v>23</v>
      </c>
      <c r="K56" s="361">
        <f t="shared" si="10"/>
        <v>157.4</v>
      </c>
      <c r="L56" s="342">
        <f t="shared" ref="L56:Q56" si="12">SUM(L55:L55)</f>
        <v>157.4</v>
      </c>
      <c r="M56" s="342">
        <f t="shared" si="12"/>
        <v>120.1</v>
      </c>
      <c r="N56" s="341">
        <f t="shared" si="12"/>
        <v>0</v>
      </c>
      <c r="O56" s="349">
        <f t="shared" si="12"/>
        <v>141.1</v>
      </c>
      <c r="P56" s="342">
        <f t="shared" si="12"/>
        <v>141.1</v>
      </c>
      <c r="Q56" s="364">
        <f t="shared" si="12"/>
        <v>107.8</v>
      </c>
      <c r="R56" s="351"/>
      <c r="S56" s="365">
        <f>SUM(S55:S55)</f>
        <v>141.1</v>
      </c>
      <c r="T56" s="366">
        <f>SUM(T55:T55)</f>
        <v>141.1</v>
      </c>
      <c r="U56" s="1998"/>
      <c r="V56" s="1995"/>
      <c r="W56" s="1995"/>
      <c r="X56" s="1990"/>
    </row>
    <row r="57" spans="1:26" ht="15" customHeight="1" x14ac:dyDescent="0.2">
      <c r="A57" s="1410" t="s">
        <v>20</v>
      </c>
      <c r="B57" s="1412" t="s">
        <v>20</v>
      </c>
      <c r="C57" s="925" t="s">
        <v>28</v>
      </c>
      <c r="D57" s="2493"/>
      <c r="E57" s="2052" t="s">
        <v>278</v>
      </c>
      <c r="F57" s="2030"/>
      <c r="G57" s="2009" t="s">
        <v>21</v>
      </c>
      <c r="H57" s="1983">
        <v>2</v>
      </c>
      <c r="I57" s="2495" t="s">
        <v>164</v>
      </c>
      <c r="J57" s="129" t="s">
        <v>25</v>
      </c>
      <c r="K57" s="787">
        <f t="shared" si="10"/>
        <v>7.8</v>
      </c>
      <c r="L57" s="778">
        <v>7.8</v>
      </c>
      <c r="M57" s="778">
        <v>6</v>
      </c>
      <c r="N57" s="788"/>
      <c r="O57" s="550">
        <f>P57+R57</f>
        <v>282.39999999999998</v>
      </c>
      <c r="P57" s="831">
        <v>282.39999999999998</v>
      </c>
      <c r="Q57" s="882">
        <v>150</v>
      </c>
      <c r="R57" s="257"/>
      <c r="S57" s="883">
        <v>300</v>
      </c>
      <c r="T57" s="884">
        <v>300</v>
      </c>
      <c r="U57" s="2429" t="s">
        <v>279</v>
      </c>
      <c r="V57" s="1445">
        <v>25</v>
      </c>
      <c r="W57" s="1445">
        <v>30</v>
      </c>
      <c r="X57" s="1450">
        <v>30</v>
      </c>
    </row>
    <row r="58" spans="1:26" ht="15" customHeight="1" thickBot="1" x14ac:dyDescent="0.25">
      <c r="A58" s="1400"/>
      <c r="B58" s="28"/>
      <c r="C58" s="1397"/>
      <c r="D58" s="2494"/>
      <c r="E58" s="2008"/>
      <c r="F58" s="2031"/>
      <c r="G58" s="2010"/>
      <c r="H58" s="1984"/>
      <c r="I58" s="2496"/>
      <c r="J58" s="348" t="s">
        <v>23</v>
      </c>
      <c r="K58" s="361">
        <f t="shared" si="10"/>
        <v>7.8</v>
      </c>
      <c r="L58" s="342">
        <f t="shared" ref="L58:Q58" si="13">SUM(L57:L57)</f>
        <v>7.8</v>
      </c>
      <c r="M58" s="342">
        <f t="shared" si="13"/>
        <v>6</v>
      </c>
      <c r="N58" s="341">
        <f t="shared" si="13"/>
        <v>0</v>
      </c>
      <c r="O58" s="349">
        <f t="shared" si="13"/>
        <v>282.39999999999998</v>
      </c>
      <c r="P58" s="342">
        <f t="shared" si="13"/>
        <v>282.39999999999998</v>
      </c>
      <c r="Q58" s="364">
        <f t="shared" si="13"/>
        <v>150</v>
      </c>
      <c r="R58" s="351"/>
      <c r="S58" s="350">
        <f>SUM(S57:S57)</f>
        <v>300</v>
      </c>
      <c r="T58" s="351">
        <f>SUM(T57:T57)</f>
        <v>300</v>
      </c>
      <c r="U58" s="2430"/>
      <c r="V58" s="924"/>
      <c r="W58" s="143"/>
      <c r="X58" s="233"/>
    </row>
    <row r="59" spans="1:26" ht="15" customHeight="1" x14ac:dyDescent="0.2">
      <c r="A59" s="1399" t="s">
        <v>20</v>
      </c>
      <c r="B59" s="1412" t="s">
        <v>20</v>
      </c>
      <c r="C59" s="1396" t="s">
        <v>29</v>
      </c>
      <c r="D59" s="2493"/>
      <c r="E59" s="2426" t="s">
        <v>269</v>
      </c>
      <c r="F59" s="2030"/>
      <c r="G59" s="2009" t="s">
        <v>21</v>
      </c>
      <c r="H59" s="1983">
        <v>2</v>
      </c>
      <c r="I59" s="2495" t="s">
        <v>164</v>
      </c>
      <c r="J59" s="129" t="s">
        <v>22</v>
      </c>
      <c r="K59" s="787"/>
      <c r="L59" s="778"/>
      <c r="M59" s="778"/>
      <c r="N59" s="788"/>
      <c r="O59" s="550">
        <f>P59+R59</f>
        <v>10</v>
      </c>
      <c r="P59" s="831">
        <v>10</v>
      </c>
      <c r="Q59" s="882"/>
      <c r="R59" s="257"/>
      <c r="S59" s="883">
        <v>10</v>
      </c>
      <c r="T59" s="884">
        <v>10</v>
      </c>
      <c r="U59" s="1428" t="s">
        <v>270</v>
      </c>
      <c r="V59" s="873">
        <v>30</v>
      </c>
      <c r="W59" s="873">
        <v>35</v>
      </c>
      <c r="X59" s="891">
        <v>35</v>
      </c>
    </row>
    <row r="60" spans="1:26" ht="15" customHeight="1" thickBot="1" x14ac:dyDescent="0.25">
      <c r="A60" s="1400"/>
      <c r="B60" s="28"/>
      <c r="C60" s="1397"/>
      <c r="D60" s="2494"/>
      <c r="E60" s="2427"/>
      <c r="F60" s="2031"/>
      <c r="G60" s="2010"/>
      <c r="H60" s="1984"/>
      <c r="I60" s="2496"/>
      <c r="J60" s="348" t="s">
        <v>23</v>
      </c>
      <c r="K60" s="361">
        <f>L60+N60</f>
        <v>0</v>
      </c>
      <c r="L60" s="342">
        <f>SUM(L59:L59)</f>
        <v>0</v>
      </c>
      <c r="M60" s="342">
        <f>SUM(M59:M59)</f>
        <v>0</v>
      </c>
      <c r="N60" s="341">
        <f>SUM(N59:N59)</f>
        <v>0</v>
      </c>
      <c r="O60" s="349">
        <f>SUM(O59:O59)</f>
        <v>10</v>
      </c>
      <c r="P60" s="342">
        <f>SUM(P59:P59)</f>
        <v>10</v>
      </c>
      <c r="Q60" s="364"/>
      <c r="R60" s="351"/>
      <c r="S60" s="350">
        <f>SUM(S59:S59)</f>
        <v>10</v>
      </c>
      <c r="T60" s="351">
        <f>SUM(T59:T59)</f>
        <v>10</v>
      </c>
      <c r="U60" s="1429"/>
      <c r="V60" s="889"/>
      <c r="W60" s="889"/>
      <c r="X60" s="890"/>
    </row>
    <row r="61" spans="1:26" ht="15" customHeight="1" x14ac:dyDescent="0.2">
      <c r="A61" s="1399" t="s">
        <v>20</v>
      </c>
      <c r="B61" s="1412" t="s">
        <v>20</v>
      </c>
      <c r="C61" s="1396" t="s">
        <v>30</v>
      </c>
      <c r="D61" s="2493"/>
      <c r="E61" s="2426" t="s">
        <v>271</v>
      </c>
      <c r="F61" s="2030"/>
      <c r="G61" s="2009" t="s">
        <v>21</v>
      </c>
      <c r="H61" s="1983">
        <v>2</v>
      </c>
      <c r="I61" s="2495" t="s">
        <v>164</v>
      </c>
      <c r="J61" s="129" t="s">
        <v>22</v>
      </c>
      <c r="K61" s="787"/>
      <c r="L61" s="778"/>
      <c r="M61" s="778"/>
      <c r="N61" s="788"/>
      <c r="O61" s="550">
        <f>P61+R61</f>
        <v>50</v>
      </c>
      <c r="P61" s="831">
        <v>50</v>
      </c>
      <c r="Q61" s="882"/>
      <c r="R61" s="257"/>
      <c r="S61" s="883">
        <v>50</v>
      </c>
      <c r="T61" s="884">
        <v>50</v>
      </c>
      <c r="U61" s="2126" t="s">
        <v>272</v>
      </c>
      <c r="V61" s="2422">
        <v>1.5</v>
      </c>
      <c r="W61" s="2422">
        <v>1.5</v>
      </c>
      <c r="X61" s="2424">
        <v>1.5</v>
      </c>
    </row>
    <row r="62" spans="1:26" ht="15" customHeight="1" thickBot="1" x14ac:dyDescent="0.25">
      <c r="A62" s="1400"/>
      <c r="B62" s="28"/>
      <c r="C62" s="1397"/>
      <c r="D62" s="2494"/>
      <c r="E62" s="2427"/>
      <c r="F62" s="2031"/>
      <c r="G62" s="2010"/>
      <c r="H62" s="1984"/>
      <c r="I62" s="2496"/>
      <c r="J62" s="348" t="s">
        <v>23</v>
      </c>
      <c r="K62" s="361">
        <f>L62+N62</f>
        <v>0</v>
      </c>
      <c r="L62" s="342">
        <f>SUM(L61:L61)</f>
        <v>0</v>
      </c>
      <c r="M62" s="342">
        <f>SUM(M61:M61)</f>
        <v>0</v>
      </c>
      <c r="N62" s="341">
        <f>SUM(N61:N61)</f>
        <v>0</v>
      </c>
      <c r="O62" s="349">
        <f>SUM(O61:O61)</f>
        <v>50</v>
      </c>
      <c r="P62" s="342">
        <f>SUM(P61:P61)</f>
        <v>50</v>
      </c>
      <c r="Q62" s="364"/>
      <c r="R62" s="351"/>
      <c r="S62" s="350">
        <f>SUM(S61:S61)</f>
        <v>50</v>
      </c>
      <c r="T62" s="351">
        <f>SUM(T61:T61)</f>
        <v>50</v>
      </c>
      <c r="U62" s="2127"/>
      <c r="V62" s="2423"/>
      <c r="W62" s="2423"/>
      <c r="X62" s="2425"/>
    </row>
    <row r="63" spans="1:26" ht="17.25" customHeight="1" thickBot="1" x14ac:dyDescent="0.25">
      <c r="A63" s="1400" t="s">
        <v>20</v>
      </c>
      <c r="B63" s="1413" t="s">
        <v>20</v>
      </c>
      <c r="C63" s="2138" t="s">
        <v>27</v>
      </c>
      <c r="D63" s="2138"/>
      <c r="E63" s="2138"/>
      <c r="F63" s="2138"/>
      <c r="G63" s="2138"/>
      <c r="H63" s="2138"/>
      <c r="I63" s="2560"/>
      <c r="J63" s="2139"/>
      <c r="K63" s="1">
        <f>K58+K56+K54+K52+K60+K62</f>
        <v>188003.8</v>
      </c>
      <c r="L63" s="1">
        <f>L58+L56+L54+L52+L60+L62</f>
        <v>187825.39999999997</v>
      </c>
      <c r="M63" s="1">
        <f>M58+M56+M54+M52+M60+M62</f>
        <v>126925.30000000002</v>
      </c>
      <c r="N63" s="1">
        <f>N58+N56+N54+N52+N60+N62+N178</f>
        <v>178.4</v>
      </c>
      <c r="O63" s="1">
        <f t="shared" ref="O63:T63" si="14">O58+O56+O54+O52+O60+O62</f>
        <v>189903.99999999997</v>
      </c>
      <c r="P63" s="1">
        <f t="shared" si="14"/>
        <v>189634.79999999996</v>
      </c>
      <c r="Q63" s="1">
        <f t="shared" si="14"/>
        <v>127358.40000000002</v>
      </c>
      <c r="R63" s="1">
        <f t="shared" si="14"/>
        <v>269.2</v>
      </c>
      <c r="S63" s="1">
        <f t="shared" si="14"/>
        <v>204867.9</v>
      </c>
      <c r="T63" s="1">
        <f t="shared" si="14"/>
        <v>204694.39999999999</v>
      </c>
      <c r="U63" s="2239"/>
      <c r="V63" s="2240"/>
      <c r="W63" s="2240"/>
      <c r="X63" s="2241"/>
    </row>
    <row r="64" spans="1:26" ht="13.5" thickBot="1" x14ac:dyDescent="0.25">
      <c r="A64" s="15" t="s">
        <v>20</v>
      </c>
      <c r="B64" s="17" t="s">
        <v>24</v>
      </c>
      <c r="C64" s="2300" t="s">
        <v>118</v>
      </c>
      <c r="D64" s="2237"/>
      <c r="E64" s="2237"/>
      <c r="F64" s="2237"/>
      <c r="G64" s="2237"/>
      <c r="H64" s="2237"/>
      <c r="I64" s="2237"/>
      <c r="J64" s="2237"/>
      <c r="K64" s="2237"/>
      <c r="L64" s="2237"/>
      <c r="M64" s="2237"/>
      <c r="N64" s="2237"/>
      <c r="O64" s="2237"/>
      <c r="P64" s="2237"/>
      <c r="Q64" s="2237"/>
      <c r="R64" s="2237"/>
      <c r="S64" s="2237"/>
      <c r="T64" s="2237"/>
      <c r="U64" s="2237"/>
      <c r="V64" s="2237"/>
      <c r="W64" s="2237"/>
      <c r="X64" s="2238"/>
    </row>
    <row r="65" spans="1:24" ht="15.75" customHeight="1" x14ac:dyDescent="0.2">
      <c r="A65" s="258" t="s">
        <v>20</v>
      </c>
      <c r="B65" s="2167" t="s">
        <v>24</v>
      </c>
      <c r="C65" s="1962" t="s">
        <v>20</v>
      </c>
      <c r="D65" s="2591"/>
      <c r="E65" s="2292" t="s">
        <v>121</v>
      </c>
      <c r="F65" s="2302"/>
      <c r="G65" s="2009" t="s">
        <v>21</v>
      </c>
      <c r="H65" s="2297">
        <v>2</v>
      </c>
      <c r="I65" s="2548" t="s">
        <v>164</v>
      </c>
      <c r="J65" s="1467" t="s">
        <v>22</v>
      </c>
      <c r="K65" s="766">
        <f>L65+N65</f>
        <v>65.400000000000006</v>
      </c>
      <c r="L65" s="761">
        <v>65.400000000000006</v>
      </c>
      <c r="M65" s="761"/>
      <c r="N65" s="291"/>
      <c r="O65" s="50">
        <f>P65+R65</f>
        <v>65.400000000000006</v>
      </c>
      <c r="P65" s="51">
        <v>65.400000000000006</v>
      </c>
      <c r="Q65" s="51"/>
      <c r="R65" s="52"/>
      <c r="S65" s="19">
        <v>65.400000000000006</v>
      </c>
      <c r="T65" s="22">
        <v>65.400000000000006</v>
      </c>
      <c r="U65" s="220" t="s">
        <v>273</v>
      </c>
      <c r="V65" s="221">
        <v>20</v>
      </c>
      <c r="W65" s="221">
        <v>20</v>
      </c>
      <c r="X65" s="222">
        <v>20</v>
      </c>
    </row>
    <row r="66" spans="1:24" ht="28.5" customHeight="1" thickBot="1" x14ac:dyDescent="0.25">
      <c r="A66" s="1438"/>
      <c r="B66" s="2168"/>
      <c r="C66" s="1963"/>
      <c r="D66" s="2592"/>
      <c r="E66" s="2321"/>
      <c r="F66" s="2420"/>
      <c r="G66" s="2010"/>
      <c r="H66" s="2421"/>
      <c r="I66" s="2549"/>
      <c r="J66" s="1054" t="s">
        <v>23</v>
      </c>
      <c r="K66" s="1055">
        <f>L66+N66</f>
        <v>65.400000000000006</v>
      </c>
      <c r="L66" s="1056">
        <f>SUM(L65)</f>
        <v>65.400000000000006</v>
      </c>
      <c r="M66" s="1057"/>
      <c r="N66" s="1058"/>
      <c r="O66" s="1055">
        <f>SUM(O65)</f>
        <v>65.400000000000006</v>
      </c>
      <c r="P66" s="1056">
        <f>SUM(P65)</f>
        <v>65.400000000000006</v>
      </c>
      <c r="Q66" s="1057"/>
      <c r="R66" s="1058"/>
      <c r="S66" s="1055">
        <f>SUM(S65)</f>
        <v>65.400000000000006</v>
      </c>
      <c r="T66" s="1059">
        <f>SUM(T65)</f>
        <v>65.400000000000006</v>
      </c>
      <c r="U66" s="223" t="s">
        <v>122</v>
      </c>
      <c r="V66" s="224">
        <v>36</v>
      </c>
      <c r="W66" s="224">
        <v>36</v>
      </c>
      <c r="X66" s="225">
        <v>36</v>
      </c>
    </row>
    <row r="67" spans="1:24" ht="15.75" customHeight="1" x14ac:dyDescent="0.2">
      <c r="A67" s="2271" t="s">
        <v>20</v>
      </c>
      <c r="B67" s="2167" t="s">
        <v>24</v>
      </c>
      <c r="C67" s="2277" t="s">
        <v>24</v>
      </c>
      <c r="D67" s="2493"/>
      <c r="E67" s="2145" t="s">
        <v>275</v>
      </c>
      <c r="F67" s="2302"/>
      <c r="G67" s="2050" t="s">
        <v>21</v>
      </c>
      <c r="H67" s="2294">
        <v>2</v>
      </c>
      <c r="I67" s="2495" t="s">
        <v>164</v>
      </c>
      <c r="J67" s="720" t="s">
        <v>25</v>
      </c>
      <c r="K67" s="264">
        <f>L67+N67</f>
        <v>105.4</v>
      </c>
      <c r="L67" s="265">
        <v>105.4</v>
      </c>
      <c r="M67" s="266"/>
      <c r="N67" s="267"/>
      <c r="O67" s="892">
        <f>P67+R67</f>
        <v>104.8</v>
      </c>
      <c r="P67" s="893">
        <v>104.8</v>
      </c>
      <c r="Q67" s="19">
        <v>80</v>
      </c>
      <c r="R67" s="267"/>
      <c r="S67" s="540">
        <v>105</v>
      </c>
      <c r="T67" s="266">
        <v>105</v>
      </c>
      <c r="U67" s="2126" t="s">
        <v>314</v>
      </c>
      <c r="V67" s="153">
        <v>17</v>
      </c>
      <c r="W67" s="153">
        <v>17</v>
      </c>
      <c r="X67" s="152">
        <v>17</v>
      </c>
    </row>
    <row r="68" spans="1:24" ht="15.75" customHeight="1" thickBot="1" x14ac:dyDescent="0.25">
      <c r="A68" s="2291"/>
      <c r="B68" s="2301"/>
      <c r="C68" s="2290"/>
      <c r="D68" s="2552"/>
      <c r="E68" s="2146"/>
      <c r="F68" s="2303"/>
      <c r="G68" s="2051"/>
      <c r="H68" s="2295"/>
      <c r="I68" s="2496"/>
      <c r="J68" s="348" t="s">
        <v>23</v>
      </c>
      <c r="K68" s="363">
        <f>K67</f>
        <v>105.4</v>
      </c>
      <c r="L68" s="363">
        <f>L67</f>
        <v>105.4</v>
      </c>
      <c r="M68" s="342"/>
      <c r="N68" s="345"/>
      <c r="O68" s="363">
        <f>SUM(O67)</f>
        <v>104.8</v>
      </c>
      <c r="P68" s="342">
        <f>SUM(P67)</f>
        <v>104.8</v>
      </c>
      <c r="Q68" s="341">
        <f>SUM(Q67)</f>
        <v>80</v>
      </c>
      <c r="R68" s="345"/>
      <c r="S68" s="350">
        <f>SUM(S67)</f>
        <v>105</v>
      </c>
      <c r="T68" s="341">
        <f>SUM(T67)</f>
        <v>105</v>
      </c>
      <c r="U68" s="2127"/>
      <c r="V68" s="947"/>
      <c r="W68" s="947"/>
      <c r="X68" s="948"/>
    </row>
    <row r="69" spans="1:24" ht="28.5" customHeight="1" x14ac:dyDescent="0.2">
      <c r="A69" s="2204" t="s">
        <v>20</v>
      </c>
      <c r="B69" s="1412" t="s">
        <v>24</v>
      </c>
      <c r="C69" s="2280" t="s">
        <v>26</v>
      </c>
      <c r="D69" s="2555"/>
      <c r="E69" s="2258" t="s">
        <v>45</v>
      </c>
      <c r="F69" s="2260"/>
      <c r="G69" s="2265" t="s">
        <v>21</v>
      </c>
      <c r="H69" s="2142">
        <v>2</v>
      </c>
      <c r="I69" s="2540" t="s">
        <v>164</v>
      </c>
      <c r="J69" s="921" t="s">
        <v>22</v>
      </c>
      <c r="K69" s="783">
        <f>L69+N69</f>
        <v>136.69999999999999</v>
      </c>
      <c r="L69" s="773">
        <v>136.69999999999999</v>
      </c>
      <c r="M69" s="773"/>
      <c r="N69" s="784"/>
      <c r="O69" s="49">
        <f>P69+R69</f>
        <v>136.69999999999999</v>
      </c>
      <c r="P69" s="43">
        <v>136.69999999999999</v>
      </c>
      <c r="Q69" s="43"/>
      <c r="R69" s="44"/>
      <c r="S69" s="22">
        <v>140</v>
      </c>
      <c r="T69" s="19">
        <v>140</v>
      </c>
      <c r="U69" s="949" t="s">
        <v>315</v>
      </c>
      <c r="V69" s="944">
        <v>180</v>
      </c>
      <c r="W69" s="1422">
        <v>180</v>
      </c>
      <c r="X69" s="740">
        <v>180</v>
      </c>
    </row>
    <row r="70" spans="1:24" ht="13.5" thickBot="1" x14ac:dyDescent="0.25">
      <c r="A70" s="2206"/>
      <c r="B70" s="1413"/>
      <c r="C70" s="2281"/>
      <c r="D70" s="2556"/>
      <c r="E70" s="2259"/>
      <c r="F70" s="2261"/>
      <c r="G70" s="2266"/>
      <c r="H70" s="2143"/>
      <c r="I70" s="2541"/>
      <c r="J70" s="1398" t="s">
        <v>23</v>
      </c>
      <c r="K70" s="367">
        <f>L70+N70</f>
        <v>136.69999999999999</v>
      </c>
      <c r="L70" s="370">
        <f>SUM(L69)</f>
        <v>136.69999999999999</v>
      </c>
      <c r="M70" s="367"/>
      <c r="N70" s="387"/>
      <c r="O70" s="371">
        <f>SUM(O69)</f>
        <v>136.69999999999999</v>
      </c>
      <c r="P70" s="370">
        <f>SUM(P69)</f>
        <v>136.69999999999999</v>
      </c>
      <c r="Q70" s="367"/>
      <c r="R70" s="368"/>
      <c r="S70" s="350">
        <f>SUM(S69)</f>
        <v>140</v>
      </c>
      <c r="T70" s="351">
        <f>SUM(T69)</f>
        <v>140</v>
      </c>
      <c r="U70" s="950"/>
      <c r="V70" s="951"/>
      <c r="W70" s="907"/>
      <c r="X70" s="1453"/>
    </row>
    <row r="71" spans="1:24" ht="21" customHeight="1" x14ac:dyDescent="0.2">
      <c r="A71" s="2271" t="s">
        <v>20</v>
      </c>
      <c r="B71" s="2167" t="s">
        <v>24</v>
      </c>
      <c r="C71" s="2277" t="s">
        <v>28</v>
      </c>
      <c r="D71" s="2493"/>
      <c r="E71" s="2258" t="s">
        <v>325</v>
      </c>
      <c r="F71" s="2260" t="s">
        <v>126</v>
      </c>
      <c r="G71" s="2265" t="s">
        <v>21</v>
      </c>
      <c r="H71" s="2140">
        <v>2</v>
      </c>
      <c r="I71" s="2498" t="s">
        <v>165</v>
      </c>
      <c r="J71" s="715" t="s">
        <v>25</v>
      </c>
      <c r="K71" s="777">
        <f>L71+N71</f>
        <v>31</v>
      </c>
      <c r="L71" s="778"/>
      <c r="M71" s="788"/>
      <c r="N71" s="784">
        <v>31</v>
      </c>
      <c r="O71" s="897">
        <f>P71+R71</f>
        <v>133.5</v>
      </c>
      <c r="P71" s="898">
        <v>102.5</v>
      </c>
      <c r="Q71" s="898">
        <v>78.3</v>
      </c>
      <c r="R71" s="899">
        <v>31</v>
      </c>
      <c r="S71" s="900">
        <v>102.5</v>
      </c>
      <c r="T71" s="899"/>
      <c r="U71" s="226" t="s">
        <v>66</v>
      </c>
      <c r="V71" s="153">
        <v>2</v>
      </c>
      <c r="W71" s="153">
        <v>1</v>
      </c>
      <c r="X71" s="906"/>
    </row>
    <row r="72" spans="1:24" ht="21" customHeight="1" x14ac:dyDescent="0.2">
      <c r="A72" s="2205"/>
      <c r="B72" s="2209"/>
      <c r="C72" s="2278"/>
      <c r="D72" s="2497"/>
      <c r="E72" s="2313"/>
      <c r="F72" s="2312"/>
      <c r="G72" s="2311"/>
      <c r="H72" s="2289"/>
      <c r="I72" s="2499"/>
      <c r="J72" s="130"/>
      <c r="K72" s="779"/>
      <c r="L72" s="780"/>
      <c r="M72" s="896"/>
      <c r="N72" s="901"/>
      <c r="O72" s="894"/>
      <c r="P72" s="895"/>
      <c r="Q72" s="895"/>
      <c r="R72" s="569"/>
      <c r="S72" s="903"/>
      <c r="T72" s="902"/>
      <c r="U72" s="952"/>
      <c r="V72" s="205"/>
      <c r="W72" s="205"/>
      <c r="X72" s="740"/>
    </row>
    <row r="73" spans="1:24" ht="13.5" thickBot="1" x14ac:dyDescent="0.25">
      <c r="A73" s="2291"/>
      <c r="B73" s="2301"/>
      <c r="C73" s="2290"/>
      <c r="D73" s="2552"/>
      <c r="E73" s="2418"/>
      <c r="F73" s="2553"/>
      <c r="G73" s="2554"/>
      <c r="H73" s="2419"/>
      <c r="I73" s="2500"/>
      <c r="J73" s="348" t="s">
        <v>23</v>
      </c>
      <c r="K73" s="387">
        <f t="shared" ref="K73:T73" si="15">K71</f>
        <v>31</v>
      </c>
      <c r="L73" s="387">
        <f t="shared" si="15"/>
        <v>0</v>
      </c>
      <c r="M73" s="387">
        <f t="shared" si="15"/>
        <v>0</v>
      </c>
      <c r="N73" s="387">
        <f t="shared" si="15"/>
        <v>31</v>
      </c>
      <c r="O73" s="371">
        <f t="shared" si="15"/>
        <v>133.5</v>
      </c>
      <c r="P73" s="387">
        <f t="shared" si="15"/>
        <v>102.5</v>
      </c>
      <c r="Q73" s="387">
        <f t="shared" si="15"/>
        <v>78.3</v>
      </c>
      <c r="R73" s="368">
        <f t="shared" si="15"/>
        <v>31</v>
      </c>
      <c r="S73" s="365">
        <f t="shared" si="15"/>
        <v>102.5</v>
      </c>
      <c r="T73" s="367">
        <f t="shared" si="15"/>
        <v>0</v>
      </c>
      <c r="U73" s="1449"/>
      <c r="V73" s="947"/>
      <c r="W73" s="947"/>
      <c r="X73" s="948"/>
    </row>
    <row r="74" spans="1:24" ht="39.75" customHeight="1" x14ac:dyDescent="0.2">
      <c r="A74" s="2271" t="s">
        <v>20</v>
      </c>
      <c r="B74" s="2167" t="s">
        <v>24</v>
      </c>
      <c r="C74" s="2277" t="s">
        <v>29</v>
      </c>
      <c r="D74" s="2493"/>
      <c r="E74" s="2258" t="s">
        <v>127</v>
      </c>
      <c r="F74" s="2260"/>
      <c r="G74" s="2265" t="s">
        <v>21</v>
      </c>
      <c r="H74" s="2140">
        <v>2</v>
      </c>
      <c r="I74" s="2498" t="s">
        <v>165</v>
      </c>
      <c r="J74" s="720" t="s">
        <v>25</v>
      </c>
      <c r="K74" s="774">
        <f>L74+N74</f>
        <v>992.1</v>
      </c>
      <c r="L74" s="286">
        <v>992.1</v>
      </c>
      <c r="M74" s="785"/>
      <c r="N74" s="786"/>
      <c r="O74" s="270">
        <f>P74+R74</f>
        <v>1279.8</v>
      </c>
      <c r="P74" s="285">
        <v>1279.8</v>
      </c>
      <c r="Q74" s="286">
        <v>977.1</v>
      </c>
      <c r="R74" s="287"/>
      <c r="S74" s="10">
        <v>1313.3</v>
      </c>
      <c r="T74" s="10">
        <v>1313.3</v>
      </c>
      <c r="U74" s="904" t="s">
        <v>66</v>
      </c>
      <c r="V74" s="905">
        <v>34</v>
      </c>
      <c r="W74" s="905">
        <v>34</v>
      </c>
      <c r="X74" s="906">
        <v>34</v>
      </c>
    </row>
    <row r="75" spans="1:24" ht="13.5" thickBot="1" x14ac:dyDescent="0.25">
      <c r="A75" s="2291"/>
      <c r="B75" s="2301"/>
      <c r="C75" s="2290"/>
      <c r="D75" s="2552"/>
      <c r="E75" s="2418"/>
      <c r="F75" s="2553"/>
      <c r="G75" s="2554"/>
      <c r="H75" s="2419"/>
      <c r="I75" s="2500"/>
      <c r="J75" s="348" t="s">
        <v>23</v>
      </c>
      <c r="K75" s="387">
        <f>K74</f>
        <v>992.1</v>
      </c>
      <c r="L75" s="387">
        <f>L74</f>
        <v>992.1</v>
      </c>
      <c r="M75" s="370"/>
      <c r="N75" s="368"/>
      <c r="O75" s="387">
        <f>SUM(O74)</f>
        <v>1279.8</v>
      </c>
      <c r="P75" s="370">
        <f>SUM(P74)</f>
        <v>1279.8</v>
      </c>
      <c r="Q75" s="367">
        <f>Q74</f>
        <v>977.1</v>
      </c>
      <c r="R75" s="368"/>
      <c r="S75" s="350">
        <f>SUM(S74)</f>
        <v>1313.3</v>
      </c>
      <c r="T75" s="341">
        <f>SUM(T74)</f>
        <v>1313.3</v>
      </c>
      <c r="U75" s="1449"/>
      <c r="V75" s="947"/>
      <c r="W75" s="947"/>
      <c r="X75" s="948"/>
    </row>
    <row r="76" spans="1:24" ht="17.25" customHeight="1" x14ac:dyDescent="0.2">
      <c r="A76" s="2204" t="s">
        <v>20</v>
      </c>
      <c r="B76" s="1412" t="s">
        <v>24</v>
      </c>
      <c r="C76" s="2280" t="s">
        <v>30</v>
      </c>
      <c r="D76" s="2555"/>
      <c r="E76" s="2258" t="s">
        <v>274</v>
      </c>
      <c r="F76" s="2260"/>
      <c r="G76" s="2265" t="s">
        <v>21</v>
      </c>
      <c r="H76" s="2142">
        <v>2</v>
      </c>
      <c r="I76" s="2540" t="s">
        <v>165</v>
      </c>
      <c r="J76" s="921" t="s">
        <v>22</v>
      </c>
      <c r="K76" s="783">
        <f>L76+N76</f>
        <v>30</v>
      </c>
      <c r="L76" s="773">
        <v>30</v>
      </c>
      <c r="M76" s="773"/>
      <c r="N76" s="784"/>
      <c r="O76" s="49">
        <f>P76+R76</f>
        <v>30</v>
      </c>
      <c r="P76" s="43">
        <v>30</v>
      </c>
      <c r="Q76" s="43"/>
      <c r="R76" s="44"/>
      <c r="S76" s="22">
        <v>30</v>
      </c>
      <c r="T76" s="19">
        <v>30</v>
      </c>
      <c r="U76" s="949" t="s">
        <v>144</v>
      </c>
      <c r="V76" s="746">
        <v>5000</v>
      </c>
      <c r="W76" s="953">
        <v>5000</v>
      </c>
      <c r="X76" s="1051">
        <v>5000</v>
      </c>
    </row>
    <row r="77" spans="1:24" ht="13.5" thickBot="1" x14ac:dyDescent="0.25">
      <c r="A77" s="2206"/>
      <c r="B77" s="1413"/>
      <c r="C77" s="2281"/>
      <c r="D77" s="2556"/>
      <c r="E77" s="2259"/>
      <c r="F77" s="2261"/>
      <c r="G77" s="2266"/>
      <c r="H77" s="2143"/>
      <c r="I77" s="2541"/>
      <c r="J77" s="1398" t="s">
        <v>23</v>
      </c>
      <c r="K77" s="367">
        <f>L77+N77</f>
        <v>30</v>
      </c>
      <c r="L77" s="370">
        <f>SUM(L76)</f>
        <v>30</v>
      </c>
      <c r="M77" s="367"/>
      <c r="N77" s="387"/>
      <c r="O77" s="371">
        <f>SUM(O76)</f>
        <v>30</v>
      </c>
      <c r="P77" s="370">
        <f>SUM(P76)</f>
        <v>30</v>
      </c>
      <c r="Q77" s="367"/>
      <c r="R77" s="368"/>
      <c r="S77" s="350">
        <f>SUM(S76)</f>
        <v>30</v>
      </c>
      <c r="T77" s="351">
        <f>SUM(T76)</f>
        <v>30</v>
      </c>
      <c r="U77" s="950"/>
      <c r="V77" s="951"/>
      <c r="W77" s="907"/>
      <c r="X77" s="1453"/>
    </row>
    <row r="78" spans="1:24" ht="42.75" customHeight="1" x14ac:dyDescent="0.2">
      <c r="A78" s="2204" t="s">
        <v>20</v>
      </c>
      <c r="B78" s="1412" t="s">
        <v>24</v>
      </c>
      <c r="C78" s="2280" t="s">
        <v>55</v>
      </c>
      <c r="D78" s="2555"/>
      <c r="E78" s="2258" t="s">
        <v>284</v>
      </c>
      <c r="F78" s="2260" t="s">
        <v>136</v>
      </c>
      <c r="G78" s="2265" t="s">
        <v>21</v>
      </c>
      <c r="H78" s="2142">
        <v>2</v>
      </c>
      <c r="I78" s="2540" t="s">
        <v>165</v>
      </c>
      <c r="J78" s="921" t="s">
        <v>22</v>
      </c>
      <c r="K78" s="783">
        <f>L78+N78</f>
        <v>218.2</v>
      </c>
      <c r="L78" s="773">
        <v>218.2</v>
      </c>
      <c r="M78" s="773"/>
      <c r="N78" s="784"/>
      <c r="O78" s="49">
        <f>P78+R78</f>
        <v>438.6</v>
      </c>
      <c r="P78" s="43">
        <f>220.4+218.2</f>
        <v>438.6</v>
      </c>
      <c r="Q78" s="43"/>
      <c r="R78" s="44"/>
      <c r="S78" s="22">
        <v>295.5</v>
      </c>
      <c r="T78" s="19"/>
      <c r="U78" s="2034" t="s">
        <v>221</v>
      </c>
      <c r="V78" s="944">
        <f>24+29</f>
        <v>53</v>
      </c>
      <c r="W78" s="1422">
        <v>25</v>
      </c>
      <c r="X78" s="740"/>
    </row>
    <row r="79" spans="1:24" ht="13.5" thickBot="1" x14ac:dyDescent="0.25">
      <c r="A79" s="2206"/>
      <c r="B79" s="1413"/>
      <c r="C79" s="2281"/>
      <c r="D79" s="2556"/>
      <c r="E79" s="2259"/>
      <c r="F79" s="2261"/>
      <c r="G79" s="2266"/>
      <c r="H79" s="2143"/>
      <c r="I79" s="2541"/>
      <c r="J79" s="1398" t="s">
        <v>23</v>
      </c>
      <c r="K79" s="367">
        <f>L79+N79</f>
        <v>218.2</v>
      </c>
      <c r="L79" s="370">
        <f>SUM(L78)</f>
        <v>218.2</v>
      </c>
      <c r="M79" s="367"/>
      <c r="N79" s="387"/>
      <c r="O79" s="371">
        <f>SUM(O78)</f>
        <v>438.6</v>
      </c>
      <c r="P79" s="370">
        <f>SUM(P78)</f>
        <v>438.6</v>
      </c>
      <c r="Q79" s="367"/>
      <c r="R79" s="368"/>
      <c r="S79" s="350">
        <f>SUM(S78)</f>
        <v>295.5</v>
      </c>
      <c r="T79" s="351"/>
      <c r="U79" s="2035"/>
      <c r="V79" s="951"/>
      <c r="W79" s="907"/>
      <c r="X79" s="1453"/>
    </row>
    <row r="80" spans="1:24" ht="13.5" thickBot="1" x14ac:dyDescent="0.25">
      <c r="A80" s="15" t="s">
        <v>20</v>
      </c>
      <c r="B80" s="14" t="s">
        <v>24</v>
      </c>
      <c r="C80" s="2154" t="s">
        <v>27</v>
      </c>
      <c r="D80" s="2154"/>
      <c r="E80" s="2154"/>
      <c r="F80" s="2154"/>
      <c r="G80" s="2154"/>
      <c r="H80" s="2154"/>
      <c r="I80" s="2154"/>
      <c r="J80" s="2154"/>
      <c r="K80" s="1">
        <f>K70+K75+K73+K68+K66+K77+K79</f>
        <v>1578.8000000000002</v>
      </c>
      <c r="L80" s="1">
        <f>L70+L75+L73+L68+L66+L77+L79</f>
        <v>1547.8000000000002</v>
      </c>
      <c r="M80" s="1">
        <f>M70+M75+M73+M68+M66+M77+M79</f>
        <v>0</v>
      </c>
      <c r="N80" s="1">
        <f>N70+N75+N73+N68+N66+N77+N79</f>
        <v>31</v>
      </c>
      <c r="O80" s="1">
        <f>P80+R80</f>
        <v>2188.8000000000002</v>
      </c>
      <c r="P80" s="1">
        <f>P70+P75+P73+P68+P66+P77+P79</f>
        <v>2157.8000000000002</v>
      </c>
      <c r="Q80" s="1">
        <f>Q70+Q75+Q73+Q68+Q66+Q77+Q79</f>
        <v>1135.4000000000001</v>
      </c>
      <c r="R80" s="1">
        <f t="shared" ref="R80:T80" si="16">R70+R75+R73+R68+R66+R77+R79</f>
        <v>31</v>
      </c>
      <c r="S80" s="30">
        <f>S70+S75+S73+S68+S66+S77+S79</f>
        <v>2051.6999999999998</v>
      </c>
      <c r="T80" s="30">
        <f t="shared" si="16"/>
        <v>1653.7</v>
      </c>
      <c r="U80" s="1405"/>
      <c r="V80" s="2410"/>
      <c r="W80" s="2410"/>
      <c r="X80" s="2411"/>
    </row>
    <row r="81" spans="1:24" ht="13.5" thickBot="1" x14ac:dyDescent="0.25">
      <c r="A81" s="15" t="s">
        <v>20</v>
      </c>
      <c r="B81" s="2412" t="s">
        <v>10</v>
      </c>
      <c r="C81" s="2199"/>
      <c r="D81" s="2199"/>
      <c r="E81" s="2199"/>
      <c r="F81" s="2199"/>
      <c r="G81" s="2199"/>
      <c r="H81" s="2199"/>
      <c r="I81" s="2199"/>
      <c r="J81" s="2199"/>
      <c r="K81" s="20">
        <f>K80+K63</f>
        <v>189582.59999999998</v>
      </c>
      <c r="L81" s="20">
        <f>L80+L63</f>
        <v>189373.19999999995</v>
      </c>
      <c r="M81" s="20">
        <f>M80+M63</f>
        <v>126925.30000000002</v>
      </c>
      <c r="N81" s="20">
        <f>N80+N63</f>
        <v>209.4</v>
      </c>
      <c r="O81" s="20">
        <f>P81+R81</f>
        <v>192092.79999999996</v>
      </c>
      <c r="P81" s="20">
        <f t="shared" ref="P81:T81" si="17">P80+P63</f>
        <v>191792.59999999995</v>
      </c>
      <c r="Q81" s="20">
        <f t="shared" si="17"/>
        <v>128493.80000000002</v>
      </c>
      <c r="R81" s="20">
        <f t="shared" si="17"/>
        <v>300.2</v>
      </c>
      <c r="S81" s="954">
        <f t="shared" si="17"/>
        <v>206919.6</v>
      </c>
      <c r="T81" s="954">
        <f t="shared" si="17"/>
        <v>206348.1</v>
      </c>
      <c r="U81" s="2413"/>
      <c r="V81" s="2414"/>
      <c r="W81" s="2414"/>
      <c r="X81" s="2415"/>
    </row>
    <row r="82" spans="1:24" ht="13.5" thickBot="1" x14ac:dyDescent="0.25">
      <c r="A82" s="1399" t="s">
        <v>24</v>
      </c>
      <c r="B82" s="2308" t="s">
        <v>56</v>
      </c>
      <c r="C82" s="2309"/>
      <c r="D82" s="2309"/>
      <c r="E82" s="2309"/>
      <c r="F82" s="2309"/>
      <c r="G82" s="2309"/>
      <c r="H82" s="2309"/>
      <c r="I82" s="2309"/>
      <c r="J82" s="2309"/>
      <c r="K82" s="2309"/>
      <c r="L82" s="2309"/>
      <c r="M82" s="2309"/>
      <c r="N82" s="2309"/>
      <c r="O82" s="2309"/>
      <c r="P82" s="2309"/>
      <c r="Q82" s="2309"/>
      <c r="R82" s="2309"/>
      <c r="S82" s="2309"/>
      <c r="T82" s="2309"/>
      <c r="U82" s="2309"/>
      <c r="V82" s="2309"/>
      <c r="W82" s="2309"/>
      <c r="X82" s="2310"/>
    </row>
    <row r="83" spans="1:24" ht="13.5" thickBot="1" x14ac:dyDescent="0.25">
      <c r="A83" s="23" t="s">
        <v>24</v>
      </c>
      <c r="B83" s="17" t="s">
        <v>20</v>
      </c>
      <c r="C83" s="2409" t="s">
        <v>47</v>
      </c>
      <c r="D83" s="2062"/>
      <c r="E83" s="2062"/>
      <c r="F83" s="2062"/>
      <c r="G83" s="2062"/>
      <c r="H83" s="2062"/>
      <c r="I83" s="2062"/>
      <c r="J83" s="2062"/>
      <c r="K83" s="2062"/>
      <c r="L83" s="2062"/>
      <c r="M83" s="2062"/>
      <c r="N83" s="2062"/>
      <c r="O83" s="2062"/>
      <c r="P83" s="2062"/>
      <c r="Q83" s="2062"/>
      <c r="R83" s="2062"/>
      <c r="S83" s="2062"/>
      <c r="T83" s="2062"/>
      <c r="U83" s="2062"/>
      <c r="V83" s="2062"/>
      <c r="W83" s="2062"/>
      <c r="X83" s="2063"/>
    </row>
    <row r="84" spans="1:24" ht="27" customHeight="1" x14ac:dyDescent="0.2">
      <c r="A84" s="1410" t="s">
        <v>24</v>
      </c>
      <c r="B84" s="1412" t="s">
        <v>20</v>
      </c>
      <c r="C84" s="1441" t="s">
        <v>20</v>
      </c>
      <c r="D84" s="195"/>
      <c r="E84" s="141" t="s">
        <v>57</v>
      </c>
      <c r="F84" s="298"/>
      <c r="G84" s="1407"/>
      <c r="H84" s="138"/>
      <c r="I84" s="29"/>
      <c r="J84" s="1467"/>
      <c r="K84" s="475"/>
      <c r="L84" s="256"/>
      <c r="M84" s="256"/>
      <c r="N84" s="760"/>
      <c r="O84" s="50"/>
      <c r="P84" s="51"/>
      <c r="Q84" s="51"/>
      <c r="R84" s="52"/>
      <c r="S84" s="22"/>
      <c r="T84" s="42"/>
      <c r="U84" s="78"/>
      <c r="V84" s="742"/>
      <c r="W84" s="98"/>
      <c r="X84" s="743"/>
    </row>
    <row r="85" spans="1:24" s="4" customFormat="1" ht="12.75" customHeight="1" x14ac:dyDescent="0.2">
      <c r="A85" s="1424"/>
      <c r="B85" s="1392"/>
      <c r="C85" s="1402"/>
      <c r="D85" s="197" t="s">
        <v>20</v>
      </c>
      <c r="E85" s="2245" t="s">
        <v>242</v>
      </c>
      <c r="F85" s="1440" t="s">
        <v>4</v>
      </c>
      <c r="G85" s="1403" t="s">
        <v>21</v>
      </c>
      <c r="H85" s="261">
        <v>5</v>
      </c>
      <c r="I85" s="2471" t="s">
        <v>161</v>
      </c>
      <c r="J85" s="24" t="s">
        <v>22</v>
      </c>
      <c r="K85" s="781">
        <f>L85+N85</f>
        <v>114.3</v>
      </c>
      <c r="L85" s="763"/>
      <c r="M85" s="763"/>
      <c r="N85" s="763">
        <v>114.3</v>
      </c>
      <c r="O85" s="178">
        <f>P85+R85</f>
        <v>921.4</v>
      </c>
      <c r="P85" s="160"/>
      <c r="Q85" s="160"/>
      <c r="R85" s="179">
        <f>108.4+813</f>
        <v>921.4</v>
      </c>
      <c r="S85" s="135"/>
      <c r="T85" s="38"/>
      <c r="U85" s="2267" t="s">
        <v>106</v>
      </c>
      <c r="V85" s="164"/>
      <c r="W85" s="99"/>
      <c r="X85" s="112"/>
    </row>
    <row r="86" spans="1:24" s="4" customFormat="1" x14ac:dyDescent="0.2">
      <c r="A86" s="1424"/>
      <c r="B86" s="1392"/>
      <c r="C86" s="1402"/>
      <c r="D86" s="196"/>
      <c r="E86" s="2246"/>
      <c r="F86" s="1469"/>
      <c r="G86" s="1408"/>
      <c r="H86" s="262"/>
      <c r="I86" s="2472"/>
      <c r="J86" s="430" t="s">
        <v>6</v>
      </c>
      <c r="K86" s="982">
        <f>L86+N86</f>
        <v>1178.9000000000001</v>
      </c>
      <c r="L86" s="765">
        <v>23</v>
      </c>
      <c r="M86" s="765">
        <v>18.5</v>
      </c>
      <c r="N86" s="765">
        <v>1155.9000000000001</v>
      </c>
      <c r="O86" s="228">
        <f>P86+R86</f>
        <v>1102.9000000000001</v>
      </c>
      <c r="P86" s="47">
        <v>17.399999999999999</v>
      </c>
      <c r="Q86" s="47">
        <v>13.3</v>
      </c>
      <c r="R86" s="53">
        <v>1085.5</v>
      </c>
      <c r="S86" s="135"/>
      <c r="T86" s="38"/>
      <c r="U86" s="2268"/>
      <c r="V86" s="744"/>
      <c r="W86" s="100"/>
      <c r="X86" s="113"/>
    </row>
    <row r="87" spans="1:24" s="4" customFormat="1" x14ac:dyDescent="0.2">
      <c r="A87" s="1424"/>
      <c r="B87" s="1392"/>
      <c r="C87" s="1402"/>
      <c r="D87" s="196"/>
      <c r="E87" s="2246"/>
      <c r="F87" s="1469"/>
      <c r="G87" s="1408"/>
      <c r="H87" s="262"/>
      <c r="I87" s="2472"/>
      <c r="J87" s="431"/>
      <c r="K87" s="292"/>
      <c r="L87" s="782"/>
      <c r="M87" s="782"/>
      <c r="N87" s="782"/>
      <c r="O87" s="56"/>
      <c r="P87" s="477"/>
      <c r="Q87" s="477"/>
      <c r="R87" s="155"/>
      <c r="S87" s="591"/>
      <c r="T87" s="10"/>
      <c r="U87" s="2268"/>
      <c r="V87" s="955">
        <v>100</v>
      </c>
      <c r="W87" s="956"/>
      <c r="X87" s="113"/>
    </row>
    <row r="88" spans="1:24" s="4" customFormat="1" x14ac:dyDescent="0.2">
      <c r="A88" s="1424"/>
      <c r="B88" s="1392"/>
      <c r="C88" s="1402"/>
      <c r="D88" s="198"/>
      <c r="E88" s="2247"/>
      <c r="F88" s="1454"/>
      <c r="G88" s="1443"/>
      <c r="H88" s="173"/>
      <c r="I88" s="2473"/>
      <c r="J88" s="414" t="s">
        <v>23</v>
      </c>
      <c r="K88" s="384">
        <f>SUM(K85:K87)</f>
        <v>1293.2</v>
      </c>
      <c r="L88" s="383">
        <f>SUM(L85:L87)</f>
        <v>23</v>
      </c>
      <c r="M88" s="383">
        <f>SUM(M85:M87)</f>
        <v>18.5</v>
      </c>
      <c r="N88" s="356">
        <f>SUM(N85:N87)</f>
        <v>1270.2</v>
      </c>
      <c r="O88" s="384">
        <f>P88+R88</f>
        <v>2024.3000000000002</v>
      </c>
      <c r="P88" s="383">
        <f t="shared" ref="P88:Q88" si="18">SUM(P85:P87)</f>
        <v>17.399999999999999</v>
      </c>
      <c r="Q88" s="383">
        <f t="shared" si="18"/>
        <v>13.3</v>
      </c>
      <c r="R88" s="407">
        <f>SUM(R85:R87)</f>
        <v>2006.9</v>
      </c>
      <c r="S88" s="914"/>
      <c r="T88" s="407"/>
      <c r="U88" s="79"/>
      <c r="V88" s="101"/>
      <c r="W88" s="102"/>
      <c r="X88" s="114"/>
    </row>
    <row r="89" spans="1:24" s="4" customFormat="1" x14ac:dyDescent="0.2">
      <c r="A89" s="1424"/>
      <c r="B89" s="1392"/>
      <c r="C89" s="1402"/>
      <c r="D89" s="197" t="s">
        <v>24</v>
      </c>
      <c r="E89" s="2245" t="s">
        <v>81</v>
      </c>
      <c r="F89" s="1469" t="s">
        <v>4</v>
      </c>
      <c r="G89" s="1408" t="s">
        <v>21</v>
      </c>
      <c r="H89" s="262">
        <v>5</v>
      </c>
      <c r="I89" s="2471" t="s">
        <v>161</v>
      </c>
      <c r="J89" s="431" t="s">
        <v>53</v>
      </c>
      <c r="K89" s="781"/>
      <c r="L89" s="763"/>
      <c r="M89" s="763"/>
      <c r="N89" s="763"/>
      <c r="O89" s="178"/>
      <c r="P89" s="160"/>
      <c r="Q89" s="160"/>
      <c r="R89" s="179"/>
      <c r="S89" s="135"/>
      <c r="T89" s="38"/>
      <c r="U89" s="2262"/>
      <c r="V89" s="164"/>
      <c r="W89" s="99"/>
      <c r="X89" s="112"/>
    </row>
    <row r="90" spans="1:24" s="4" customFormat="1" x14ac:dyDescent="0.2">
      <c r="A90" s="1424"/>
      <c r="B90" s="1392"/>
      <c r="C90" s="1402"/>
      <c r="D90" s="196"/>
      <c r="E90" s="2246"/>
      <c r="F90" s="1469"/>
      <c r="G90" s="1408"/>
      <c r="H90" s="262"/>
      <c r="I90" s="2472"/>
      <c r="J90" s="431" t="s">
        <v>7</v>
      </c>
      <c r="K90" s="781">
        <f>L90+N90</f>
        <v>56.9</v>
      </c>
      <c r="L90" s="763"/>
      <c r="M90" s="763"/>
      <c r="N90" s="763">
        <v>56.9</v>
      </c>
      <c r="O90" s="178"/>
      <c r="P90" s="160"/>
      <c r="Q90" s="160"/>
      <c r="R90" s="179"/>
      <c r="S90" s="135"/>
      <c r="T90" s="38"/>
      <c r="U90" s="2263"/>
      <c r="V90" s="744"/>
      <c r="W90" s="100"/>
      <c r="X90" s="113"/>
    </row>
    <row r="91" spans="1:24" s="4" customFormat="1" x14ac:dyDescent="0.2">
      <c r="A91" s="1424"/>
      <c r="B91" s="1392"/>
      <c r="C91" s="1402"/>
      <c r="D91" s="196"/>
      <c r="E91" s="2246"/>
      <c r="F91" s="1469"/>
      <c r="G91" s="1408"/>
      <c r="H91" s="262"/>
      <c r="I91" s="2472"/>
      <c r="J91" s="24" t="s">
        <v>5</v>
      </c>
      <c r="K91" s="781"/>
      <c r="L91" s="763"/>
      <c r="M91" s="763"/>
      <c r="N91" s="763"/>
      <c r="O91" s="178"/>
      <c r="P91" s="160"/>
      <c r="Q91" s="160"/>
      <c r="R91" s="179"/>
      <c r="S91" s="137"/>
      <c r="T91" s="36"/>
      <c r="U91" s="2264"/>
      <c r="V91" s="744"/>
      <c r="W91" s="100"/>
      <c r="X91" s="113"/>
    </row>
    <row r="92" spans="1:24" s="4" customFormat="1" x14ac:dyDescent="0.2">
      <c r="A92" s="1424"/>
      <c r="B92" s="1392"/>
      <c r="C92" s="1402"/>
      <c r="D92" s="196"/>
      <c r="E92" s="2246"/>
      <c r="F92" s="1469"/>
      <c r="G92" s="1408"/>
      <c r="H92" s="262"/>
      <c r="I92" s="2472"/>
      <c r="J92" s="24" t="s">
        <v>6</v>
      </c>
      <c r="K92" s="781">
        <f>L92+N92</f>
        <v>539.70000000000005</v>
      </c>
      <c r="L92" s="763">
        <v>5</v>
      </c>
      <c r="M92" s="763">
        <v>3.8</v>
      </c>
      <c r="N92" s="763">
        <v>534.70000000000005</v>
      </c>
      <c r="O92" s="178"/>
      <c r="P92" s="160"/>
      <c r="Q92" s="160"/>
      <c r="R92" s="179"/>
      <c r="S92" s="591"/>
      <c r="T92" s="10"/>
      <c r="U92" s="2264"/>
      <c r="V92" s="955"/>
      <c r="W92" s="956"/>
      <c r="X92" s="113"/>
    </row>
    <row r="93" spans="1:24" s="4" customFormat="1" x14ac:dyDescent="0.2">
      <c r="A93" s="1424"/>
      <c r="B93" s="1392"/>
      <c r="C93" s="1402"/>
      <c r="D93" s="198"/>
      <c r="E93" s="192"/>
      <c r="F93" s="1469"/>
      <c r="G93" s="1408"/>
      <c r="H93" s="262"/>
      <c r="I93" s="2473"/>
      <c r="J93" s="414" t="s">
        <v>23</v>
      </c>
      <c r="K93" s="384">
        <f>SUM(K89:K92)</f>
        <v>596.6</v>
      </c>
      <c r="L93" s="383">
        <f>SUM(L89:L92)</f>
        <v>5</v>
      </c>
      <c r="M93" s="383">
        <f>SUM(M89:M92)</f>
        <v>3.8</v>
      </c>
      <c r="N93" s="356">
        <f>SUM(N89:N92)</f>
        <v>591.6</v>
      </c>
      <c r="O93" s="408"/>
      <c r="P93" s="357"/>
      <c r="Q93" s="357"/>
      <c r="R93" s="409"/>
      <c r="S93" s="914"/>
      <c r="T93" s="407"/>
      <c r="U93" s="79"/>
      <c r="V93" s="101"/>
      <c r="W93" s="102"/>
      <c r="X93" s="114"/>
    </row>
    <row r="94" spans="1:24" s="4" customFormat="1" ht="15.75" customHeight="1" x14ac:dyDescent="0.2">
      <c r="A94" s="1424"/>
      <c r="B94" s="1392"/>
      <c r="C94" s="1402"/>
      <c r="D94" s="197" t="s">
        <v>26</v>
      </c>
      <c r="E94" s="2245" t="s">
        <v>141</v>
      </c>
      <c r="F94" s="1440" t="s">
        <v>4</v>
      </c>
      <c r="G94" s="1403" t="s">
        <v>21</v>
      </c>
      <c r="H94" s="261">
        <v>5</v>
      </c>
      <c r="I94" s="2471" t="s">
        <v>161</v>
      </c>
      <c r="J94" s="24" t="s">
        <v>22</v>
      </c>
      <c r="K94" s="781">
        <f>L94+N94</f>
        <v>168.4</v>
      </c>
      <c r="L94" s="763"/>
      <c r="M94" s="763"/>
      <c r="N94" s="763">
        <v>168.4</v>
      </c>
      <c r="O94" s="178"/>
      <c r="P94" s="160"/>
      <c r="Q94" s="160"/>
      <c r="R94" s="179"/>
      <c r="S94" s="135"/>
      <c r="T94" s="38"/>
      <c r="U94" s="2147"/>
      <c r="V94" s="2136"/>
      <c r="W94" s="2136"/>
      <c r="X94" s="184"/>
    </row>
    <row r="95" spans="1:24" s="4" customFormat="1" x14ac:dyDescent="0.2">
      <c r="A95" s="1424"/>
      <c r="B95" s="1392"/>
      <c r="C95" s="161"/>
      <c r="D95" s="196"/>
      <c r="E95" s="2246"/>
      <c r="F95" s="1469"/>
      <c r="G95" s="1408"/>
      <c r="H95" s="262"/>
      <c r="I95" s="2472"/>
      <c r="J95" s="414" t="s">
        <v>23</v>
      </c>
      <c r="K95" s="408">
        <f>SUM(K94:K94)</f>
        <v>168.4</v>
      </c>
      <c r="L95" s="357"/>
      <c r="M95" s="357"/>
      <c r="N95" s="357">
        <f>SUM(N94:N94)</f>
        <v>168.4</v>
      </c>
      <c r="O95" s="408"/>
      <c r="P95" s="357"/>
      <c r="Q95" s="357"/>
      <c r="R95" s="409"/>
      <c r="S95" s="914"/>
      <c r="T95" s="407"/>
      <c r="U95" s="2484"/>
      <c r="V95" s="2137"/>
      <c r="W95" s="2137"/>
      <c r="X95" s="186"/>
    </row>
    <row r="96" spans="1:24" x14ac:dyDescent="0.2">
      <c r="A96" s="1424"/>
      <c r="B96" s="1392"/>
      <c r="C96" s="1432"/>
      <c r="D96" s="828" t="s">
        <v>28</v>
      </c>
      <c r="E96" s="2245" t="s">
        <v>69</v>
      </c>
      <c r="F96" s="521" t="s">
        <v>4</v>
      </c>
      <c r="G96" s="1403" t="s">
        <v>21</v>
      </c>
      <c r="H96" s="261">
        <v>5</v>
      </c>
      <c r="I96" s="2471" t="s">
        <v>161</v>
      </c>
      <c r="J96" s="1475" t="s">
        <v>5</v>
      </c>
      <c r="K96" s="278">
        <f>L96+N96</f>
        <v>0.2</v>
      </c>
      <c r="L96" s="293"/>
      <c r="M96" s="293"/>
      <c r="N96" s="782">
        <v>0.2</v>
      </c>
      <c r="O96" s="56"/>
      <c r="P96" s="57"/>
      <c r="Q96" s="57"/>
      <c r="R96" s="155"/>
      <c r="S96" s="564"/>
      <c r="T96" s="10"/>
      <c r="U96" s="2268"/>
      <c r="V96" s="164"/>
      <c r="W96" s="99"/>
      <c r="X96" s="110"/>
    </row>
    <row r="97" spans="1:24" x14ac:dyDescent="0.2">
      <c r="A97" s="1424"/>
      <c r="B97" s="1392"/>
      <c r="C97" s="1432"/>
      <c r="D97" s="516"/>
      <c r="E97" s="2246"/>
      <c r="F97" s="1469"/>
      <c r="G97" s="1408"/>
      <c r="H97" s="262"/>
      <c r="I97" s="2472"/>
      <c r="J97" s="1475" t="s">
        <v>6</v>
      </c>
      <c r="K97" s="278">
        <f>L97+N97</f>
        <v>1.3</v>
      </c>
      <c r="L97" s="293"/>
      <c r="M97" s="293"/>
      <c r="N97" s="782">
        <v>1.3</v>
      </c>
      <c r="O97" s="56"/>
      <c r="P97" s="57"/>
      <c r="Q97" s="57"/>
      <c r="R97" s="155"/>
      <c r="S97" s="67"/>
      <c r="T97" s="36"/>
      <c r="U97" s="2268"/>
      <c r="V97" s="744"/>
      <c r="W97" s="100"/>
      <c r="X97" s="688"/>
    </row>
    <row r="98" spans="1:24" x14ac:dyDescent="0.2">
      <c r="A98" s="1424"/>
      <c r="B98" s="1392"/>
      <c r="C98" s="1437"/>
      <c r="D98" s="573"/>
      <c r="E98" s="574"/>
      <c r="F98" s="1454"/>
      <c r="G98" s="1443"/>
      <c r="H98" s="173"/>
      <c r="I98" s="2473"/>
      <c r="J98" s="575" t="s">
        <v>23</v>
      </c>
      <c r="K98" s="410">
        <f>L98+N98</f>
        <v>1.5</v>
      </c>
      <c r="L98" s="576"/>
      <c r="M98" s="576"/>
      <c r="N98" s="794">
        <f>SUM(N96:N97)</f>
        <v>1.5</v>
      </c>
      <c r="O98" s="410"/>
      <c r="P98" s="576"/>
      <c r="Q98" s="576"/>
      <c r="R98" s="411"/>
      <c r="S98" s="957"/>
      <c r="T98" s="958"/>
      <c r="U98" s="2474"/>
      <c r="V98" s="165"/>
      <c r="W98" s="104"/>
      <c r="X98" s="111"/>
    </row>
    <row r="99" spans="1:24" x14ac:dyDescent="0.2">
      <c r="A99" s="1424"/>
      <c r="B99" s="1392"/>
      <c r="C99" s="1402"/>
      <c r="D99" s="197" t="s">
        <v>29</v>
      </c>
      <c r="E99" s="2245" t="s">
        <v>210</v>
      </c>
      <c r="F99" s="1440" t="s">
        <v>4</v>
      </c>
      <c r="G99" s="1403" t="s">
        <v>21</v>
      </c>
      <c r="H99" s="261">
        <v>5</v>
      </c>
      <c r="I99" s="2471" t="s">
        <v>161</v>
      </c>
      <c r="J99" s="12" t="s">
        <v>53</v>
      </c>
      <c r="K99" s="781"/>
      <c r="L99" s="280"/>
      <c r="M99" s="280"/>
      <c r="N99" s="763"/>
      <c r="O99" s="178"/>
      <c r="P99" s="177"/>
      <c r="Q99" s="177"/>
      <c r="R99" s="179"/>
      <c r="S99" s="32"/>
      <c r="T99" s="38"/>
      <c r="U99" s="2256"/>
      <c r="V99" s="164"/>
      <c r="W99" s="99"/>
      <c r="X99" s="110"/>
    </row>
    <row r="100" spans="1:24" x14ac:dyDescent="0.2">
      <c r="A100" s="1424"/>
      <c r="B100" s="1392"/>
      <c r="C100" s="1402"/>
      <c r="D100" s="196"/>
      <c r="E100" s="2246"/>
      <c r="F100" s="1469"/>
      <c r="G100" s="1408"/>
      <c r="H100" s="262"/>
      <c r="I100" s="2472"/>
      <c r="J100" s="12" t="s">
        <v>5</v>
      </c>
      <c r="K100" s="278">
        <f t="shared" ref="K100:K107" si="19">L100+N100</f>
        <v>11.7</v>
      </c>
      <c r="L100" s="782"/>
      <c r="M100" s="782"/>
      <c r="N100" s="782">
        <v>11.7</v>
      </c>
      <c r="O100" s="56"/>
      <c r="P100" s="477"/>
      <c r="Q100" s="477"/>
      <c r="R100" s="155"/>
      <c r="S100" s="67"/>
      <c r="T100" s="36"/>
      <c r="U100" s="2257"/>
      <c r="V100" s="744"/>
      <c r="W100" s="100"/>
      <c r="X100" s="688"/>
    </row>
    <row r="101" spans="1:24" x14ac:dyDescent="0.2">
      <c r="A101" s="1424"/>
      <c r="B101" s="1392"/>
      <c r="C101" s="1402"/>
      <c r="D101" s="196"/>
      <c r="E101" s="2246"/>
      <c r="F101" s="1469"/>
      <c r="G101" s="1408"/>
      <c r="H101" s="262"/>
      <c r="I101" s="2472"/>
      <c r="J101" s="1468" t="s">
        <v>6</v>
      </c>
      <c r="K101" s="781">
        <f t="shared" si="19"/>
        <v>66.099999999999994</v>
      </c>
      <c r="L101" s="763"/>
      <c r="M101" s="763"/>
      <c r="N101" s="763">
        <v>66.099999999999994</v>
      </c>
      <c r="O101" s="178"/>
      <c r="P101" s="160"/>
      <c r="Q101" s="160"/>
      <c r="R101" s="179"/>
      <c r="S101" s="32"/>
      <c r="T101" s="38"/>
      <c r="U101" s="2257"/>
      <c r="V101" s="744"/>
      <c r="W101" s="100"/>
      <c r="X101" s="688"/>
    </row>
    <row r="102" spans="1:24" ht="17.25" customHeight="1" x14ac:dyDescent="0.2">
      <c r="A102" s="1424"/>
      <c r="B102" s="1392"/>
      <c r="C102" s="161"/>
      <c r="D102" s="198"/>
      <c r="E102" s="2247"/>
      <c r="F102" s="1454"/>
      <c r="G102" s="1443"/>
      <c r="H102" s="173"/>
      <c r="I102" s="2473"/>
      <c r="J102" s="433" t="s">
        <v>23</v>
      </c>
      <c r="K102" s="408">
        <f t="shared" si="19"/>
        <v>77.8</v>
      </c>
      <c r="L102" s="357"/>
      <c r="M102" s="357"/>
      <c r="N102" s="357">
        <f>SUM(N99:N101)</f>
        <v>77.8</v>
      </c>
      <c r="O102" s="408"/>
      <c r="P102" s="357"/>
      <c r="Q102" s="357"/>
      <c r="R102" s="409"/>
      <c r="S102" s="914"/>
      <c r="T102" s="407"/>
      <c r="U102" s="2270"/>
      <c r="V102" s="165"/>
      <c r="W102" s="104"/>
      <c r="X102" s="111"/>
    </row>
    <row r="103" spans="1:24" s="4" customFormat="1" x14ac:dyDescent="0.2">
      <c r="A103" s="1424"/>
      <c r="B103" s="1392"/>
      <c r="C103" s="1402"/>
      <c r="D103" s="197" t="s">
        <v>30</v>
      </c>
      <c r="E103" s="2245" t="s">
        <v>71</v>
      </c>
      <c r="F103" s="1440" t="s">
        <v>4</v>
      </c>
      <c r="G103" s="1403" t="s">
        <v>21</v>
      </c>
      <c r="H103" s="261">
        <v>5</v>
      </c>
      <c r="I103" s="2471" t="s">
        <v>161</v>
      </c>
      <c r="J103" s="430" t="s">
        <v>53</v>
      </c>
      <c r="K103" s="271">
        <f t="shared" si="19"/>
        <v>47</v>
      </c>
      <c r="L103" s="765"/>
      <c r="M103" s="765"/>
      <c r="N103" s="763">
        <v>47</v>
      </c>
      <c r="O103" s="228"/>
      <c r="P103" s="47"/>
      <c r="Q103" s="47"/>
      <c r="R103" s="179"/>
      <c r="S103" s="32"/>
      <c r="T103" s="38"/>
      <c r="U103" s="2304"/>
      <c r="V103" s="1999"/>
      <c r="W103" s="128"/>
      <c r="X103" s="112"/>
    </row>
    <row r="104" spans="1:24" s="4" customFormat="1" x14ac:dyDescent="0.2">
      <c r="A104" s="1424"/>
      <c r="B104" s="1392"/>
      <c r="C104" s="1402"/>
      <c r="D104" s="196"/>
      <c r="E104" s="2246"/>
      <c r="F104" s="1469"/>
      <c r="G104" s="1408"/>
      <c r="H104" s="262"/>
      <c r="I104" s="2472"/>
      <c r="J104" s="24" t="s">
        <v>5</v>
      </c>
      <c r="K104" s="781">
        <f t="shared" si="19"/>
        <v>15.8</v>
      </c>
      <c r="L104" s="763"/>
      <c r="M104" s="763"/>
      <c r="N104" s="763">
        <v>15.8</v>
      </c>
      <c r="O104" s="178"/>
      <c r="P104" s="160"/>
      <c r="Q104" s="160"/>
      <c r="R104" s="179"/>
      <c r="S104" s="67"/>
      <c r="T104" s="36"/>
      <c r="U104" s="2305"/>
      <c r="V104" s="2000"/>
      <c r="W104" s="93"/>
      <c r="X104" s="113"/>
    </row>
    <row r="105" spans="1:24" s="4" customFormat="1" x14ac:dyDescent="0.2">
      <c r="A105" s="1424"/>
      <c r="B105" s="1392"/>
      <c r="C105" s="1402"/>
      <c r="D105" s="196"/>
      <c r="E105" s="2246"/>
      <c r="F105" s="1469"/>
      <c r="G105" s="1408"/>
      <c r="H105" s="262"/>
      <c r="I105" s="2472"/>
      <c r="J105" s="24" t="s">
        <v>6</v>
      </c>
      <c r="K105" s="781">
        <f t="shared" si="19"/>
        <v>89.2</v>
      </c>
      <c r="L105" s="763"/>
      <c r="M105" s="763"/>
      <c r="N105" s="763">
        <v>89.2</v>
      </c>
      <c r="O105" s="178"/>
      <c r="P105" s="160"/>
      <c r="Q105" s="160"/>
      <c r="R105" s="179"/>
      <c r="S105" s="67"/>
      <c r="T105" s="36"/>
      <c r="U105" s="2305"/>
      <c r="V105" s="2000"/>
      <c r="W105" s="100"/>
      <c r="X105" s="113"/>
    </row>
    <row r="106" spans="1:24" s="4" customFormat="1" x14ac:dyDescent="0.2">
      <c r="A106" s="1424"/>
      <c r="B106" s="1392"/>
      <c r="C106" s="161"/>
      <c r="D106" s="196"/>
      <c r="E106" s="546"/>
      <c r="F106" s="1469"/>
      <c r="G106" s="1408"/>
      <c r="H106" s="262"/>
      <c r="I106" s="2472"/>
      <c r="J106" s="649" t="s">
        <v>23</v>
      </c>
      <c r="K106" s="650">
        <f t="shared" si="19"/>
        <v>152</v>
      </c>
      <c r="L106" s="651"/>
      <c r="M106" s="651"/>
      <c r="N106" s="651">
        <f>SUM(N103:N105)</f>
        <v>152</v>
      </c>
      <c r="O106" s="650"/>
      <c r="P106" s="651"/>
      <c r="Q106" s="651"/>
      <c r="R106" s="702"/>
      <c r="S106" s="920"/>
      <c r="T106" s="919"/>
      <c r="U106" s="2305"/>
      <c r="V106" s="2000"/>
      <c r="W106" s="657"/>
      <c r="X106" s="113"/>
    </row>
    <row r="107" spans="1:24" ht="19.5" customHeight="1" x14ac:dyDescent="0.2">
      <c r="A107" s="1424"/>
      <c r="B107" s="1392"/>
      <c r="C107" s="1432"/>
      <c r="D107" s="828" t="s">
        <v>55</v>
      </c>
      <c r="E107" s="2245" t="s">
        <v>211</v>
      </c>
      <c r="F107" s="703" t="s">
        <v>4</v>
      </c>
      <c r="G107" s="1403" t="s">
        <v>21</v>
      </c>
      <c r="H107" s="261">
        <v>5</v>
      </c>
      <c r="I107" s="2478" t="s">
        <v>161</v>
      </c>
      <c r="J107" s="190" t="s">
        <v>53</v>
      </c>
      <c r="K107" s="271">
        <f t="shared" si="19"/>
        <v>24.8</v>
      </c>
      <c r="L107" s="253"/>
      <c r="M107" s="253"/>
      <c r="N107" s="765">
        <v>24.8</v>
      </c>
      <c r="O107" s="228"/>
      <c r="P107" s="176"/>
      <c r="Q107" s="176"/>
      <c r="R107" s="179"/>
      <c r="S107" s="67"/>
      <c r="T107" s="36"/>
      <c r="U107" s="1991"/>
      <c r="V107" s="1415"/>
      <c r="W107" s="183"/>
      <c r="X107" s="184"/>
    </row>
    <row r="108" spans="1:24" ht="19.5" customHeight="1" x14ac:dyDescent="0.2">
      <c r="A108" s="1424"/>
      <c r="B108" s="1392"/>
      <c r="C108" s="1432"/>
      <c r="D108" s="516"/>
      <c r="E108" s="2246"/>
      <c r="F108" s="1440" t="s">
        <v>58</v>
      </c>
      <c r="G108" s="1408"/>
      <c r="H108" s="262"/>
      <c r="I108" s="2479"/>
      <c r="J108" s="190"/>
      <c r="K108" s="271"/>
      <c r="L108" s="253"/>
      <c r="M108" s="253"/>
      <c r="N108" s="765"/>
      <c r="O108" s="228"/>
      <c r="P108" s="176"/>
      <c r="Q108" s="176"/>
      <c r="R108" s="179"/>
      <c r="S108" s="564"/>
      <c r="T108" s="10"/>
      <c r="U108" s="1992"/>
      <c r="V108" s="185"/>
      <c r="W108" s="1426"/>
      <c r="X108" s="186"/>
    </row>
    <row r="109" spans="1:24" x14ac:dyDescent="0.2">
      <c r="A109" s="1424"/>
      <c r="B109" s="1392"/>
      <c r="C109" s="1437"/>
      <c r="D109" s="516"/>
      <c r="E109" s="2246"/>
      <c r="F109" s="1469"/>
      <c r="G109" s="1443"/>
      <c r="H109" s="173"/>
      <c r="I109" s="2483"/>
      <c r="J109" s="392" t="s">
        <v>23</v>
      </c>
      <c r="K109" s="412">
        <f>L109+N109</f>
        <v>24.8</v>
      </c>
      <c r="L109" s="344"/>
      <c r="M109" s="344"/>
      <c r="N109" s="415">
        <f>SUM(N107:N108)</f>
        <v>24.8</v>
      </c>
      <c r="O109" s="412"/>
      <c r="P109" s="344"/>
      <c r="Q109" s="344"/>
      <c r="R109" s="413"/>
      <c r="S109" s="416"/>
      <c r="T109" s="413"/>
      <c r="U109" s="187"/>
      <c r="V109" s="1416"/>
      <c r="W109" s="1426"/>
      <c r="X109" s="186"/>
    </row>
    <row r="110" spans="1:24" ht="13.5" thickBot="1" x14ac:dyDescent="0.25">
      <c r="A110" s="1411"/>
      <c r="B110" s="1413"/>
      <c r="C110" s="1397"/>
      <c r="D110" s="199"/>
      <c r="E110" s="194"/>
      <c r="F110" s="2501"/>
      <c r="G110" s="2501"/>
      <c r="H110" s="2501"/>
      <c r="I110" s="2502"/>
      <c r="J110" s="162" t="s">
        <v>23</v>
      </c>
      <c r="K110" s="240">
        <f>K95+K109+K93+K88+K106+K102+K98</f>
        <v>2314.3000000000002</v>
      </c>
      <c r="L110" s="201">
        <f>L95+L109+L93+L88+L106+L102+L98</f>
        <v>28</v>
      </c>
      <c r="M110" s="201">
        <f>M95+M109+M93+M88+M106+M102+M98</f>
        <v>22.3</v>
      </c>
      <c r="N110" s="200">
        <f>N95+N109+N93+N88+N106+N102+N98</f>
        <v>2286.3000000000002</v>
      </c>
      <c r="O110" s="169">
        <f>P110+R110</f>
        <v>2024.3000000000002</v>
      </c>
      <c r="P110" s="200">
        <f t="shared" ref="P110:Q110" si="20">P95+P109+P93+P88+P106+P102+P98</f>
        <v>17.399999999999999</v>
      </c>
      <c r="Q110" s="201">
        <f t="shared" si="20"/>
        <v>13.3</v>
      </c>
      <c r="R110" s="806">
        <f>R95+R109+R93+R88+R106+R102+R98</f>
        <v>2006.9</v>
      </c>
      <c r="S110" s="169"/>
      <c r="T110" s="845"/>
      <c r="U110" s="959"/>
      <c r="V110" s="90"/>
      <c r="W110" s="1490"/>
      <c r="X110" s="714"/>
    </row>
    <row r="111" spans="1:24" ht="27" customHeight="1" x14ac:dyDescent="0.2">
      <c r="A111" s="1410" t="s">
        <v>24</v>
      </c>
      <c r="B111" s="1412" t="s">
        <v>20</v>
      </c>
      <c r="C111" s="1441" t="s">
        <v>24</v>
      </c>
      <c r="D111" s="195"/>
      <c r="E111" s="1148" t="s">
        <v>246</v>
      </c>
      <c r="F111" s="1137" t="s">
        <v>58</v>
      </c>
      <c r="G111" s="1407" t="s">
        <v>21</v>
      </c>
      <c r="H111" s="138">
        <v>5</v>
      </c>
      <c r="I111" s="1467" t="s">
        <v>161</v>
      </c>
      <c r="J111" s="1467"/>
      <c r="K111" s="475"/>
      <c r="L111" s="256"/>
      <c r="M111" s="256"/>
      <c r="N111" s="760"/>
      <c r="O111" s="50"/>
      <c r="P111" s="51"/>
      <c r="Q111" s="51"/>
      <c r="R111" s="52"/>
      <c r="S111" s="22"/>
      <c r="T111" s="42"/>
      <c r="U111" s="78"/>
      <c r="V111" s="742"/>
      <c r="W111" s="98"/>
      <c r="X111" s="743"/>
    </row>
    <row r="112" spans="1:24" ht="31.5" customHeight="1" x14ac:dyDescent="0.2">
      <c r="A112" s="1424"/>
      <c r="B112" s="1392"/>
      <c r="C112" s="1432"/>
      <c r="D112" s="828" t="s">
        <v>20</v>
      </c>
      <c r="E112" s="2400" t="s">
        <v>330</v>
      </c>
      <c r="F112" s="522"/>
      <c r="H112" s="688"/>
      <c r="I112" s="2479"/>
      <c r="J112" s="190" t="s">
        <v>22</v>
      </c>
      <c r="K112" s="271"/>
      <c r="L112" s="253"/>
      <c r="M112" s="253"/>
      <c r="N112" s="765"/>
      <c r="O112" s="228">
        <f>P112+R112</f>
        <v>6</v>
      </c>
      <c r="P112" s="176"/>
      <c r="Q112" s="176"/>
      <c r="R112" s="179">
        <v>6</v>
      </c>
      <c r="S112" s="67">
        <v>145.9</v>
      </c>
      <c r="T112" s="36"/>
      <c r="U112" s="815" t="s">
        <v>295</v>
      </c>
      <c r="V112" s="1415">
        <v>1</v>
      </c>
      <c r="W112" s="1415"/>
      <c r="X112" s="816"/>
    </row>
    <row r="113" spans="1:24" ht="30" customHeight="1" x14ac:dyDescent="0.2">
      <c r="A113" s="1424"/>
      <c r="B113" s="1392"/>
      <c r="C113" s="1432"/>
      <c r="D113" s="516"/>
      <c r="E113" s="2282"/>
      <c r="F113" s="1461"/>
      <c r="G113" s="1408"/>
      <c r="H113" s="262"/>
      <c r="I113" s="2479"/>
      <c r="J113" s="190" t="s">
        <v>6</v>
      </c>
      <c r="K113" s="271"/>
      <c r="L113" s="253"/>
      <c r="M113" s="253"/>
      <c r="N113" s="765"/>
      <c r="O113" s="228"/>
      <c r="P113" s="176"/>
      <c r="Q113" s="176"/>
      <c r="R113" s="179"/>
      <c r="S113" s="67"/>
      <c r="T113" s="36">
        <v>2061.1</v>
      </c>
      <c r="U113" s="815" t="s">
        <v>249</v>
      </c>
      <c r="V113" s="1415"/>
      <c r="W113" s="1415">
        <v>1</v>
      </c>
      <c r="X113" s="816"/>
    </row>
    <row r="114" spans="1:24" ht="30.75" customHeight="1" thickBot="1" x14ac:dyDescent="0.25">
      <c r="A114" s="1424"/>
      <c r="B114" s="1392"/>
      <c r="C114" s="1437"/>
      <c r="D114" s="516"/>
      <c r="E114" s="2282"/>
      <c r="F114" s="1469"/>
      <c r="G114" s="1443"/>
      <c r="H114" s="173"/>
      <c r="I114" s="2483"/>
      <c r="J114" s="392" t="s">
        <v>23</v>
      </c>
      <c r="K114" s="412"/>
      <c r="L114" s="344"/>
      <c r="M114" s="344"/>
      <c r="N114" s="415"/>
      <c r="O114" s="412">
        <f>P114+R114</f>
        <v>6</v>
      </c>
      <c r="P114" s="344"/>
      <c r="Q114" s="344"/>
      <c r="R114" s="413">
        <f>SUM(R112:R113)</f>
        <v>6</v>
      </c>
      <c r="S114" s="416">
        <f>SUM(S112:S113)</f>
        <v>145.9</v>
      </c>
      <c r="T114" s="413">
        <f>SUM(T112:T113)</f>
        <v>2061.1</v>
      </c>
      <c r="U114" s="1131" t="s">
        <v>168</v>
      </c>
      <c r="V114" s="1132"/>
      <c r="W114" s="1132"/>
      <c r="X114" s="1133">
        <v>75</v>
      </c>
    </row>
    <row r="115" spans="1:24" ht="29.25" customHeight="1" x14ac:dyDescent="0.2">
      <c r="A115" s="1953"/>
      <c r="B115" s="1954"/>
      <c r="C115" s="1949"/>
      <c r="D115" s="828" t="s">
        <v>24</v>
      </c>
      <c r="E115" s="2400" t="s">
        <v>329</v>
      </c>
      <c r="F115" s="521"/>
      <c r="G115" s="1948"/>
      <c r="H115" s="261"/>
      <c r="I115" s="2478"/>
      <c r="J115" s="814" t="s">
        <v>22</v>
      </c>
      <c r="K115" s="766"/>
      <c r="L115" s="761"/>
      <c r="M115" s="761"/>
      <c r="N115" s="762"/>
      <c r="O115" s="50">
        <f>P115+R115</f>
        <v>6</v>
      </c>
      <c r="P115" s="51"/>
      <c r="Q115" s="51"/>
      <c r="R115" s="1135">
        <v>6</v>
      </c>
      <c r="S115" s="213">
        <v>145.9</v>
      </c>
      <c r="T115" s="960"/>
      <c r="U115" s="1130" t="s">
        <v>295</v>
      </c>
      <c r="V115" s="1951">
        <v>1</v>
      </c>
      <c r="W115" s="1951"/>
      <c r="X115" s="817"/>
    </row>
    <row r="116" spans="1:24" ht="28.5" customHeight="1" x14ac:dyDescent="0.2">
      <c r="A116" s="1953"/>
      <c r="B116" s="1954"/>
      <c r="C116" s="1949"/>
      <c r="D116" s="516"/>
      <c r="E116" s="2282"/>
      <c r="F116" s="1955"/>
      <c r="G116" s="1952"/>
      <c r="H116" s="262"/>
      <c r="I116" s="2479"/>
      <c r="J116" s="190" t="s">
        <v>6</v>
      </c>
      <c r="K116" s="271"/>
      <c r="L116" s="253"/>
      <c r="M116" s="253"/>
      <c r="N116" s="765"/>
      <c r="O116" s="228"/>
      <c r="P116" s="176"/>
      <c r="Q116" s="176"/>
      <c r="R116" s="179"/>
      <c r="S116" s="67"/>
      <c r="T116" s="36">
        <v>2061.1</v>
      </c>
      <c r="U116" s="815" t="s">
        <v>249</v>
      </c>
      <c r="V116" s="1950"/>
      <c r="W116" s="1950">
        <v>1</v>
      </c>
      <c r="X116" s="816"/>
    </row>
    <row r="117" spans="1:24" ht="28.5" customHeight="1" x14ac:dyDescent="0.2">
      <c r="A117" s="1005"/>
      <c r="B117" s="1006"/>
      <c r="C117" s="1956"/>
      <c r="D117" s="829"/>
      <c r="E117" s="2408"/>
      <c r="F117" s="1946"/>
      <c r="G117" s="1947"/>
      <c r="H117" s="173"/>
      <c r="I117" s="2483"/>
      <c r="J117" s="433" t="s">
        <v>23</v>
      </c>
      <c r="K117" s="384"/>
      <c r="L117" s="383"/>
      <c r="M117" s="383"/>
      <c r="N117" s="356"/>
      <c r="O117" s="384">
        <f>P117+R117</f>
        <v>6</v>
      </c>
      <c r="P117" s="383"/>
      <c r="Q117" s="383"/>
      <c r="R117" s="407">
        <f>SUM(R115:R116)</f>
        <v>6</v>
      </c>
      <c r="S117" s="914">
        <f>SUM(S115:S116)</f>
        <v>145.9</v>
      </c>
      <c r="T117" s="407">
        <f>SUM(T115:T116)</f>
        <v>2061.1</v>
      </c>
      <c r="U117" s="1145" t="s">
        <v>168</v>
      </c>
      <c r="V117" s="1146"/>
      <c r="W117" s="1146"/>
      <c r="X117" s="1147">
        <v>75</v>
      </c>
    </row>
    <row r="118" spans="1:24" ht="27" customHeight="1" x14ac:dyDescent="0.2">
      <c r="A118" s="1424"/>
      <c r="B118" s="1392"/>
      <c r="C118" s="1432"/>
      <c r="D118" s="516" t="s">
        <v>26</v>
      </c>
      <c r="E118" s="2282" t="s">
        <v>328</v>
      </c>
      <c r="F118" s="522"/>
      <c r="G118" s="1408"/>
      <c r="H118" s="262"/>
      <c r="I118" s="2479"/>
      <c r="J118" s="812" t="s">
        <v>22</v>
      </c>
      <c r="K118" s="813"/>
      <c r="L118" s="265"/>
      <c r="M118" s="265"/>
      <c r="N118" s="764"/>
      <c r="O118" s="54">
        <f>P118+R118</f>
        <v>6</v>
      </c>
      <c r="P118" s="204"/>
      <c r="Q118" s="204"/>
      <c r="R118" s="155">
        <v>6</v>
      </c>
      <c r="S118" s="565">
        <v>145.9</v>
      </c>
      <c r="T118" s="21"/>
      <c r="U118" s="1130" t="s">
        <v>295</v>
      </c>
      <c r="V118" s="1416">
        <v>1</v>
      </c>
      <c r="W118" s="1416"/>
      <c r="X118" s="817"/>
    </row>
    <row r="119" spans="1:24" ht="28.5" customHeight="1" x14ac:dyDescent="0.2">
      <c r="A119" s="1424"/>
      <c r="B119" s="1392"/>
      <c r="C119" s="1432"/>
      <c r="D119" s="516"/>
      <c r="E119" s="2282"/>
      <c r="F119" s="1138"/>
      <c r="G119" s="1408"/>
      <c r="H119" s="262"/>
      <c r="I119" s="2479"/>
      <c r="J119" s="190" t="s">
        <v>6</v>
      </c>
      <c r="K119" s="271"/>
      <c r="L119" s="253"/>
      <c r="M119" s="253"/>
      <c r="N119" s="765"/>
      <c r="O119" s="228"/>
      <c r="P119" s="176"/>
      <c r="Q119" s="176"/>
      <c r="R119" s="179"/>
      <c r="S119" s="67"/>
      <c r="T119" s="36">
        <v>2061.1</v>
      </c>
      <c r="U119" s="815" t="s">
        <v>249</v>
      </c>
      <c r="V119" s="1415"/>
      <c r="W119" s="1415">
        <v>1</v>
      </c>
      <c r="X119" s="816"/>
    </row>
    <row r="120" spans="1:24" ht="29.25" customHeight="1" thickBot="1" x14ac:dyDescent="0.25">
      <c r="A120" s="1424"/>
      <c r="B120" s="1392"/>
      <c r="C120" s="1437"/>
      <c r="D120" s="829"/>
      <c r="E120" s="2408"/>
      <c r="F120" s="1469"/>
      <c r="G120" s="1408"/>
      <c r="H120" s="262"/>
      <c r="I120" s="2479"/>
      <c r="J120" s="348" t="s">
        <v>23</v>
      </c>
      <c r="K120" s="349"/>
      <c r="L120" s="342"/>
      <c r="M120" s="342"/>
      <c r="N120" s="341"/>
      <c r="O120" s="349">
        <f>P120+R120</f>
        <v>6</v>
      </c>
      <c r="P120" s="342"/>
      <c r="Q120" s="342"/>
      <c r="R120" s="351">
        <f>SUM(R118:R119)</f>
        <v>6</v>
      </c>
      <c r="S120" s="350">
        <f>SUM(S118:S119)</f>
        <v>145.9</v>
      </c>
      <c r="T120" s="351">
        <f>SUM(T118:T119)</f>
        <v>2061.1</v>
      </c>
      <c r="U120" s="1131" t="s">
        <v>168</v>
      </c>
      <c r="V120" s="1132"/>
      <c r="W120" s="1132"/>
      <c r="X120" s="1133">
        <v>75</v>
      </c>
    </row>
    <row r="121" spans="1:24" ht="29.25" customHeight="1" x14ac:dyDescent="0.2">
      <c r="A121" s="1424"/>
      <c r="B121" s="1392"/>
      <c r="C121" s="1432"/>
      <c r="D121" s="516" t="s">
        <v>28</v>
      </c>
      <c r="E121" s="2282" t="s">
        <v>327</v>
      </c>
      <c r="F121" s="522"/>
      <c r="G121" s="1408"/>
      <c r="H121" s="262"/>
      <c r="I121" s="2479"/>
      <c r="J121" s="812" t="s">
        <v>22</v>
      </c>
      <c r="K121" s="813"/>
      <c r="L121" s="265"/>
      <c r="M121" s="265"/>
      <c r="N121" s="764"/>
      <c r="O121" s="54">
        <f>P121+R121</f>
        <v>6</v>
      </c>
      <c r="P121" s="204"/>
      <c r="Q121" s="204"/>
      <c r="R121" s="155">
        <v>6</v>
      </c>
      <c r="S121" s="565">
        <v>145.9</v>
      </c>
      <c r="T121" s="21"/>
      <c r="U121" s="1130" t="s">
        <v>295</v>
      </c>
      <c r="V121" s="1416">
        <v>1</v>
      </c>
      <c r="W121" s="1416"/>
      <c r="X121" s="817"/>
    </row>
    <row r="122" spans="1:24" ht="27" customHeight="1" x14ac:dyDescent="0.2">
      <c r="A122" s="1424"/>
      <c r="B122" s="1392"/>
      <c r="C122" s="1432"/>
      <c r="D122" s="516"/>
      <c r="E122" s="2282"/>
      <c r="F122" s="2404"/>
      <c r="G122" s="1408"/>
      <c r="H122" s="262"/>
      <c r="I122" s="2479"/>
      <c r="J122" s="190" t="s">
        <v>53</v>
      </c>
      <c r="K122" s="271"/>
      <c r="L122" s="253"/>
      <c r="M122" s="253"/>
      <c r="N122" s="765"/>
      <c r="O122" s="228"/>
      <c r="P122" s="176"/>
      <c r="Q122" s="176"/>
      <c r="R122" s="179"/>
      <c r="S122" s="564"/>
      <c r="T122" s="10"/>
      <c r="U122" s="815" t="s">
        <v>249</v>
      </c>
      <c r="V122" s="1415"/>
      <c r="W122" s="1415">
        <v>1</v>
      </c>
      <c r="X122" s="816"/>
    </row>
    <row r="123" spans="1:24" ht="15" customHeight="1" x14ac:dyDescent="0.2">
      <c r="A123" s="1424"/>
      <c r="B123" s="1392"/>
      <c r="C123" s="1432"/>
      <c r="D123" s="516"/>
      <c r="E123" s="2282"/>
      <c r="F123" s="2404"/>
      <c r="G123" s="1408"/>
      <c r="H123" s="262"/>
      <c r="I123" s="2479"/>
      <c r="J123" s="190" t="s">
        <v>6</v>
      </c>
      <c r="K123" s="271"/>
      <c r="L123" s="253"/>
      <c r="M123" s="253"/>
      <c r="N123" s="765"/>
      <c r="O123" s="228"/>
      <c r="P123" s="176"/>
      <c r="Q123" s="176"/>
      <c r="R123" s="179"/>
      <c r="S123" s="67"/>
      <c r="T123" s="36">
        <v>2061.1</v>
      </c>
      <c r="U123" s="2147" t="s">
        <v>168</v>
      </c>
      <c r="V123" s="1415"/>
      <c r="W123" s="1415"/>
      <c r="X123" s="816">
        <v>75</v>
      </c>
    </row>
    <row r="124" spans="1:24" ht="15" customHeight="1" thickBot="1" x14ac:dyDescent="0.25">
      <c r="A124" s="1424"/>
      <c r="B124" s="1392"/>
      <c r="C124" s="1437"/>
      <c r="D124" s="516"/>
      <c r="E124" s="2282"/>
      <c r="F124" s="1469"/>
      <c r="G124" s="1443"/>
      <c r="H124" s="173"/>
      <c r="I124" s="2483"/>
      <c r="J124" s="348" t="s">
        <v>23</v>
      </c>
      <c r="K124" s="349"/>
      <c r="L124" s="342"/>
      <c r="M124" s="342"/>
      <c r="N124" s="341"/>
      <c r="O124" s="349">
        <f>P124+R124</f>
        <v>6</v>
      </c>
      <c r="P124" s="342"/>
      <c r="Q124" s="342"/>
      <c r="R124" s="351">
        <f>SUM(R121:R123)</f>
        <v>6</v>
      </c>
      <c r="S124" s="350">
        <f>SUM(S121:S123)</f>
        <v>145.9</v>
      </c>
      <c r="T124" s="351">
        <f>SUM(T121:T123)</f>
        <v>2061.1</v>
      </c>
      <c r="U124" s="2250"/>
      <c r="V124" s="499"/>
      <c r="W124" s="499"/>
      <c r="X124" s="818"/>
    </row>
    <row r="125" spans="1:24" ht="27.75" customHeight="1" x14ac:dyDescent="0.2">
      <c r="A125" s="1424"/>
      <c r="B125" s="1392"/>
      <c r="C125" s="1432"/>
      <c r="D125" s="828" t="s">
        <v>29</v>
      </c>
      <c r="E125" s="2400" t="s">
        <v>338</v>
      </c>
      <c r="F125" s="521"/>
      <c r="G125" s="1403"/>
      <c r="H125" s="261"/>
      <c r="I125" s="2478"/>
      <c r="J125" s="814" t="s">
        <v>22</v>
      </c>
      <c r="K125" s="766"/>
      <c r="L125" s="761"/>
      <c r="M125" s="761"/>
      <c r="N125" s="762"/>
      <c r="O125" s="50">
        <f>P125+R125</f>
        <v>6</v>
      </c>
      <c r="P125" s="51"/>
      <c r="Q125" s="51"/>
      <c r="R125" s="1135">
        <v>6</v>
      </c>
      <c r="S125" s="213"/>
      <c r="T125" s="960"/>
      <c r="U125" s="1130" t="s">
        <v>295</v>
      </c>
      <c r="V125" s="1416">
        <v>1</v>
      </c>
      <c r="W125" s="1416"/>
      <c r="X125" s="817"/>
    </row>
    <row r="126" spans="1:24" ht="29.25" customHeight="1" x14ac:dyDescent="0.2">
      <c r="A126" s="1424"/>
      <c r="B126" s="1392"/>
      <c r="C126" s="1432"/>
      <c r="D126" s="516"/>
      <c r="E126" s="2282"/>
      <c r="F126" s="2404"/>
      <c r="G126" s="1408"/>
      <c r="H126" s="262"/>
      <c r="I126" s="2479"/>
      <c r="J126" s="190" t="s">
        <v>53</v>
      </c>
      <c r="K126" s="271"/>
      <c r="L126" s="253"/>
      <c r="M126" s="253"/>
      <c r="N126" s="765"/>
      <c r="O126" s="228"/>
      <c r="P126" s="176"/>
      <c r="Q126" s="176"/>
      <c r="R126" s="179"/>
      <c r="S126" s="564">
        <v>150</v>
      </c>
      <c r="T126" s="10"/>
      <c r="U126" s="815" t="s">
        <v>249</v>
      </c>
      <c r="V126" s="1415"/>
      <c r="W126" s="1415">
        <v>1</v>
      </c>
      <c r="X126" s="816"/>
    </row>
    <row r="127" spans="1:24" ht="15" customHeight="1" x14ac:dyDescent="0.2">
      <c r="A127" s="1424"/>
      <c r="B127" s="1392"/>
      <c r="C127" s="1432"/>
      <c r="D127" s="516"/>
      <c r="E127" s="2282"/>
      <c r="F127" s="2404"/>
      <c r="G127" s="1408"/>
      <c r="H127" s="262"/>
      <c r="I127" s="2479"/>
      <c r="J127" s="190" t="s">
        <v>6</v>
      </c>
      <c r="K127" s="271"/>
      <c r="L127" s="253"/>
      <c r="M127" s="253"/>
      <c r="N127" s="765"/>
      <c r="O127" s="228"/>
      <c r="P127" s="176"/>
      <c r="Q127" s="176"/>
      <c r="R127" s="179"/>
      <c r="S127" s="67"/>
      <c r="T127" s="36">
        <v>2133</v>
      </c>
      <c r="U127" s="2147" t="s">
        <v>168</v>
      </c>
      <c r="V127" s="1415"/>
      <c r="W127" s="1415"/>
      <c r="X127" s="816">
        <v>75</v>
      </c>
    </row>
    <row r="128" spans="1:24" ht="15" customHeight="1" thickBot="1" x14ac:dyDescent="0.25">
      <c r="A128" s="1424"/>
      <c r="B128" s="1392"/>
      <c r="C128" s="1437"/>
      <c r="D128" s="827"/>
      <c r="E128" s="2282"/>
      <c r="F128" s="1469"/>
      <c r="G128" s="1408"/>
      <c r="H128" s="262"/>
      <c r="I128" s="2479"/>
      <c r="J128" s="348" t="s">
        <v>23</v>
      </c>
      <c r="K128" s="349"/>
      <c r="L128" s="342"/>
      <c r="M128" s="342"/>
      <c r="N128" s="341"/>
      <c r="O128" s="349">
        <f>P128+R128</f>
        <v>6</v>
      </c>
      <c r="P128" s="342"/>
      <c r="Q128" s="342"/>
      <c r="R128" s="351">
        <f>SUM(R125:R127)</f>
        <v>6</v>
      </c>
      <c r="S128" s="350">
        <f>SUM(S125:S127)</f>
        <v>150</v>
      </c>
      <c r="T128" s="351">
        <f>SUM(T125:T127)</f>
        <v>2133</v>
      </c>
      <c r="U128" s="2250"/>
      <c r="V128" s="499"/>
      <c r="W128" s="499"/>
      <c r="X128" s="818"/>
    </row>
    <row r="129" spans="1:24" ht="14.25" customHeight="1" x14ac:dyDescent="0.2">
      <c r="A129" s="1401"/>
      <c r="B129" s="1392"/>
      <c r="C129" s="2068"/>
      <c r="D129" s="2475" t="s">
        <v>30</v>
      </c>
      <c r="E129" s="2405" t="s">
        <v>166</v>
      </c>
      <c r="F129" s="807"/>
      <c r="G129" s="2480"/>
      <c r="H129" s="2407"/>
      <c r="I129" s="2471"/>
      <c r="J129" s="131" t="s">
        <v>22</v>
      </c>
      <c r="K129" s="819"/>
      <c r="L129" s="265"/>
      <c r="M129" s="820"/>
      <c r="N129" s="821"/>
      <c r="O129" s="54"/>
      <c r="P129" s="45"/>
      <c r="Q129" s="204"/>
      <c r="R129" s="59"/>
      <c r="S129" s="10">
        <v>62.3</v>
      </c>
      <c r="T129" s="10"/>
      <c r="U129" s="2485" t="s">
        <v>169</v>
      </c>
      <c r="V129" s="811"/>
      <c r="W129" s="822">
        <v>1</v>
      </c>
      <c r="X129" s="743"/>
    </row>
    <row r="130" spans="1:24" ht="12.75" customHeight="1" x14ac:dyDescent="0.2">
      <c r="A130" s="1401"/>
      <c r="B130" s="1392"/>
      <c r="C130" s="2068"/>
      <c r="D130" s="2476"/>
      <c r="E130" s="2406"/>
      <c r="F130" s="1139"/>
      <c r="G130" s="2275"/>
      <c r="H130" s="2148"/>
      <c r="I130" s="2472"/>
      <c r="J130" s="202" t="s">
        <v>6</v>
      </c>
      <c r="K130" s="767"/>
      <c r="L130" s="280"/>
      <c r="M130" s="768"/>
      <c r="N130" s="769"/>
      <c r="O130" s="178"/>
      <c r="P130" s="48"/>
      <c r="Q130" s="177"/>
      <c r="R130" s="203"/>
      <c r="S130" s="36">
        <v>388.9</v>
      </c>
      <c r="T130" s="36">
        <v>388.9</v>
      </c>
      <c r="U130" s="2486"/>
      <c r="V130" s="165"/>
      <c r="W130" s="100"/>
      <c r="X130" s="688"/>
    </row>
    <row r="131" spans="1:24" ht="14.25" customHeight="1" x14ac:dyDescent="0.2">
      <c r="A131" s="1401"/>
      <c r="B131" s="1392"/>
      <c r="C131" s="2068"/>
      <c r="D131" s="2476"/>
      <c r="E131" s="2477"/>
      <c r="F131" s="808"/>
      <c r="G131" s="2481"/>
      <c r="H131" s="2482"/>
      <c r="I131" s="2473"/>
      <c r="J131" s="809" t="s">
        <v>23</v>
      </c>
      <c r="K131" s="580"/>
      <c r="L131" s="385"/>
      <c r="M131" s="385"/>
      <c r="N131" s="386"/>
      <c r="O131" s="581"/>
      <c r="P131" s="810"/>
      <c r="Q131" s="385"/>
      <c r="R131" s="386"/>
      <c r="S131" s="961">
        <f>SUM(S129:S130)</f>
        <v>451.2</v>
      </c>
      <c r="T131" s="386">
        <f>SUM(T129:T130)</f>
        <v>388.9</v>
      </c>
      <c r="U131" s="2256" t="s">
        <v>168</v>
      </c>
      <c r="V131" s="164"/>
      <c r="W131" s="99">
        <v>50</v>
      </c>
      <c r="X131" s="110">
        <v>50</v>
      </c>
    </row>
    <row r="132" spans="1:24" ht="13.5" thickBot="1" x14ac:dyDescent="0.25">
      <c r="A132" s="1411"/>
      <c r="B132" s="1413"/>
      <c r="C132" s="1465"/>
      <c r="D132" s="2575"/>
      <c r="E132" s="2576"/>
      <c r="F132" s="2576"/>
      <c r="G132" s="2576"/>
      <c r="H132" s="2576"/>
      <c r="I132" s="2577"/>
      <c r="J132" s="801" t="s">
        <v>23</v>
      </c>
      <c r="K132" s="802"/>
      <c r="L132" s="803"/>
      <c r="M132" s="803"/>
      <c r="N132" s="802"/>
      <c r="O132" s="804">
        <f>P132+R132</f>
        <v>30</v>
      </c>
      <c r="P132" s="803"/>
      <c r="Q132" s="803"/>
      <c r="R132" s="805">
        <f>R128+R124+R120+R117+R114+R131</f>
        <v>30</v>
      </c>
      <c r="S132" s="962">
        <f>S128+S124+S120+S117+S114+S131</f>
        <v>1184.8</v>
      </c>
      <c r="T132" s="805">
        <f>T128+T124+T120+T117+T114+T131</f>
        <v>10766.300000000001</v>
      </c>
      <c r="U132" s="1973"/>
      <c r="V132" s="499"/>
      <c r="W132" s="590"/>
      <c r="X132" s="435"/>
    </row>
    <row r="133" spans="1:24" ht="27" customHeight="1" x14ac:dyDescent="0.2">
      <c r="A133" s="1424" t="s">
        <v>24</v>
      </c>
      <c r="B133" s="1392" t="s">
        <v>20</v>
      </c>
      <c r="C133" s="1432" t="s">
        <v>26</v>
      </c>
      <c r="D133" s="516"/>
      <c r="E133" s="142" t="s">
        <v>46</v>
      </c>
      <c r="F133" s="300"/>
      <c r="G133" s="1408"/>
      <c r="H133" s="167"/>
      <c r="I133" s="1468"/>
      <c r="J133" s="1468"/>
      <c r="K133" s="266"/>
      <c r="L133" s="265"/>
      <c r="M133" s="265"/>
      <c r="N133" s="266"/>
      <c r="O133" s="54"/>
      <c r="P133" s="800"/>
      <c r="Q133" s="204"/>
      <c r="R133" s="55"/>
      <c r="S133" s="564"/>
      <c r="T133" s="11"/>
      <c r="U133" s="963"/>
      <c r="V133" s="742"/>
      <c r="W133" s="964"/>
      <c r="X133" s="743"/>
    </row>
    <row r="134" spans="1:24" ht="20.25" customHeight="1" x14ac:dyDescent="0.2">
      <c r="A134" s="1424"/>
      <c r="B134" s="1392"/>
      <c r="C134" s="1432"/>
      <c r="D134" s="516" t="s">
        <v>20</v>
      </c>
      <c r="E134" s="2246" t="s">
        <v>72</v>
      </c>
      <c r="F134" s="300" t="s">
        <v>4</v>
      </c>
      <c r="G134" s="1408" t="s">
        <v>21</v>
      </c>
      <c r="H134" s="167">
        <v>5</v>
      </c>
      <c r="I134" s="2472" t="s">
        <v>161</v>
      </c>
      <c r="J134" s="12" t="s">
        <v>22</v>
      </c>
      <c r="K134" s="269"/>
      <c r="L134" s="280"/>
      <c r="M134" s="280"/>
      <c r="N134" s="269"/>
      <c r="O134" s="781">
        <f>P134+R134</f>
        <v>567.9</v>
      </c>
      <c r="P134" s="279"/>
      <c r="Q134" s="280"/>
      <c r="R134" s="277">
        <v>567.9</v>
      </c>
      <c r="S134" s="67"/>
      <c r="T134" s="36"/>
      <c r="U134" s="2393" t="s">
        <v>159</v>
      </c>
      <c r="V134" s="1463"/>
      <c r="W134" s="128"/>
      <c r="X134" s="110"/>
    </row>
    <row r="135" spans="1:24" s="4" customFormat="1" ht="20.25" customHeight="1" x14ac:dyDescent="0.2">
      <c r="A135" s="1424"/>
      <c r="B135" s="1392"/>
      <c r="C135" s="1402"/>
      <c r="D135" s="196"/>
      <c r="E135" s="2246"/>
      <c r="F135" s="1469"/>
      <c r="G135" s="1408"/>
      <c r="H135" s="262"/>
      <c r="I135" s="2472"/>
      <c r="J135" s="191" t="s">
        <v>53</v>
      </c>
      <c r="K135" s="269">
        <f>L135+N135</f>
        <v>725.7</v>
      </c>
      <c r="L135" s="280"/>
      <c r="M135" s="280"/>
      <c r="N135" s="283">
        <v>725.7</v>
      </c>
      <c r="O135" s="178"/>
      <c r="P135" s="46"/>
      <c r="Q135" s="177"/>
      <c r="R135" s="179"/>
      <c r="S135" s="135"/>
      <c r="T135" s="37"/>
      <c r="U135" s="2394"/>
      <c r="V135" s="1464"/>
      <c r="W135" s="93"/>
      <c r="X135" s="688"/>
    </row>
    <row r="136" spans="1:24" s="4" customFormat="1" ht="20.25" customHeight="1" x14ac:dyDescent="0.2">
      <c r="A136" s="1424"/>
      <c r="B136" s="1392"/>
      <c r="C136" s="1402"/>
      <c r="D136" s="196"/>
      <c r="E136" s="2246"/>
      <c r="F136" s="1469"/>
      <c r="G136" s="1408"/>
      <c r="H136" s="262"/>
      <c r="I136" s="2472"/>
      <c r="J136" s="1473" t="s">
        <v>5</v>
      </c>
      <c r="K136" s="269">
        <f>L136+N136</f>
        <v>38.1</v>
      </c>
      <c r="L136" s="253"/>
      <c r="M136" s="253"/>
      <c r="N136" s="771">
        <v>38.1</v>
      </c>
      <c r="O136" s="228"/>
      <c r="P136" s="189"/>
      <c r="Q136" s="176"/>
      <c r="R136" s="53"/>
      <c r="S136" s="32"/>
      <c r="T136" s="37"/>
      <c r="U136" s="2394"/>
      <c r="V136" s="1464"/>
      <c r="W136" s="93"/>
      <c r="X136" s="688"/>
    </row>
    <row r="137" spans="1:24" s="4" customFormat="1" ht="18" customHeight="1" x14ac:dyDescent="0.2">
      <c r="A137" s="1424"/>
      <c r="B137" s="1392"/>
      <c r="C137" s="1402"/>
      <c r="D137" s="196"/>
      <c r="E137" s="2246"/>
      <c r="F137" s="1469"/>
      <c r="G137" s="1408"/>
      <c r="H137" s="262"/>
      <c r="I137" s="2472"/>
      <c r="J137" s="1473" t="s">
        <v>6</v>
      </c>
      <c r="K137" s="269">
        <f>L137+N137</f>
        <v>216.1</v>
      </c>
      <c r="L137" s="253"/>
      <c r="M137" s="253"/>
      <c r="N137" s="771">
        <v>216.1</v>
      </c>
      <c r="O137" s="228"/>
      <c r="P137" s="189"/>
      <c r="Q137" s="176"/>
      <c r="R137" s="53"/>
      <c r="S137" s="67"/>
      <c r="T137" s="862"/>
      <c r="U137" s="2394"/>
      <c r="V137" s="1464"/>
      <c r="W137" s="93"/>
      <c r="X137" s="688"/>
    </row>
    <row r="138" spans="1:24" s="4" customFormat="1" ht="13.5" thickBot="1" x14ac:dyDescent="0.25">
      <c r="A138" s="1424"/>
      <c r="B138" s="1392"/>
      <c r="C138" s="1402"/>
      <c r="D138" s="198"/>
      <c r="E138" s="144"/>
      <c r="F138" s="1454"/>
      <c r="G138" s="1443"/>
      <c r="H138" s="173"/>
      <c r="I138" s="2473"/>
      <c r="J138" s="348" t="s">
        <v>23</v>
      </c>
      <c r="K138" s="367">
        <f>K137+K136+K135+K133</f>
        <v>979.90000000000009</v>
      </c>
      <c r="L138" s="370"/>
      <c r="M138" s="370"/>
      <c r="N138" s="367">
        <f>N137+N136+N135+N133</f>
        <v>979.90000000000009</v>
      </c>
      <c r="O138" s="369">
        <f>SUM(O134:O137)</f>
        <v>567.9</v>
      </c>
      <c r="P138" s="404"/>
      <c r="Q138" s="370"/>
      <c r="R138" s="368">
        <f>SUM(R133:R137)</f>
        <v>567.9</v>
      </c>
      <c r="S138" s="365"/>
      <c r="T138" s="367"/>
      <c r="U138" s="2491"/>
      <c r="V138" s="965">
        <v>100</v>
      </c>
      <c r="W138" s="966"/>
      <c r="X138" s="111"/>
    </row>
    <row r="139" spans="1:24" ht="25.5" customHeight="1" x14ac:dyDescent="0.2">
      <c r="A139" s="1424"/>
      <c r="B139" s="1392"/>
      <c r="C139" s="1432"/>
      <c r="D139" s="828" t="s">
        <v>24</v>
      </c>
      <c r="E139" s="2245" t="s">
        <v>243</v>
      </c>
      <c r="F139" s="521" t="s">
        <v>4</v>
      </c>
      <c r="G139" s="1408" t="s">
        <v>21</v>
      </c>
      <c r="H139" s="262">
        <v>5</v>
      </c>
      <c r="I139" s="2471" t="s">
        <v>244</v>
      </c>
      <c r="J139" s="1467" t="s">
        <v>22</v>
      </c>
      <c r="K139" s="760">
        <f>L139+N139</f>
        <v>100</v>
      </c>
      <c r="L139" s="761"/>
      <c r="M139" s="761"/>
      <c r="N139" s="760">
        <v>100</v>
      </c>
      <c r="O139" s="50">
        <f>P139+R139</f>
        <v>861.9</v>
      </c>
      <c r="P139" s="1293"/>
      <c r="Q139" s="51"/>
      <c r="R139" s="52">
        <v>861.9</v>
      </c>
      <c r="S139" s="967"/>
      <c r="T139" s="19"/>
      <c r="U139" s="1501" t="s">
        <v>169</v>
      </c>
      <c r="V139" s="811" t="s">
        <v>247</v>
      </c>
      <c r="W139" s="968"/>
      <c r="X139" s="969"/>
    </row>
    <row r="140" spans="1:24" ht="24.75" customHeight="1" thickBot="1" x14ac:dyDescent="0.25">
      <c r="A140" s="1424"/>
      <c r="B140" s="1392"/>
      <c r="C140" s="1432"/>
      <c r="D140" s="516"/>
      <c r="E140" s="2246"/>
      <c r="F140" s="522"/>
      <c r="G140" s="1408"/>
      <c r="H140" s="262"/>
      <c r="I140" s="2472"/>
      <c r="J140" s="348" t="s">
        <v>23</v>
      </c>
      <c r="K140" s="341">
        <f>K139</f>
        <v>100</v>
      </c>
      <c r="L140" s="342"/>
      <c r="M140" s="341"/>
      <c r="N140" s="363">
        <f>N139</f>
        <v>100</v>
      </c>
      <c r="O140" s="349">
        <f>SUM(O139:O139)</f>
        <v>861.9</v>
      </c>
      <c r="P140" s="342"/>
      <c r="Q140" s="341"/>
      <c r="R140" s="342">
        <f t="shared" ref="R140" si="21">SUM(R139:R139)</f>
        <v>861.9</v>
      </c>
      <c r="S140" s="361"/>
      <c r="T140" s="361"/>
      <c r="U140" s="970" t="s">
        <v>248</v>
      </c>
      <c r="V140" s="971">
        <v>100</v>
      </c>
      <c r="W140" s="972"/>
      <c r="X140" s="973"/>
    </row>
    <row r="141" spans="1:24" ht="17.25" customHeight="1" x14ac:dyDescent="0.2">
      <c r="A141" s="1424"/>
      <c r="B141" s="1392"/>
      <c r="C141" s="1432"/>
      <c r="D141" s="828" t="s">
        <v>26</v>
      </c>
      <c r="E141" s="2245" t="s">
        <v>245</v>
      </c>
      <c r="F141" s="521" t="s">
        <v>4</v>
      </c>
      <c r="G141" s="1403" t="s">
        <v>21</v>
      </c>
      <c r="H141" s="261">
        <v>5</v>
      </c>
      <c r="I141" s="2471" t="s">
        <v>161</v>
      </c>
      <c r="J141" s="1468" t="s">
        <v>22</v>
      </c>
      <c r="K141" s="266"/>
      <c r="L141" s="265"/>
      <c r="M141" s="265"/>
      <c r="N141" s="266"/>
      <c r="O141" s="54"/>
      <c r="P141" s="800"/>
      <c r="Q141" s="204"/>
      <c r="R141" s="55"/>
      <c r="S141" s="591">
        <v>60</v>
      </c>
      <c r="T141" s="11">
        <v>150</v>
      </c>
      <c r="U141" s="2485" t="s">
        <v>169</v>
      </c>
      <c r="V141" s="811"/>
      <c r="W141" s="811"/>
      <c r="X141" s="974">
        <v>1</v>
      </c>
    </row>
    <row r="142" spans="1:24" ht="13.5" thickBot="1" x14ac:dyDescent="0.25">
      <c r="A142" s="1401"/>
      <c r="B142" s="1392"/>
      <c r="C142" s="517"/>
      <c r="D142" s="516"/>
      <c r="E142" s="2247"/>
      <c r="F142" s="522"/>
      <c r="G142" s="1443"/>
      <c r="H142" s="173"/>
      <c r="I142" s="2473"/>
      <c r="J142" s="348" t="s">
        <v>23</v>
      </c>
      <c r="K142" s="367"/>
      <c r="L142" s="370"/>
      <c r="M142" s="370"/>
      <c r="N142" s="367"/>
      <c r="O142" s="369"/>
      <c r="P142" s="404"/>
      <c r="Q142" s="370"/>
      <c r="R142" s="368"/>
      <c r="S142" s="350">
        <f>SUM(S141)</f>
        <v>60</v>
      </c>
      <c r="T142" s="351">
        <f>SUM(T141)</f>
        <v>150</v>
      </c>
      <c r="U142" s="2492"/>
      <c r="V142" s="685"/>
      <c r="W142" s="92"/>
      <c r="X142" s="1453"/>
    </row>
    <row r="143" spans="1:24" s="4" customFormat="1" ht="21.75" customHeight="1" x14ac:dyDescent="0.2">
      <c r="A143" s="1424"/>
      <c r="B143" s="1392"/>
      <c r="C143" s="1402"/>
      <c r="D143" s="197" t="s">
        <v>28</v>
      </c>
      <c r="E143" s="2283" t="s">
        <v>212</v>
      </c>
      <c r="F143" s="1440" t="s">
        <v>4</v>
      </c>
      <c r="G143" s="1403" t="s">
        <v>21</v>
      </c>
      <c r="H143" s="261">
        <v>5</v>
      </c>
      <c r="I143" s="2478" t="s">
        <v>161</v>
      </c>
      <c r="J143" s="191" t="s">
        <v>53</v>
      </c>
      <c r="K143" s="269">
        <f>L143+N143</f>
        <v>362.1</v>
      </c>
      <c r="L143" s="280"/>
      <c r="M143" s="280"/>
      <c r="N143" s="283">
        <v>362.1</v>
      </c>
      <c r="O143" s="178"/>
      <c r="P143" s="46"/>
      <c r="Q143" s="177"/>
      <c r="R143" s="179"/>
      <c r="S143" s="135"/>
      <c r="T143" s="37"/>
      <c r="U143" s="2268"/>
      <c r="V143" s="744"/>
      <c r="W143" s="100"/>
      <c r="X143" s="688"/>
    </row>
    <row r="144" spans="1:24" s="4" customFormat="1" ht="21.75" customHeight="1" x14ac:dyDescent="0.2">
      <c r="A144" s="1424"/>
      <c r="B144" s="1392"/>
      <c r="C144" s="1402"/>
      <c r="D144" s="196"/>
      <c r="E144" s="2284"/>
      <c r="F144" s="1469"/>
      <c r="G144" s="1408"/>
      <c r="H144" s="262"/>
      <c r="I144" s="2479"/>
      <c r="J144" s="1473" t="s">
        <v>5</v>
      </c>
      <c r="K144" s="269"/>
      <c r="L144" s="253"/>
      <c r="M144" s="253"/>
      <c r="N144" s="771"/>
      <c r="O144" s="228"/>
      <c r="P144" s="189"/>
      <c r="Q144" s="176"/>
      <c r="R144" s="53"/>
      <c r="S144" s="32"/>
      <c r="T144" s="37"/>
      <c r="U144" s="2268"/>
      <c r="V144" s="744"/>
      <c r="W144" s="100"/>
      <c r="X144" s="688"/>
    </row>
    <row r="145" spans="1:24" s="4" customFormat="1" ht="21.75" customHeight="1" x14ac:dyDescent="0.2">
      <c r="A145" s="1424"/>
      <c r="B145" s="1392"/>
      <c r="C145" s="1402"/>
      <c r="D145" s="196"/>
      <c r="E145" s="2284"/>
      <c r="F145" s="1469"/>
      <c r="G145" s="1408"/>
      <c r="H145" s="262"/>
      <c r="I145" s="2479"/>
      <c r="J145" s="1473" t="s">
        <v>174</v>
      </c>
      <c r="K145" s="269">
        <f>L145+N145</f>
        <v>1389.2</v>
      </c>
      <c r="L145" s="253"/>
      <c r="M145" s="253"/>
      <c r="N145" s="771">
        <v>1389.2</v>
      </c>
      <c r="O145" s="228"/>
      <c r="P145" s="189"/>
      <c r="Q145" s="176"/>
      <c r="R145" s="53"/>
      <c r="S145" s="67"/>
      <c r="T145" s="862"/>
      <c r="U145" s="2268"/>
      <c r="V145" s="744"/>
      <c r="W145" s="100"/>
      <c r="X145" s="688"/>
    </row>
    <row r="146" spans="1:24" s="4" customFormat="1" x14ac:dyDescent="0.2">
      <c r="A146" s="1424"/>
      <c r="B146" s="1392"/>
      <c r="C146" s="1402"/>
      <c r="D146" s="198"/>
      <c r="E146" s="2285"/>
      <c r="F146" s="1454"/>
      <c r="G146" s="1443"/>
      <c r="H146" s="173"/>
      <c r="I146" s="2483"/>
      <c r="J146" s="392" t="s">
        <v>23</v>
      </c>
      <c r="K146" s="395">
        <f>SUM(K143:K145)</f>
        <v>1751.3000000000002</v>
      </c>
      <c r="L146" s="394"/>
      <c r="M146" s="394"/>
      <c r="N146" s="395">
        <f>SUM(N143:N145)</f>
        <v>1751.3000000000002</v>
      </c>
      <c r="O146" s="397"/>
      <c r="P146" s="398"/>
      <c r="Q146" s="394"/>
      <c r="R146" s="396"/>
      <c r="S146" s="400"/>
      <c r="T146" s="395"/>
      <c r="U146" s="2268"/>
      <c r="V146" s="744"/>
      <c r="W146" s="100"/>
      <c r="X146" s="688"/>
    </row>
    <row r="147" spans="1:24" ht="13.5" thickBot="1" x14ac:dyDescent="0.25">
      <c r="A147" s="1400"/>
      <c r="B147" s="1413"/>
      <c r="C147" s="1465"/>
      <c r="D147" s="1474"/>
      <c r="E147" s="194"/>
      <c r="F147" s="194"/>
      <c r="G147" s="1500"/>
      <c r="H147" s="1583"/>
      <c r="I147" s="824"/>
      <c r="J147" s="162" t="s">
        <v>23</v>
      </c>
      <c r="K147" s="64">
        <f>L147+N147</f>
        <v>2831.2000000000003</v>
      </c>
      <c r="L147" s="62"/>
      <c r="M147" s="62"/>
      <c r="N147" s="64">
        <f>N142+N138+N146+N140</f>
        <v>2831.2000000000003</v>
      </c>
      <c r="O147" s="66">
        <f>P147+R147</f>
        <v>1429.8</v>
      </c>
      <c r="P147" s="244"/>
      <c r="Q147" s="62"/>
      <c r="R147" s="63">
        <f>R142+R138+R146+R140</f>
        <v>1429.8</v>
      </c>
      <c r="S147" s="918">
        <f>S142+S138+S140</f>
        <v>60</v>
      </c>
      <c r="T147" s="915">
        <f>T142+T138+T140</f>
        <v>150</v>
      </c>
      <c r="U147" s="2488"/>
      <c r="V147" s="2489"/>
      <c r="W147" s="2489"/>
      <c r="X147" s="2490"/>
    </row>
    <row r="148" spans="1:24" ht="19.5" customHeight="1" x14ac:dyDescent="0.2">
      <c r="A148" s="1410" t="s">
        <v>24</v>
      </c>
      <c r="B148" s="1412" t="s">
        <v>20</v>
      </c>
      <c r="C148" s="545" t="s">
        <v>28</v>
      </c>
      <c r="D148" s="1027"/>
      <c r="E148" s="1964" t="s">
        <v>283</v>
      </c>
      <c r="F148" s="2545" t="s">
        <v>130</v>
      </c>
      <c r="G148" s="2134" t="s">
        <v>21</v>
      </c>
      <c r="H148" s="2384">
        <v>2</v>
      </c>
      <c r="I148" s="2548" t="s">
        <v>164</v>
      </c>
      <c r="J148" s="1467" t="s">
        <v>22</v>
      </c>
      <c r="K148" s="777"/>
      <c r="L148" s="778"/>
      <c r="M148" s="778"/>
      <c r="N148" s="542"/>
      <c r="O148" s="989">
        <f>P148+R148</f>
        <v>50</v>
      </c>
      <c r="P148" s="990">
        <v>50</v>
      </c>
      <c r="Q148" s="1048"/>
      <c r="R148" s="1049"/>
      <c r="S148" s="550"/>
      <c r="T148" s="75"/>
      <c r="U148" s="2387" t="s">
        <v>66</v>
      </c>
      <c r="V148" s="975">
        <v>3</v>
      </c>
      <c r="W148" s="976"/>
      <c r="X148" s="743"/>
    </row>
    <row r="149" spans="1:24" ht="19.5" customHeight="1" x14ac:dyDescent="0.2">
      <c r="A149" s="1424"/>
      <c r="B149" s="1392"/>
      <c r="C149" s="172"/>
      <c r="D149" s="1028"/>
      <c r="E149" s="2282"/>
      <c r="F149" s="2546"/>
      <c r="G149" s="2547"/>
      <c r="H149" s="2385"/>
      <c r="I149" s="2472"/>
      <c r="J149" s="1468"/>
      <c r="K149" s="779"/>
      <c r="L149" s="780"/>
      <c r="M149" s="780"/>
      <c r="N149" s="896"/>
      <c r="O149" s="1044"/>
      <c r="P149" s="1045"/>
      <c r="Q149" s="1046"/>
      <c r="R149" s="1047"/>
      <c r="S149" s="983"/>
      <c r="T149" s="718"/>
      <c r="U149" s="2388"/>
      <c r="V149" s="1464"/>
      <c r="W149" s="93"/>
      <c r="X149" s="688"/>
    </row>
    <row r="150" spans="1:24" ht="15" customHeight="1" thickBot="1" x14ac:dyDescent="0.25">
      <c r="A150" s="1424"/>
      <c r="B150" s="1392"/>
      <c r="C150" s="172"/>
      <c r="D150" s="1029"/>
      <c r="E150" s="1965"/>
      <c r="F150" s="986" t="s">
        <v>344</v>
      </c>
      <c r="G150" s="2547"/>
      <c r="H150" s="2386"/>
      <c r="I150" s="2549"/>
      <c r="J150" s="348" t="s">
        <v>23</v>
      </c>
      <c r="K150" s="371"/>
      <c r="L150" s="370"/>
      <c r="M150" s="370"/>
      <c r="N150" s="404"/>
      <c r="O150" s="369">
        <f>O148</f>
        <v>50</v>
      </c>
      <c r="P150" s="404">
        <f>P148</f>
        <v>50</v>
      </c>
      <c r="Q150" s="370"/>
      <c r="R150" s="368"/>
      <c r="S150" s="371"/>
      <c r="T150" s="365"/>
      <c r="U150" s="2389"/>
      <c r="V150" s="90"/>
      <c r="W150" s="1490"/>
      <c r="X150" s="714"/>
    </row>
    <row r="151" spans="1:24" ht="26.25" customHeight="1" x14ac:dyDescent="0.2">
      <c r="A151" s="1410" t="s">
        <v>24</v>
      </c>
      <c r="B151" s="1412" t="s">
        <v>20</v>
      </c>
      <c r="C151" s="545" t="s">
        <v>29</v>
      </c>
      <c r="D151" s="1027"/>
      <c r="E151" s="2124" t="s">
        <v>333</v>
      </c>
      <c r="F151" s="2128"/>
      <c r="G151" s="2134" t="s">
        <v>21</v>
      </c>
      <c r="H151" s="2384">
        <v>2</v>
      </c>
      <c r="I151" s="2548" t="s">
        <v>164</v>
      </c>
      <c r="J151" s="1467" t="s">
        <v>22</v>
      </c>
      <c r="K151" s="772"/>
      <c r="L151" s="773"/>
      <c r="M151" s="773"/>
      <c r="N151" s="988"/>
      <c r="O151" s="989">
        <f>P151+R151</f>
        <v>100</v>
      </c>
      <c r="P151" s="990"/>
      <c r="Q151" s="991"/>
      <c r="R151" s="44">
        <v>100</v>
      </c>
      <c r="S151" s="887">
        <v>100</v>
      </c>
      <c r="T151" s="871"/>
      <c r="U151" s="2387" t="s">
        <v>282</v>
      </c>
      <c r="V151" s="975"/>
      <c r="W151" s="976">
        <v>152</v>
      </c>
      <c r="X151" s="743"/>
    </row>
    <row r="152" spans="1:24" ht="26.25" customHeight="1" x14ac:dyDescent="0.2">
      <c r="A152" s="1424"/>
      <c r="B152" s="1392"/>
      <c r="C152" s="172"/>
      <c r="D152" s="1028"/>
      <c r="E152" s="2192"/>
      <c r="F152" s="2207"/>
      <c r="G152" s="2547"/>
      <c r="H152" s="2385"/>
      <c r="I152" s="2472"/>
      <c r="J152" s="1476" t="s">
        <v>22</v>
      </c>
      <c r="K152" s="775">
        <f>L152+N152</f>
        <v>75</v>
      </c>
      <c r="L152" s="281">
        <v>75</v>
      </c>
      <c r="M152" s="281"/>
      <c r="N152" s="981"/>
      <c r="O152" s="579"/>
      <c r="P152" s="578"/>
      <c r="Q152" s="526"/>
      <c r="R152" s="527"/>
      <c r="S152" s="983"/>
      <c r="T152" s="718"/>
      <c r="U152" s="2388"/>
      <c r="V152" s="1464"/>
      <c r="W152" s="93"/>
      <c r="X152" s="688"/>
    </row>
    <row r="153" spans="1:24" ht="15" customHeight="1" x14ac:dyDescent="0.2">
      <c r="A153" s="1005"/>
      <c r="B153" s="1006"/>
      <c r="C153" s="1000"/>
      <c r="D153" s="1029"/>
      <c r="E153" s="2006"/>
      <c r="F153" s="2440"/>
      <c r="G153" s="2550"/>
      <c r="H153" s="2551"/>
      <c r="I153" s="2473"/>
      <c r="J153" s="433" t="s">
        <v>23</v>
      </c>
      <c r="K153" s="580">
        <f>SUM(K151:K152)</f>
        <v>75</v>
      </c>
      <c r="L153" s="385">
        <f>SUM(L151:L152)</f>
        <v>75</v>
      </c>
      <c r="M153" s="385"/>
      <c r="N153" s="582"/>
      <c r="O153" s="581">
        <f>O151</f>
        <v>100</v>
      </c>
      <c r="P153" s="582"/>
      <c r="Q153" s="385"/>
      <c r="R153" s="583">
        <f>SUM(R151:R152)</f>
        <v>100</v>
      </c>
      <c r="S153" s="580">
        <f>SUM(S151:S152)</f>
        <v>100</v>
      </c>
      <c r="T153" s="961"/>
      <c r="U153" s="2487"/>
      <c r="V153" s="1025"/>
      <c r="W153" s="1026"/>
      <c r="X153" s="111"/>
    </row>
    <row r="154" spans="1:24" ht="42" customHeight="1" x14ac:dyDescent="0.2">
      <c r="A154" s="694" t="s">
        <v>24</v>
      </c>
      <c r="B154" s="1404" t="s">
        <v>20</v>
      </c>
      <c r="C154" s="695" t="s">
        <v>30</v>
      </c>
      <c r="D154" s="1019"/>
      <c r="E154" s="1020" t="s">
        <v>199</v>
      </c>
      <c r="F154" s="1485" t="s">
        <v>131</v>
      </c>
      <c r="G154" s="1443" t="s">
        <v>21</v>
      </c>
      <c r="H154" s="1596"/>
      <c r="I154" s="1475"/>
      <c r="J154" s="1475"/>
      <c r="K154" s="779"/>
      <c r="L154" s="780"/>
      <c r="M154" s="780"/>
      <c r="N154" s="896"/>
      <c r="O154" s="1021"/>
      <c r="P154" s="1022"/>
      <c r="Q154" s="1023"/>
      <c r="R154" s="249"/>
      <c r="S154" s="121"/>
      <c r="T154" s="121"/>
      <c r="U154" s="1024"/>
      <c r="V154" s="165"/>
      <c r="W154" s="104"/>
      <c r="X154" s="111"/>
    </row>
    <row r="155" spans="1:24" ht="27.75" customHeight="1" x14ac:dyDescent="0.2">
      <c r="A155" s="1424"/>
      <c r="B155" s="1392"/>
      <c r="C155" s="1432"/>
      <c r="D155" s="2476" t="s">
        <v>20</v>
      </c>
      <c r="E155" s="2282" t="s">
        <v>280</v>
      </c>
      <c r="F155" s="2404" t="s">
        <v>4</v>
      </c>
      <c r="G155" s="139"/>
      <c r="H155" s="2399">
        <v>6</v>
      </c>
      <c r="I155" s="2506" t="s">
        <v>176</v>
      </c>
      <c r="J155" s="1476" t="s">
        <v>7</v>
      </c>
      <c r="K155" s="252">
        <f>L155+N155</f>
        <v>50</v>
      </c>
      <c r="L155" s="253"/>
      <c r="M155" s="253"/>
      <c r="N155" s="254">
        <v>50</v>
      </c>
      <c r="O155" s="271"/>
      <c r="P155" s="253"/>
      <c r="Q155" s="253"/>
      <c r="R155" s="255"/>
      <c r="S155" s="1050"/>
      <c r="T155" s="1050"/>
      <c r="U155" s="586" t="s">
        <v>169</v>
      </c>
      <c r="V155" s="1007">
        <v>100</v>
      </c>
      <c r="W155" s="1007"/>
      <c r="X155" s="587"/>
    </row>
    <row r="156" spans="1:24" ht="25.5" customHeight="1" x14ac:dyDescent="0.2">
      <c r="A156" s="1424"/>
      <c r="B156" s="1392"/>
      <c r="C156" s="1432"/>
      <c r="D156" s="2476"/>
      <c r="E156" s="2282"/>
      <c r="F156" s="2404"/>
      <c r="G156" s="1408"/>
      <c r="H156" s="2399"/>
      <c r="I156" s="2506"/>
      <c r="J156" s="12" t="s">
        <v>296</v>
      </c>
      <c r="K156" s="1053"/>
      <c r="L156" s="280"/>
      <c r="M156" s="280"/>
      <c r="N156" s="269"/>
      <c r="O156" s="271">
        <f>+P156+R156</f>
        <v>3515</v>
      </c>
      <c r="P156" s="253">
        <v>15</v>
      </c>
      <c r="Q156" s="253"/>
      <c r="R156" s="255">
        <v>3500</v>
      </c>
      <c r="S156" s="1050">
        <v>3000</v>
      </c>
      <c r="T156" s="67"/>
      <c r="U156" s="2256" t="s">
        <v>177</v>
      </c>
      <c r="V156" s="1415">
        <v>50</v>
      </c>
      <c r="W156" s="1415">
        <v>50</v>
      </c>
      <c r="X156" s="1452"/>
    </row>
    <row r="157" spans="1:24" x14ac:dyDescent="0.2">
      <c r="A157" s="1401"/>
      <c r="B157" s="1392"/>
      <c r="C157" s="1432"/>
      <c r="D157" s="1480"/>
      <c r="E157" s="512"/>
      <c r="F157" s="1469"/>
      <c r="G157" s="1484"/>
      <c r="H157" s="1595"/>
      <c r="I157" s="1486"/>
      <c r="J157" s="809" t="s">
        <v>23</v>
      </c>
      <c r="K157" s="384">
        <f t="shared" ref="K157:S157" si="22">SUM(K155:K156)</f>
        <v>50</v>
      </c>
      <c r="L157" s="383">
        <f t="shared" si="22"/>
        <v>0</v>
      </c>
      <c r="M157" s="356">
        <f t="shared" si="22"/>
        <v>0</v>
      </c>
      <c r="N157" s="357">
        <f>SUM(N155:N156)</f>
        <v>50</v>
      </c>
      <c r="O157" s="408">
        <f t="shared" si="22"/>
        <v>3515</v>
      </c>
      <c r="P157" s="356">
        <f t="shared" si="22"/>
        <v>15</v>
      </c>
      <c r="Q157" s="383">
        <f t="shared" si="22"/>
        <v>0</v>
      </c>
      <c r="R157" s="407">
        <f t="shared" si="22"/>
        <v>3500</v>
      </c>
      <c r="S157" s="914">
        <f t="shared" si="22"/>
        <v>3000</v>
      </c>
      <c r="T157" s="914"/>
      <c r="U157" s="2270"/>
      <c r="V157" s="165"/>
      <c r="W157" s="104"/>
      <c r="X157" s="492"/>
    </row>
    <row r="158" spans="1:24" ht="26.25" customHeight="1" x14ac:dyDescent="0.2">
      <c r="A158" s="1424"/>
      <c r="B158" s="1392"/>
      <c r="C158" s="1437"/>
      <c r="D158" s="909" t="s">
        <v>24</v>
      </c>
      <c r="E158" s="2288" t="s">
        <v>219</v>
      </c>
      <c r="F158" s="1409"/>
      <c r="G158" s="1408"/>
      <c r="H158" s="908">
        <v>2</v>
      </c>
      <c r="I158" s="1476" t="s">
        <v>164</v>
      </c>
      <c r="J158" s="1468" t="s">
        <v>22</v>
      </c>
      <c r="K158" s="264">
        <f>L158+N158</f>
        <v>10</v>
      </c>
      <c r="L158" s="265">
        <v>10</v>
      </c>
      <c r="M158" s="266"/>
      <c r="N158" s="764"/>
      <c r="O158" s="813"/>
      <c r="P158" s="266"/>
      <c r="Q158" s="204"/>
      <c r="R158" s="59"/>
      <c r="S158" s="564"/>
      <c r="T158" s="564"/>
      <c r="U158" s="1414"/>
      <c r="V158" s="1416"/>
      <c r="W158" s="100"/>
      <c r="X158" s="740"/>
    </row>
    <row r="159" spans="1:24" ht="27.75" customHeight="1" x14ac:dyDescent="0.2">
      <c r="A159" s="1424"/>
      <c r="B159" s="1392"/>
      <c r="C159" s="1437"/>
      <c r="D159" s="910"/>
      <c r="E159" s="1976"/>
      <c r="F159" s="1409"/>
      <c r="G159" s="1408"/>
      <c r="H159" s="908">
        <v>6</v>
      </c>
      <c r="I159" s="2505" t="s">
        <v>176</v>
      </c>
      <c r="J159" s="1497" t="s">
        <v>22</v>
      </c>
      <c r="K159" s="252">
        <f>L159+N159</f>
        <v>450</v>
      </c>
      <c r="L159" s="253">
        <v>450</v>
      </c>
      <c r="M159" s="913"/>
      <c r="N159" s="916"/>
      <c r="O159" s="271"/>
      <c r="P159" s="254"/>
      <c r="Q159" s="911"/>
      <c r="R159" s="912"/>
      <c r="S159" s="751"/>
      <c r="T159" s="751"/>
      <c r="U159" s="1414"/>
      <c r="V159" s="1416"/>
      <c r="W159" s="100"/>
      <c r="X159" s="740"/>
    </row>
    <row r="160" spans="1:24" ht="25.5" customHeight="1" x14ac:dyDescent="0.2">
      <c r="A160" s="1424"/>
      <c r="B160" s="1392"/>
      <c r="C160" s="1402"/>
      <c r="D160" s="1480"/>
      <c r="E160" s="917"/>
      <c r="F160" s="1409"/>
      <c r="G160" s="1484"/>
      <c r="H160" s="1592"/>
      <c r="I160" s="2506"/>
      <c r="J160" s="392" t="s">
        <v>23</v>
      </c>
      <c r="K160" s="412">
        <f t="shared" ref="K160:L160" si="23">SUM(K158:K159)</f>
        <v>460</v>
      </c>
      <c r="L160" s="344">
        <f t="shared" si="23"/>
        <v>460</v>
      </c>
      <c r="M160" s="415"/>
      <c r="N160" s="352"/>
      <c r="O160" s="353"/>
      <c r="P160" s="415"/>
      <c r="Q160" s="344"/>
      <c r="R160" s="413"/>
      <c r="S160" s="416"/>
      <c r="T160" s="416"/>
      <c r="U160" s="977"/>
      <c r="V160" s="978"/>
      <c r="W160" s="979"/>
      <c r="X160" s="688"/>
    </row>
    <row r="161" spans="1:24" ht="13.5" thickBot="1" x14ac:dyDescent="0.25">
      <c r="A161" s="1400"/>
      <c r="B161" s="1413"/>
      <c r="C161" s="1465"/>
      <c r="D161" s="1474"/>
      <c r="E161" s="194"/>
      <c r="F161" s="194"/>
      <c r="G161" s="1500"/>
      <c r="H161" s="1583"/>
      <c r="I161" s="824"/>
      <c r="J161" s="162" t="s">
        <v>23</v>
      </c>
      <c r="K161" s="64">
        <f t="shared" ref="K161:S161" si="24">K160+K157</f>
        <v>510</v>
      </c>
      <c r="L161" s="62">
        <f t="shared" si="24"/>
        <v>460</v>
      </c>
      <c r="M161" s="64">
        <f t="shared" si="24"/>
        <v>0</v>
      </c>
      <c r="N161" s="65">
        <f>N160+N157</f>
        <v>50</v>
      </c>
      <c r="O161" s="66">
        <f t="shared" si="24"/>
        <v>3515</v>
      </c>
      <c r="P161" s="64">
        <f t="shared" si="24"/>
        <v>15</v>
      </c>
      <c r="Q161" s="62">
        <f t="shared" si="24"/>
        <v>0</v>
      </c>
      <c r="R161" s="915">
        <f t="shared" si="24"/>
        <v>3500</v>
      </c>
      <c r="S161" s="918">
        <f t="shared" si="24"/>
        <v>3000</v>
      </c>
      <c r="T161" s="918"/>
      <c r="U161" s="2488"/>
      <c r="V161" s="2489"/>
      <c r="W161" s="2489"/>
      <c r="X161" s="2490"/>
    </row>
    <row r="162" spans="1:24" ht="25.5" customHeight="1" x14ac:dyDescent="0.2">
      <c r="A162" s="1410" t="s">
        <v>24</v>
      </c>
      <c r="B162" s="1412" t="s">
        <v>20</v>
      </c>
      <c r="C162" s="1431" t="s">
        <v>55</v>
      </c>
      <c r="D162" s="140"/>
      <c r="E162" s="1964" t="s">
        <v>287</v>
      </c>
      <c r="F162" s="2128"/>
      <c r="G162" s="1418" t="s">
        <v>21</v>
      </c>
      <c r="H162" s="1009">
        <v>6</v>
      </c>
      <c r="I162" s="2548" t="s">
        <v>176</v>
      </c>
      <c r="J162" s="1467"/>
      <c r="K162" s="777"/>
      <c r="L162" s="778"/>
      <c r="M162" s="778"/>
      <c r="N162" s="542"/>
      <c r="O162" s="50"/>
      <c r="P162" s="58"/>
      <c r="Q162" s="51"/>
      <c r="R162" s="246"/>
      <c r="S162" s="881"/>
      <c r="T162" s="75"/>
      <c r="U162" s="2"/>
      <c r="V162" s="103"/>
      <c r="W162" s="100"/>
      <c r="X162" s="688"/>
    </row>
    <row r="163" spans="1:24" ht="15.75" customHeight="1" x14ac:dyDescent="0.2">
      <c r="A163" s="1424"/>
      <c r="B163" s="1392"/>
      <c r="C163" s="1432"/>
      <c r="D163" s="174"/>
      <c r="E163" s="2282"/>
      <c r="F163" s="2207"/>
      <c r="G163" s="1484"/>
      <c r="H163" s="1541"/>
      <c r="I163" s="2472"/>
      <c r="J163" s="1475" t="s">
        <v>22</v>
      </c>
      <c r="K163" s="779"/>
      <c r="L163" s="780"/>
      <c r="M163" s="780"/>
      <c r="N163" s="987"/>
      <c r="O163" s="56">
        <f>P163+R163</f>
        <v>350</v>
      </c>
      <c r="P163" s="1017"/>
      <c r="Q163" s="57"/>
      <c r="R163" s="249">
        <v>350</v>
      </c>
      <c r="S163" s="880"/>
      <c r="T163" s="121"/>
      <c r="U163" s="977" t="s">
        <v>286</v>
      </c>
      <c r="V163" s="744">
        <v>100</v>
      </c>
      <c r="W163" s="100"/>
      <c r="X163" s="688"/>
    </row>
    <row r="164" spans="1:24" ht="13.5" thickBot="1" x14ac:dyDescent="0.25">
      <c r="A164" s="1411"/>
      <c r="B164" s="1413"/>
      <c r="C164" s="1397"/>
      <c r="D164" s="1008"/>
      <c r="E164" s="1965"/>
      <c r="F164" s="2129"/>
      <c r="G164" s="1419"/>
      <c r="H164" s="1010"/>
      <c r="I164" s="2549"/>
      <c r="J164" s="698" t="s">
        <v>23</v>
      </c>
      <c r="K164" s="1011"/>
      <c r="L164" s="390"/>
      <c r="M164" s="1012"/>
      <c r="N164" s="391"/>
      <c r="O164" s="388">
        <f>P164+R164</f>
        <v>350</v>
      </c>
      <c r="P164" s="389"/>
      <c r="Q164" s="390"/>
      <c r="R164" s="391">
        <f>R163</f>
        <v>350</v>
      </c>
      <c r="S164" s="1013"/>
      <c r="T164" s="1014"/>
      <c r="U164" s="81"/>
      <c r="V164" s="90"/>
      <c r="W164" s="1490"/>
      <c r="X164" s="714"/>
    </row>
    <row r="165" spans="1:24" x14ac:dyDescent="0.2">
      <c r="A165" s="1410" t="s">
        <v>24</v>
      </c>
      <c r="B165" s="1412" t="s">
        <v>20</v>
      </c>
      <c r="C165" s="1431" t="s">
        <v>241</v>
      </c>
      <c r="D165" s="140"/>
      <c r="E165" s="2132" t="s">
        <v>285</v>
      </c>
      <c r="F165" s="2128"/>
      <c r="G165" s="229" t="s">
        <v>21</v>
      </c>
      <c r="H165" s="230">
        <v>6</v>
      </c>
      <c r="I165" s="2548" t="s">
        <v>176</v>
      </c>
      <c r="J165" s="1467"/>
      <c r="K165" s="61"/>
      <c r="L165" s="51"/>
      <c r="M165" s="58"/>
      <c r="N165" s="52"/>
      <c r="O165" s="50"/>
      <c r="P165" s="58"/>
      <c r="Q165" s="51"/>
      <c r="R165" s="246"/>
      <c r="S165" s="74"/>
      <c r="T165" s="74"/>
      <c r="U165" s="2"/>
      <c r="V165" s="1016"/>
      <c r="W165" s="100"/>
      <c r="X165" s="688"/>
    </row>
    <row r="166" spans="1:24" ht="17.25" customHeight="1" x14ac:dyDescent="0.2">
      <c r="A166" s="1424"/>
      <c r="B166" s="1392"/>
      <c r="C166" s="1432"/>
      <c r="D166" s="174"/>
      <c r="E166" s="2246"/>
      <c r="F166" s="2207"/>
      <c r="G166" s="139"/>
      <c r="H166" s="1546"/>
      <c r="I166" s="2472"/>
      <c r="J166" s="1468" t="s">
        <v>22</v>
      </c>
      <c r="K166" s="936"/>
      <c r="L166" s="204"/>
      <c r="M166" s="45"/>
      <c r="N166" s="55"/>
      <c r="O166" s="54"/>
      <c r="P166" s="45"/>
      <c r="Q166" s="204"/>
      <c r="R166" s="247"/>
      <c r="S166" s="41"/>
      <c r="T166" s="41"/>
      <c r="U166" s="980"/>
      <c r="V166" s="744"/>
      <c r="W166" s="100"/>
      <c r="X166" s="688"/>
    </row>
    <row r="167" spans="1:24" ht="15.75" customHeight="1" x14ac:dyDescent="0.2">
      <c r="A167" s="1424"/>
      <c r="B167" s="1392"/>
      <c r="C167" s="1432"/>
      <c r="D167" s="174"/>
      <c r="E167" s="992" t="s">
        <v>215</v>
      </c>
      <c r="F167" s="2207"/>
      <c r="G167" s="139"/>
      <c r="H167" s="1546"/>
      <c r="I167" s="2472"/>
      <c r="J167" s="12" t="s">
        <v>22</v>
      </c>
      <c r="K167" s="775">
        <f>L167+N167</f>
        <v>300</v>
      </c>
      <c r="L167" s="281">
        <v>300</v>
      </c>
      <c r="M167" s="48"/>
      <c r="N167" s="179"/>
      <c r="O167" s="178"/>
      <c r="P167" s="245"/>
      <c r="Q167" s="177"/>
      <c r="R167" s="248"/>
      <c r="S167" s="39"/>
      <c r="T167" s="39"/>
      <c r="U167" s="1974"/>
      <c r="V167" s="744"/>
      <c r="W167" s="100"/>
      <c r="X167" s="688"/>
    </row>
    <row r="168" spans="1:24" ht="15" customHeight="1" x14ac:dyDescent="0.2">
      <c r="A168" s="1424"/>
      <c r="B168" s="1392"/>
      <c r="C168" s="1432"/>
      <c r="D168" s="174"/>
      <c r="E168" s="992" t="s">
        <v>216</v>
      </c>
      <c r="F168" s="2207"/>
      <c r="G168" s="139"/>
      <c r="H168" s="1546"/>
      <c r="I168" s="2472"/>
      <c r="J168" s="1468" t="s">
        <v>22</v>
      </c>
      <c r="K168" s="774">
        <f>L168+N168</f>
        <v>190</v>
      </c>
      <c r="L168" s="286">
        <v>190</v>
      </c>
      <c r="M168" s="45"/>
      <c r="N168" s="55"/>
      <c r="O168" s="54"/>
      <c r="P168" s="245"/>
      <c r="Q168" s="204"/>
      <c r="R168" s="247"/>
      <c r="S168" s="41"/>
      <c r="T168" s="41"/>
      <c r="U168" s="1974"/>
      <c r="V168" s="744"/>
      <c r="W168" s="100"/>
      <c r="X168" s="688"/>
    </row>
    <row r="169" spans="1:24" ht="15" customHeight="1" x14ac:dyDescent="0.2">
      <c r="A169" s="1424"/>
      <c r="B169" s="1392"/>
      <c r="C169" s="1432"/>
      <c r="D169" s="174"/>
      <c r="E169" s="992" t="s">
        <v>217</v>
      </c>
      <c r="F169" s="2207"/>
      <c r="G169" s="139"/>
      <c r="H169" s="1546"/>
      <c r="I169" s="2472"/>
      <c r="J169" s="12" t="s">
        <v>22</v>
      </c>
      <c r="K169" s="775">
        <f>L169+N169</f>
        <v>50</v>
      </c>
      <c r="L169" s="281">
        <v>50</v>
      </c>
      <c r="M169" s="48"/>
      <c r="N169" s="179"/>
      <c r="O169" s="178"/>
      <c r="P169" s="245"/>
      <c r="Q169" s="177"/>
      <c r="R169" s="248"/>
      <c r="S169" s="39"/>
      <c r="T169" s="39"/>
      <c r="U169" s="1974"/>
      <c r="V169" s="744"/>
      <c r="W169" s="100"/>
      <c r="X169" s="688"/>
    </row>
    <row r="170" spans="1:24" ht="15.75" customHeight="1" x14ac:dyDescent="0.2">
      <c r="A170" s="1424"/>
      <c r="B170" s="1392"/>
      <c r="C170" s="1432"/>
      <c r="D170" s="174"/>
      <c r="E170" s="992" t="s">
        <v>288</v>
      </c>
      <c r="F170" s="2207"/>
      <c r="G170" s="139"/>
      <c r="H170" s="1546"/>
      <c r="I170" s="2472"/>
      <c r="J170" s="1468" t="s">
        <v>22</v>
      </c>
      <c r="K170" s="774">
        <f>L170+N170</f>
        <v>260</v>
      </c>
      <c r="L170" s="286">
        <v>260</v>
      </c>
      <c r="M170" s="45"/>
      <c r="N170" s="55"/>
      <c r="O170" s="56"/>
      <c r="P170" s="245"/>
      <c r="Q170" s="57"/>
      <c r="R170" s="249"/>
      <c r="S170" s="41"/>
      <c r="T170" s="41"/>
      <c r="U170" s="977"/>
      <c r="V170" s="744"/>
      <c r="W170" s="100"/>
      <c r="X170" s="688"/>
    </row>
    <row r="171" spans="1:24" ht="13.5" thickBot="1" x14ac:dyDescent="0.25">
      <c r="A171" s="1411"/>
      <c r="B171" s="1413"/>
      <c r="C171" s="1397"/>
      <c r="D171" s="188"/>
      <c r="E171" s="1052"/>
      <c r="F171" s="2129"/>
      <c r="G171" s="1419"/>
      <c r="H171" s="1593"/>
      <c r="I171" s="2549"/>
      <c r="J171" s="348" t="s">
        <v>23</v>
      </c>
      <c r="K171" s="349">
        <f>L171+N171</f>
        <v>800</v>
      </c>
      <c r="L171" s="342">
        <f>SUM(L167:L170)</f>
        <v>800</v>
      </c>
      <c r="M171" s="341"/>
      <c r="N171" s="345"/>
      <c r="O171" s="388"/>
      <c r="P171" s="389"/>
      <c r="Q171" s="390"/>
      <c r="R171" s="391"/>
      <c r="S171" s="365"/>
      <c r="T171" s="366"/>
      <c r="U171" s="81"/>
      <c r="V171" s="90"/>
      <c r="W171" s="1490"/>
      <c r="X171" s="714"/>
    </row>
    <row r="172" spans="1:24" ht="13.5" thickBot="1" x14ac:dyDescent="0.25">
      <c r="A172" s="1400" t="s">
        <v>24</v>
      </c>
      <c r="B172" s="14" t="s">
        <v>20</v>
      </c>
      <c r="C172" s="2139" t="s">
        <v>27</v>
      </c>
      <c r="D172" s="2154"/>
      <c r="E172" s="2154"/>
      <c r="F172" s="2154"/>
      <c r="G172" s="2154"/>
      <c r="H172" s="2154"/>
      <c r="I172" s="2154"/>
      <c r="J172" s="2154"/>
      <c r="K172" s="1405">
        <f>K161+K164+K153+K147+K132+K110+K150+K171</f>
        <v>6530.5</v>
      </c>
      <c r="L172" s="608">
        <f>L161+L164+L153+L147+L132+L110+L150+L171</f>
        <v>1363</v>
      </c>
      <c r="M172" s="1406">
        <f t="shared" ref="M172:N172" si="25">M161+M164+M153+M147+M132+M110+M150</f>
        <v>22.3</v>
      </c>
      <c r="N172" s="1015">
        <f t="shared" si="25"/>
        <v>5167.5</v>
      </c>
      <c r="O172" s="30">
        <f t="shared" ref="O172:T172" si="26">O161+O164+O153+O147+O132+O110+O150</f>
        <v>7499.1</v>
      </c>
      <c r="P172" s="1406">
        <f t="shared" si="26"/>
        <v>82.4</v>
      </c>
      <c r="Q172" s="608">
        <f t="shared" si="26"/>
        <v>13.3</v>
      </c>
      <c r="R172" s="1406">
        <f t="shared" si="26"/>
        <v>7416.7000000000007</v>
      </c>
      <c r="S172" s="1405">
        <f t="shared" si="26"/>
        <v>4344.8</v>
      </c>
      <c r="T172" s="1405">
        <f t="shared" si="26"/>
        <v>10916.300000000001</v>
      </c>
      <c r="U172" s="2239"/>
      <c r="V172" s="2240"/>
      <c r="W172" s="2240"/>
      <c r="X172" s="2241"/>
    </row>
    <row r="173" spans="1:24" ht="13.5" thickBot="1" x14ac:dyDescent="0.25">
      <c r="A173" s="1401" t="s">
        <v>24</v>
      </c>
      <c r="B173" s="14" t="s">
        <v>24</v>
      </c>
      <c r="C173" s="2152" t="s">
        <v>49</v>
      </c>
      <c r="D173" s="2153"/>
      <c r="E173" s="2153"/>
      <c r="F173" s="2153"/>
      <c r="G173" s="2153"/>
      <c r="H173" s="1568"/>
      <c r="I173" s="124"/>
      <c r="J173" s="124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2286"/>
      <c r="X173" s="2287"/>
    </row>
    <row r="174" spans="1:24" ht="27" customHeight="1" x14ac:dyDescent="0.2">
      <c r="A174" s="2201" t="s">
        <v>24</v>
      </c>
      <c r="B174" s="2208" t="s">
        <v>24</v>
      </c>
      <c r="C174" s="1396" t="s">
        <v>20</v>
      </c>
      <c r="D174" s="2532"/>
      <c r="E174" s="2542" t="s">
        <v>299</v>
      </c>
      <c r="F174" s="2128" t="s">
        <v>135</v>
      </c>
      <c r="G174" s="2134" t="s">
        <v>21</v>
      </c>
      <c r="H174" s="2273">
        <v>2</v>
      </c>
      <c r="I174" s="2495" t="s">
        <v>167</v>
      </c>
      <c r="J174" s="123" t="s">
        <v>22</v>
      </c>
      <c r="K174" s="766">
        <f>L174+N174</f>
        <v>100</v>
      </c>
      <c r="L174" s="761">
        <v>100</v>
      </c>
      <c r="M174" s="761"/>
      <c r="N174" s="291"/>
      <c r="O174" s="50">
        <f>P174+R174</f>
        <v>0</v>
      </c>
      <c r="P174" s="51">
        <f>100-100</f>
        <v>0</v>
      </c>
      <c r="Q174" s="51"/>
      <c r="R174" s="52"/>
      <c r="S174" s="42">
        <v>100</v>
      </c>
      <c r="T174" s="42">
        <v>100</v>
      </c>
      <c r="U174" s="2126" t="s">
        <v>91</v>
      </c>
      <c r="V174" s="874"/>
      <c r="W174" s="874">
        <v>320</v>
      </c>
      <c r="X174" s="885">
        <v>320</v>
      </c>
    </row>
    <row r="175" spans="1:24" ht="15.75" customHeight="1" thickBot="1" x14ac:dyDescent="0.25">
      <c r="A175" s="2203"/>
      <c r="B175" s="2210"/>
      <c r="C175" s="1397"/>
      <c r="D175" s="2533"/>
      <c r="E175" s="2543"/>
      <c r="F175" s="2129"/>
      <c r="G175" s="2135"/>
      <c r="H175" s="2274"/>
      <c r="I175" s="2496"/>
      <c r="J175" s="348" t="s">
        <v>23</v>
      </c>
      <c r="K175" s="349">
        <f>L175+N175</f>
        <v>100</v>
      </c>
      <c r="L175" s="342">
        <f>SUM(L174)</f>
        <v>100</v>
      </c>
      <c r="M175" s="342"/>
      <c r="N175" s="345"/>
      <c r="O175" s="349">
        <f>P175+R175</f>
        <v>0</v>
      </c>
      <c r="P175" s="342">
        <f>SUM(P174)</f>
        <v>0</v>
      </c>
      <c r="Q175" s="342"/>
      <c r="R175" s="345"/>
      <c r="S175" s="350">
        <f>SUM(S174)</f>
        <v>100</v>
      </c>
      <c r="T175" s="351">
        <f>SUM(T174)</f>
        <v>100</v>
      </c>
      <c r="U175" s="2127"/>
      <c r="V175" s="143"/>
      <c r="W175" s="143"/>
      <c r="X175" s="233"/>
    </row>
    <row r="176" spans="1:24" ht="17.25" customHeight="1" x14ac:dyDescent="0.2">
      <c r="A176" s="1399" t="s">
        <v>24</v>
      </c>
      <c r="B176" s="1412" t="s">
        <v>24</v>
      </c>
      <c r="C176" s="1396" t="s">
        <v>24</v>
      </c>
      <c r="D176" s="2493"/>
      <c r="E176" s="2373" t="s">
        <v>290</v>
      </c>
      <c r="F176" s="2376"/>
      <c r="G176" s="2493" t="s">
        <v>21</v>
      </c>
      <c r="H176" s="2379">
        <v>2</v>
      </c>
      <c r="I176" s="2498" t="s">
        <v>164</v>
      </c>
      <c r="J176" s="609" t="s">
        <v>22</v>
      </c>
      <c r="K176" s="787">
        <f>L176+N176</f>
        <v>150</v>
      </c>
      <c r="L176" s="778">
        <v>150</v>
      </c>
      <c r="M176" s="778"/>
      <c r="N176" s="788"/>
      <c r="O176" s="777">
        <f>P176+R176</f>
        <v>1060</v>
      </c>
      <c r="P176" s="778">
        <v>1060</v>
      </c>
      <c r="Q176" s="882"/>
      <c r="R176" s="1060"/>
      <c r="S176" s="541">
        <v>900</v>
      </c>
      <c r="T176" s="542">
        <v>900</v>
      </c>
      <c r="U176" s="1061" t="s">
        <v>291</v>
      </c>
      <c r="V176" s="1062">
        <v>315</v>
      </c>
      <c r="W176" s="1062">
        <v>250</v>
      </c>
      <c r="X176" s="1063">
        <v>250</v>
      </c>
    </row>
    <row r="177" spans="1:27" ht="30" customHeight="1" x14ac:dyDescent="0.2">
      <c r="A177" s="1401"/>
      <c r="B177" s="1392"/>
      <c r="C177" s="1402"/>
      <c r="D177" s="2497"/>
      <c r="E177" s="2374"/>
      <c r="F177" s="2377"/>
      <c r="G177" s="2497"/>
      <c r="H177" s="2380"/>
      <c r="I177" s="2499"/>
      <c r="J177" s="1064"/>
      <c r="K177" s="1030"/>
      <c r="L177" s="286"/>
      <c r="M177" s="286"/>
      <c r="N177" s="785"/>
      <c r="O177" s="774"/>
      <c r="P177" s="780"/>
      <c r="Q177" s="927"/>
      <c r="R177" s="287"/>
      <c r="S177" s="1040"/>
      <c r="T177" s="287"/>
      <c r="U177" s="1502" t="s">
        <v>292</v>
      </c>
      <c r="V177" s="1065">
        <v>15</v>
      </c>
      <c r="W177" s="1065">
        <v>3</v>
      </c>
      <c r="X177" s="1066">
        <v>3</v>
      </c>
    </row>
    <row r="178" spans="1:27" ht="18" customHeight="1" thickBot="1" x14ac:dyDescent="0.25">
      <c r="A178" s="1400"/>
      <c r="B178" s="1067"/>
      <c r="C178" s="1397"/>
      <c r="D178" s="2494"/>
      <c r="E178" s="2375"/>
      <c r="F178" s="2378"/>
      <c r="G178" s="2494"/>
      <c r="H178" s="2381"/>
      <c r="I178" s="2500"/>
      <c r="J178" s="420" t="s">
        <v>23</v>
      </c>
      <c r="K178" s="369">
        <f>L178+N178</f>
        <v>150</v>
      </c>
      <c r="L178" s="370">
        <f>SUM(L176:L176)</f>
        <v>150</v>
      </c>
      <c r="M178" s="370">
        <f>SUM(M176:M176)</f>
        <v>0</v>
      </c>
      <c r="N178" s="367">
        <f>SUM(N176:N176)</f>
        <v>0</v>
      </c>
      <c r="O178" s="371">
        <f>SUM(O176:O176)</f>
        <v>1060</v>
      </c>
      <c r="P178" s="370">
        <f>SUM(P176:P176)</f>
        <v>1060</v>
      </c>
      <c r="Q178" s="404"/>
      <c r="R178" s="366"/>
      <c r="S178" s="365">
        <f>SUM(S176:S176)</f>
        <v>900</v>
      </c>
      <c r="T178" s="366">
        <f>SUM(T176:T176)</f>
        <v>900</v>
      </c>
      <c r="U178" s="1068" t="s">
        <v>133</v>
      </c>
      <c r="V178" s="1069">
        <v>285</v>
      </c>
      <c r="W178" s="1069">
        <v>60</v>
      </c>
      <c r="X178" s="1070">
        <v>60</v>
      </c>
    </row>
    <row r="179" spans="1:27" ht="13.5" thickBot="1" x14ac:dyDescent="0.25">
      <c r="A179" s="15" t="s">
        <v>24</v>
      </c>
      <c r="B179" s="14" t="s">
        <v>24</v>
      </c>
      <c r="C179" s="2139" t="s">
        <v>27</v>
      </c>
      <c r="D179" s="2154"/>
      <c r="E179" s="2154"/>
      <c r="F179" s="2154"/>
      <c r="G179" s="2154"/>
      <c r="H179" s="2154"/>
      <c r="I179" s="2154"/>
      <c r="J179" s="2154"/>
      <c r="K179" s="1459">
        <f>K178+K175</f>
        <v>250</v>
      </c>
      <c r="L179" s="290">
        <f t="shared" ref="L179:T179" si="27">L178+L175</f>
        <v>250</v>
      </c>
      <c r="M179" s="1460">
        <f t="shared" si="27"/>
        <v>0</v>
      </c>
      <c r="N179" s="290">
        <f t="shared" si="27"/>
        <v>0</v>
      </c>
      <c r="O179" s="1">
        <f t="shared" si="27"/>
        <v>1060</v>
      </c>
      <c r="P179" s="1460">
        <f>P178+P175</f>
        <v>1060</v>
      </c>
      <c r="Q179" s="290">
        <f t="shared" si="27"/>
        <v>0</v>
      </c>
      <c r="R179" s="289">
        <f t="shared" si="27"/>
        <v>0</v>
      </c>
      <c r="S179" s="1">
        <f t="shared" si="27"/>
        <v>1000</v>
      </c>
      <c r="T179" s="1">
        <f t="shared" si="27"/>
        <v>1000</v>
      </c>
      <c r="U179" s="1985"/>
      <c r="V179" s="1986"/>
      <c r="W179" s="1986"/>
      <c r="X179" s="1987"/>
    </row>
    <row r="180" spans="1:27" ht="13.5" thickBot="1" x14ac:dyDescent="0.25">
      <c r="A180" s="1399" t="s">
        <v>24</v>
      </c>
      <c r="B180" s="148" t="s">
        <v>26</v>
      </c>
      <c r="C180" s="2237" t="s">
        <v>48</v>
      </c>
      <c r="D180" s="2237"/>
      <c r="E180" s="2237"/>
      <c r="F180" s="2237"/>
      <c r="G180" s="2237"/>
      <c r="H180" s="2237"/>
      <c r="I180" s="2237"/>
      <c r="J180" s="2237"/>
      <c r="K180" s="2237"/>
      <c r="L180" s="2237"/>
      <c r="M180" s="2237"/>
      <c r="N180" s="2237"/>
      <c r="O180" s="2237"/>
      <c r="P180" s="2237"/>
      <c r="Q180" s="2237"/>
      <c r="R180" s="2237"/>
      <c r="S180" s="2237"/>
      <c r="T180" s="2237"/>
      <c r="U180" s="2237"/>
      <c r="V180" s="2237"/>
      <c r="W180" s="2237"/>
      <c r="X180" s="2238"/>
    </row>
    <row r="181" spans="1:27" ht="25.5" customHeight="1" x14ac:dyDescent="0.2">
      <c r="A181" s="1410" t="s">
        <v>24</v>
      </c>
      <c r="B181" s="1412" t="s">
        <v>26</v>
      </c>
      <c r="C181" s="1396" t="s">
        <v>20</v>
      </c>
      <c r="D181" s="1071"/>
      <c r="E181" s="1072" t="s">
        <v>50</v>
      </c>
      <c r="F181" s="1498"/>
      <c r="G181" s="1073" t="s">
        <v>21</v>
      </c>
      <c r="H181" s="1074">
        <v>6</v>
      </c>
      <c r="I181" s="2540" t="s">
        <v>176</v>
      </c>
      <c r="J181" s="1466"/>
      <c r="K181" s="788"/>
      <c r="L181" s="778"/>
      <c r="M181" s="792"/>
      <c r="N181" s="784"/>
      <c r="O181" s="1075"/>
      <c r="P181" s="1076"/>
      <c r="Q181" s="1077"/>
      <c r="R181" s="1049"/>
      <c r="S181" s="75"/>
      <c r="T181" s="74"/>
      <c r="U181" s="1078"/>
      <c r="V181" s="1079"/>
      <c r="W181" s="1080"/>
      <c r="X181" s="743"/>
    </row>
    <row r="182" spans="1:27" ht="30.75" customHeight="1" x14ac:dyDescent="0.2">
      <c r="A182" s="1424"/>
      <c r="B182" s="1392"/>
      <c r="C182" s="1402"/>
      <c r="D182" s="1081" t="s">
        <v>20</v>
      </c>
      <c r="E182" s="1082" t="s">
        <v>93</v>
      </c>
      <c r="F182" s="1482"/>
      <c r="G182" s="1394"/>
      <c r="H182" s="1581"/>
      <c r="I182" s="2544"/>
      <c r="J182" s="1083" t="s">
        <v>22</v>
      </c>
      <c r="K182" s="981">
        <f t="shared" ref="K182:K187" si="28">L182+N182</f>
        <v>351</v>
      </c>
      <c r="L182" s="281">
        <v>351</v>
      </c>
      <c r="M182" s="981"/>
      <c r="N182" s="1084"/>
      <c r="O182" s="1085">
        <f t="shared" ref="O182:O187" si="29">+P182+R182</f>
        <v>800</v>
      </c>
      <c r="P182" s="281">
        <v>800</v>
      </c>
      <c r="Q182" s="1086"/>
      <c r="R182" s="527"/>
      <c r="S182" s="1036">
        <v>998</v>
      </c>
      <c r="T182" s="1036">
        <v>965</v>
      </c>
      <c r="U182" s="1421" t="s">
        <v>316</v>
      </c>
      <c r="V182" s="1087">
        <v>13</v>
      </c>
      <c r="W182" s="1087">
        <v>14</v>
      </c>
      <c r="X182" s="1088">
        <v>14</v>
      </c>
    </row>
    <row r="183" spans="1:27" ht="29.25" customHeight="1" x14ac:dyDescent="0.2">
      <c r="A183" s="1424"/>
      <c r="B183" s="1392"/>
      <c r="C183" s="161"/>
      <c r="D183" s="1081" t="s">
        <v>24</v>
      </c>
      <c r="E183" s="1082" t="s">
        <v>61</v>
      </c>
      <c r="F183" s="1395"/>
      <c r="G183" s="1394"/>
      <c r="H183" s="1581"/>
      <c r="I183" s="1089"/>
      <c r="J183" s="1090" t="s">
        <v>22</v>
      </c>
      <c r="K183" s="981">
        <f t="shared" si="28"/>
        <v>231</v>
      </c>
      <c r="L183" s="780">
        <v>231</v>
      </c>
      <c r="M183" s="896"/>
      <c r="N183" s="901"/>
      <c r="O183" s="1085">
        <f t="shared" si="29"/>
        <v>227</v>
      </c>
      <c r="P183" s="1091">
        <v>227</v>
      </c>
      <c r="Q183" s="1022"/>
      <c r="R183" s="1047"/>
      <c r="S183" s="1036">
        <v>227</v>
      </c>
      <c r="T183" s="1036">
        <v>227</v>
      </c>
      <c r="U183" s="1421" t="s">
        <v>317</v>
      </c>
      <c r="V183" s="1092">
        <v>95</v>
      </c>
      <c r="W183" s="1092">
        <v>95</v>
      </c>
      <c r="X183" s="1093">
        <v>95</v>
      </c>
    </row>
    <row r="184" spans="1:27" s="4" customFormat="1" ht="30.75" customHeight="1" x14ac:dyDescent="0.2">
      <c r="A184" s="1424"/>
      <c r="B184" s="1392"/>
      <c r="C184" s="1402"/>
      <c r="D184" s="196" t="s">
        <v>26</v>
      </c>
      <c r="E184" s="1094" t="s">
        <v>63</v>
      </c>
      <c r="F184" s="1395"/>
      <c r="G184" s="1394"/>
      <c r="H184" s="1569"/>
      <c r="I184" s="1089"/>
      <c r="J184" s="1491" t="s">
        <v>22</v>
      </c>
      <c r="K184" s="785">
        <f t="shared" si="28"/>
        <v>311.39999999999998</v>
      </c>
      <c r="L184" s="286">
        <v>311.39999999999998</v>
      </c>
      <c r="M184" s="785"/>
      <c r="N184" s="793"/>
      <c r="O184" s="1044">
        <f t="shared" si="29"/>
        <v>311.39999999999998</v>
      </c>
      <c r="P184" s="1095">
        <v>311.39999999999998</v>
      </c>
      <c r="Q184" s="1045"/>
      <c r="R184" s="1096"/>
      <c r="S184" s="1034">
        <v>311.39999999999998</v>
      </c>
      <c r="T184" s="1034">
        <v>311.39999999999998</v>
      </c>
      <c r="U184" s="1420" t="s">
        <v>324</v>
      </c>
      <c r="V184" s="1097">
        <v>30</v>
      </c>
      <c r="W184" s="1097">
        <v>30</v>
      </c>
      <c r="X184" s="1098">
        <v>30</v>
      </c>
    </row>
    <row r="185" spans="1:27" ht="29.25" customHeight="1" x14ac:dyDescent="0.2">
      <c r="A185" s="1424"/>
      <c r="B185" s="1392"/>
      <c r="C185" s="161"/>
      <c r="D185" s="1081" t="s">
        <v>28</v>
      </c>
      <c r="E185" s="1082" t="s">
        <v>73</v>
      </c>
      <c r="F185" s="1395"/>
      <c r="G185" s="1394"/>
      <c r="H185" s="1581"/>
      <c r="I185" s="1089"/>
      <c r="J185" s="1083" t="s">
        <v>22</v>
      </c>
      <c r="K185" s="981">
        <f t="shared" si="28"/>
        <v>80</v>
      </c>
      <c r="L185" s="281">
        <v>80</v>
      </c>
      <c r="M185" s="981"/>
      <c r="N185" s="1084"/>
      <c r="O185" s="1085">
        <f t="shared" si="29"/>
        <v>80</v>
      </c>
      <c r="P185" s="1091"/>
      <c r="Q185" s="1086"/>
      <c r="R185" s="527">
        <v>80</v>
      </c>
      <c r="S185" s="1036">
        <v>80</v>
      </c>
      <c r="T185" s="1036">
        <v>80</v>
      </c>
      <c r="U185" s="1421" t="s">
        <v>318</v>
      </c>
      <c r="V185" s="1092">
        <v>6</v>
      </c>
      <c r="W185" s="1092">
        <v>5</v>
      </c>
      <c r="X185" s="1093">
        <v>5</v>
      </c>
    </row>
    <row r="186" spans="1:27" s="4" customFormat="1" x14ac:dyDescent="0.2">
      <c r="A186" s="1424"/>
      <c r="B186" s="1392"/>
      <c r="C186" s="161"/>
      <c r="D186" s="1081" t="s">
        <v>29</v>
      </c>
      <c r="E186" s="1082" t="s">
        <v>62</v>
      </c>
      <c r="F186" s="1499"/>
      <c r="G186" s="1394"/>
      <c r="H186" s="1581"/>
      <c r="I186" s="1089"/>
      <c r="J186" s="1083" t="s">
        <v>22</v>
      </c>
      <c r="K186" s="981">
        <f t="shared" si="28"/>
        <v>55.9</v>
      </c>
      <c r="L186" s="281">
        <v>55.9</v>
      </c>
      <c r="M186" s="981"/>
      <c r="N186" s="1084"/>
      <c r="O186" s="1085">
        <f t="shared" si="29"/>
        <v>55.9</v>
      </c>
      <c r="P186" s="1091">
        <v>55.9</v>
      </c>
      <c r="Q186" s="1086"/>
      <c r="R186" s="527"/>
      <c r="S186" s="1036">
        <v>55.9</v>
      </c>
      <c r="T186" s="1036">
        <v>55.9</v>
      </c>
      <c r="U186" s="1421" t="s">
        <v>83</v>
      </c>
      <c r="V186" s="281">
        <v>40.1</v>
      </c>
      <c r="W186" s="281">
        <v>40.1</v>
      </c>
      <c r="X186" s="776">
        <v>40.1</v>
      </c>
    </row>
    <row r="187" spans="1:27" ht="12.75" customHeight="1" x14ac:dyDescent="0.2">
      <c r="A187" s="1424"/>
      <c r="B187" s="1392"/>
      <c r="C187" s="1402"/>
      <c r="D187" s="196" t="s">
        <v>30</v>
      </c>
      <c r="E187" s="1094" t="s">
        <v>64</v>
      </c>
      <c r="F187" s="1499"/>
      <c r="G187" s="1394"/>
      <c r="H187" s="1581"/>
      <c r="I187" s="1089"/>
      <c r="J187" s="1090" t="s">
        <v>22</v>
      </c>
      <c r="K187" s="896">
        <f t="shared" si="28"/>
        <v>2080</v>
      </c>
      <c r="L187" s="780">
        <v>2080</v>
      </c>
      <c r="M187" s="1099"/>
      <c r="N187" s="1100"/>
      <c r="O187" s="270">
        <f t="shared" si="29"/>
        <v>2023.9</v>
      </c>
      <c r="P187" s="780">
        <v>2023.9</v>
      </c>
      <c r="Q187" s="1101"/>
      <c r="R187" s="1102"/>
      <c r="S187" s="1034">
        <v>2023.9</v>
      </c>
      <c r="T187" s="1034">
        <v>2023.9</v>
      </c>
      <c r="U187" s="2526" t="s">
        <v>319</v>
      </c>
      <c r="V187" s="2528">
        <v>100</v>
      </c>
      <c r="W187" s="2528">
        <v>100</v>
      </c>
      <c r="X187" s="2530">
        <v>100</v>
      </c>
    </row>
    <row r="188" spans="1:27" ht="12.75" customHeight="1" x14ac:dyDescent="0.2">
      <c r="A188" s="1424"/>
      <c r="B188" s="1392"/>
      <c r="C188" s="1402"/>
      <c r="D188" s="196"/>
      <c r="E188" s="1094"/>
      <c r="F188" s="1499"/>
      <c r="G188" s="1394"/>
      <c r="H188" s="1581"/>
      <c r="I188" s="1089"/>
      <c r="J188" s="1103" t="s">
        <v>240</v>
      </c>
      <c r="K188" s="789">
        <v>49.2</v>
      </c>
      <c r="L188" s="780">
        <v>49.2</v>
      </c>
      <c r="M188" s="780"/>
      <c r="N188" s="987"/>
      <c r="O188" s="789"/>
      <c r="P188" s="780"/>
      <c r="Q188" s="1104"/>
      <c r="R188" s="1105"/>
      <c r="S188" s="1034"/>
      <c r="T188" s="1034"/>
      <c r="U188" s="2526"/>
      <c r="V188" s="2528"/>
      <c r="W188" s="2528"/>
      <c r="X188" s="2530"/>
    </row>
    <row r="189" spans="1:27" ht="12.75" customHeight="1" x14ac:dyDescent="0.2">
      <c r="A189" s="1424"/>
      <c r="B189" s="1392"/>
      <c r="C189" s="1402"/>
      <c r="D189" s="198"/>
      <c r="E189" s="1094"/>
      <c r="F189" s="1499"/>
      <c r="G189" s="1394"/>
      <c r="H189" s="1581"/>
      <c r="I189" s="1089"/>
      <c r="J189" s="1142" t="s">
        <v>25</v>
      </c>
      <c r="K189" s="1143">
        <v>23.7</v>
      </c>
      <c r="L189" s="286">
        <v>23.7</v>
      </c>
      <c r="M189" s="286"/>
      <c r="N189" s="287"/>
      <c r="O189" s="1143">
        <f>+P189+R189</f>
        <v>0</v>
      </c>
      <c r="P189" s="286">
        <v>0</v>
      </c>
      <c r="Q189" s="1104"/>
      <c r="R189" s="1106"/>
      <c r="S189" s="1034">
        <v>0</v>
      </c>
      <c r="T189" s="1034">
        <v>0</v>
      </c>
      <c r="U189" s="2527"/>
      <c r="V189" s="2529"/>
      <c r="W189" s="2529"/>
      <c r="X189" s="2531"/>
    </row>
    <row r="190" spans="1:27" s="796" customFormat="1" ht="29.25" customHeight="1" x14ac:dyDescent="0.2">
      <c r="A190" s="1424"/>
      <c r="B190" s="1392"/>
      <c r="C190" s="1402"/>
      <c r="D190" s="1114" t="s">
        <v>55</v>
      </c>
      <c r="E190" s="1144" t="s">
        <v>142</v>
      </c>
      <c r="F190" s="1108"/>
      <c r="G190" s="1109"/>
      <c r="H190" s="1604"/>
      <c r="I190" s="1110"/>
      <c r="J190" s="1103" t="s">
        <v>22</v>
      </c>
      <c r="K190" s="789">
        <f>+L190+N190</f>
        <v>0</v>
      </c>
      <c r="L190" s="281">
        <v>0</v>
      </c>
      <c r="M190" s="281"/>
      <c r="N190" s="776"/>
      <c r="O190" s="789">
        <f>+P190+R190</f>
        <v>650</v>
      </c>
      <c r="P190" s="281">
        <v>650</v>
      </c>
      <c r="Q190" s="281"/>
      <c r="R190" s="987"/>
      <c r="S190" s="1034">
        <v>800</v>
      </c>
      <c r="T190" s="1034">
        <v>800</v>
      </c>
      <c r="U190" s="1140" t="s">
        <v>320</v>
      </c>
      <c r="V190" s="1112">
        <v>11</v>
      </c>
      <c r="W190" s="1112">
        <v>13</v>
      </c>
      <c r="X190" s="1113">
        <v>16</v>
      </c>
      <c r="Y190" s="795"/>
      <c r="AA190" s="797"/>
    </row>
    <row r="191" spans="1:27" s="796" customFormat="1" ht="43.5" customHeight="1" x14ac:dyDescent="0.2">
      <c r="A191" s="1424"/>
      <c r="B191" s="1392"/>
      <c r="C191" s="1402"/>
      <c r="D191" s="1107" t="s">
        <v>241</v>
      </c>
      <c r="E191" s="1149" t="s">
        <v>334</v>
      </c>
      <c r="F191" s="1108"/>
      <c r="G191" s="1109"/>
      <c r="H191" s="1604"/>
      <c r="I191" s="1110"/>
      <c r="J191" s="1111" t="s">
        <v>22</v>
      </c>
      <c r="K191" s="789">
        <f>+L191+N191</f>
        <v>0</v>
      </c>
      <c r="L191" s="780">
        <v>0</v>
      </c>
      <c r="M191" s="780"/>
      <c r="N191" s="987"/>
      <c r="O191" s="789">
        <f>+P191+R191</f>
        <v>200</v>
      </c>
      <c r="P191" s="780">
        <v>200</v>
      </c>
      <c r="Q191" s="281"/>
      <c r="R191" s="776"/>
      <c r="S191" s="1034">
        <v>400</v>
      </c>
      <c r="T191" s="1034">
        <v>400</v>
      </c>
      <c r="U191" s="1506" t="s">
        <v>321</v>
      </c>
      <c r="V191" s="1112">
        <v>1</v>
      </c>
      <c r="W191" s="1112">
        <v>1</v>
      </c>
      <c r="X191" s="1113">
        <v>1</v>
      </c>
      <c r="Y191" s="795"/>
      <c r="AA191" s="797"/>
    </row>
    <row r="192" spans="1:27" ht="13.5" thickBot="1" x14ac:dyDescent="0.25">
      <c r="A192" s="1424"/>
      <c r="B192" s="1392"/>
      <c r="C192" s="1402"/>
      <c r="D192" s="199"/>
      <c r="E192" s="194"/>
      <c r="F192" s="194"/>
      <c r="G192" s="1500"/>
      <c r="H192" s="1583"/>
      <c r="I192" s="1115"/>
      <c r="J192" s="1116" t="s">
        <v>23</v>
      </c>
      <c r="K192" s="64">
        <f>L192+N192</f>
        <v>3182.2</v>
      </c>
      <c r="L192" s="62">
        <f>SUM(L182:L191)</f>
        <v>3182.2</v>
      </c>
      <c r="M192" s="62"/>
      <c r="N192" s="65"/>
      <c r="O192" s="1117">
        <f>P192+R192</f>
        <v>4348.2000000000007</v>
      </c>
      <c r="P192" s="62">
        <f>SUM(P182:P191)</f>
        <v>4268.2000000000007</v>
      </c>
      <c r="Q192" s="62"/>
      <c r="R192" s="63">
        <f>SUM(R182:R191)</f>
        <v>80</v>
      </c>
      <c r="S192" s="918">
        <f>SUM(S182:S191)</f>
        <v>4896.2000000000007</v>
      </c>
      <c r="T192" s="915">
        <f>SUM(T182:T191)</f>
        <v>4863.2000000000007</v>
      </c>
      <c r="U192" s="1141"/>
      <c r="V192" s="90"/>
      <c r="W192" s="1490"/>
      <c r="X192" s="714"/>
    </row>
    <row r="193" spans="1:45" ht="27.75" customHeight="1" x14ac:dyDescent="0.2">
      <c r="A193" s="1410" t="s">
        <v>24</v>
      </c>
      <c r="B193" s="1412" t="s">
        <v>26</v>
      </c>
      <c r="C193" s="1396" t="s">
        <v>24</v>
      </c>
      <c r="D193" s="2532"/>
      <c r="E193" s="2367" t="s">
        <v>276</v>
      </c>
      <c r="F193" s="2517" t="s">
        <v>139</v>
      </c>
      <c r="G193" s="1073" t="s">
        <v>21</v>
      </c>
      <c r="H193" s="2534">
        <v>6</v>
      </c>
      <c r="I193" s="2540" t="s">
        <v>336</v>
      </c>
      <c r="J193" s="1118" t="s">
        <v>22</v>
      </c>
      <c r="K193" s="788">
        <f>L193+N193</f>
        <v>75.3</v>
      </c>
      <c r="L193" s="778">
        <v>75.3</v>
      </c>
      <c r="M193" s="788"/>
      <c r="N193" s="784"/>
      <c r="O193" s="1075">
        <f>P193+R193</f>
        <v>73</v>
      </c>
      <c r="P193" s="1076"/>
      <c r="Q193" s="990"/>
      <c r="R193" s="1049">
        <v>73</v>
      </c>
      <c r="S193" s="75">
        <v>210</v>
      </c>
      <c r="T193" s="74">
        <v>320</v>
      </c>
      <c r="U193" s="2370" t="s">
        <v>140</v>
      </c>
      <c r="V193" s="975">
        <v>1</v>
      </c>
      <c r="W193" s="976">
        <v>4</v>
      </c>
      <c r="X193" s="743">
        <v>6</v>
      </c>
    </row>
    <row r="194" spans="1:45" ht="15" customHeight="1" thickBot="1" x14ac:dyDescent="0.25">
      <c r="A194" s="1411"/>
      <c r="B194" s="1413"/>
      <c r="C194" s="1397"/>
      <c r="D194" s="2533"/>
      <c r="E194" s="2368"/>
      <c r="F194" s="2518"/>
      <c r="G194" s="1119"/>
      <c r="H194" s="2535"/>
      <c r="I194" s="2541"/>
      <c r="J194" s="420" t="s">
        <v>23</v>
      </c>
      <c r="K194" s="367">
        <f>L194+N194</f>
        <v>75.3</v>
      </c>
      <c r="L194" s="370">
        <f>L193</f>
        <v>75.3</v>
      </c>
      <c r="M194" s="370"/>
      <c r="N194" s="370"/>
      <c r="O194" s="371">
        <f>P194+R194</f>
        <v>73</v>
      </c>
      <c r="P194" s="370"/>
      <c r="Q194" s="370"/>
      <c r="R194" s="368">
        <f>R193</f>
        <v>73</v>
      </c>
      <c r="S194" s="365">
        <f>SUM(S193)</f>
        <v>210</v>
      </c>
      <c r="T194" s="366">
        <f>SUM(T193)</f>
        <v>320</v>
      </c>
      <c r="U194" s="2371"/>
      <c r="V194" s="90"/>
      <c r="W194" s="1490"/>
      <c r="X194" s="714"/>
    </row>
    <row r="195" spans="1:45" ht="27" customHeight="1" x14ac:dyDescent="0.2">
      <c r="A195" s="2204" t="s">
        <v>24</v>
      </c>
      <c r="B195" s="2167" t="s">
        <v>26</v>
      </c>
      <c r="C195" s="147" t="s">
        <v>26</v>
      </c>
      <c r="D195" s="2522"/>
      <c r="E195" s="2364" t="s">
        <v>59</v>
      </c>
      <c r="F195" s="2517"/>
      <c r="G195" s="1073" t="s">
        <v>21</v>
      </c>
      <c r="H195" s="2538">
        <v>2</v>
      </c>
      <c r="I195" s="2498" t="s">
        <v>165</v>
      </c>
      <c r="J195" s="1120" t="s">
        <v>22</v>
      </c>
      <c r="K195" s="783">
        <f>L195+N195</f>
        <v>108</v>
      </c>
      <c r="L195" s="773">
        <v>108</v>
      </c>
      <c r="M195" s="773"/>
      <c r="N195" s="1038"/>
      <c r="O195" s="1121">
        <f>P195+R195</f>
        <v>108</v>
      </c>
      <c r="P195" s="43">
        <v>108</v>
      </c>
      <c r="Q195" s="43"/>
      <c r="R195" s="44"/>
      <c r="S195" s="74">
        <v>100</v>
      </c>
      <c r="T195" s="74">
        <v>100</v>
      </c>
      <c r="U195" s="1996" t="s">
        <v>322</v>
      </c>
      <c r="V195" s="1122">
        <v>320</v>
      </c>
      <c r="W195" s="1123">
        <v>300</v>
      </c>
      <c r="X195" s="743">
        <v>300</v>
      </c>
    </row>
    <row r="196" spans="1:45" ht="15.75" customHeight="1" thickBot="1" x14ac:dyDescent="0.25">
      <c r="A196" s="2206"/>
      <c r="B196" s="2168"/>
      <c r="C196" s="145"/>
      <c r="D196" s="2524"/>
      <c r="E196" s="2356"/>
      <c r="F196" s="2518"/>
      <c r="G196" s="1119"/>
      <c r="H196" s="2539"/>
      <c r="I196" s="2500"/>
      <c r="J196" s="420" t="s">
        <v>23</v>
      </c>
      <c r="K196" s="398">
        <f>L196+N196</f>
        <v>108</v>
      </c>
      <c r="L196" s="394">
        <f>SUM(L195)</f>
        <v>108</v>
      </c>
      <c r="M196" s="394"/>
      <c r="N196" s="368"/>
      <c r="O196" s="398">
        <f>P196+R196</f>
        <v>108</v>
      </c>
      <c r="P196" s="394">
        <f>SUM(P195)</f>
        <v>108</v>
      </c>
      <c r="Q196" s="394"/>
      <c r="R196" s="368"/>
      <c r="S196" s="365">
        <f>SUM(S195)</f>
        <v>100</v>
      </c>
      <c r="T196" s="366">
        <f>SUM(T195)</f>
        <v>100</v>
      </c>
      <c r="U196" s="1998"/>
      <c r="V196" s="90"/>
      <c r="W196" s="1490"/>
      <c r="X196" s="714"/>
    </row>
    <row r="197" spans="1:45" ht="28.5" customHeight="1" x14ac:dyDescent="0.2">
      <c r="A197" s="1410" t="s">
        <v>24</v>
      </c>
      <c r="B197" s="1412" t="s">
        <v>26</v>
      </c>
      <c r="C197" s="147" t="s">
        <v>28</v>
      </c>
      <c r="D197" s="1488"/>
      <c r="E197" s="1493" t="s">
        <v>281</v>
      </c>
      <c r="F197" s="1494"/>
      <c r="G197" s="1073" t="s">
        <v>21</v>
      </c>
      <c r="H197" s="1585">
        <v>2</v>
      </c>
      <c r="I197" s="1477" t="s">
        <v>165</v>
      </c>
      <c r="J197" s="609"/>
      <c r="K197" s="787"/>
      <c r="L197" s="778"/>
      <c r="M197" s="778"/>
      <c r="N197" s="784"/>
      <c r="O197" s="787"/>
      <c r="P197" s="778"/>
      <c r="Q197" s="778"/>
      <c r="R197" s="1060"/>
      <c r="S197" s="75"/>
      <c r="T197" s="74"/>
      <c r="U197" s="1447"/>
      <c r="V197" s="1122"/>
      <c r="W197" s="1123"/>
      <c r="X197" s="743"/>
    </row>
    <row r="198" spans="1:45" ht="30.75" customHeight="1" x14ac:dyDescent="0.2">
      <c r="A198" s="1424"/>
      <c r="B198" s="1392"/>
      <c r="C198" s="146"/>
      <c r="D198" s="1492"/>
      <c r="E198" s="1164" t="s">
        <v>335</v>
      </c>
      <c r="F198" s="1395"/>
      <c r="G198" s="1394"/>
      <c r="H198" s="1586"/>
      <c r="I198" s="1478"/>
      <c r="J198" s="1064" t="s">
        <v>22</v>
      </c>
      <c r="K198" s="270"/>
      <c r="L198" s="780"/>
      <c r="M198" s="780"/>
      <c r="N198" s="901"/>
      <c r="O198" s="270"/>
      <c r="P198" s="780"/>
      <c r="Q198" s="780"/>
      <c r="R198" s="1166"/>
      <c r="S198" s="121">
        <v>250</v>
      </c>
      <c r="T198" s="122"/>
      <c r="U198" s="1162" t="s">
        <v>323</v>
      </c>
      <c r="V198" s="1163"/>
      <c r="W198" s="1124">
        <v>10</v>
      </c>
      <c r="X198" s="688"/>
    </row>
    <row r="199" spans="1:45" ht="15.75" customHeight="1" x14ac:dyDescent="0.2">
      <c r="A199" s="1424"/>
      <c r="B199" s="1392"/>
      <c r="C199" s="146"/>
      <c r="D199" s="1492"/>
      <c r="E199" s="1167" t="s">
        <v>298</v>
      </c>
      <c r="F199" s="1395"/>
      <c r="G199" s="1394"/>
      <c r="H199" s="1586"/>
      <c r="I199" s="1478"/>
      <c r="J199" s="525" t="s">
        <v>22</v>
      </c>
      <c r="K199" s="1037">
        <f>L199+N199</f>
        <v>50</v>
      </c>
      <c r="L199" s="281">
        <v>42.8</v>
      </c>
      <c r="M199" s="281"/>
      <c r="N199" s="1084">
        <v>7.2</v>
      </c>
      <c r="O199" s="789"/>
      <c r="P199" s="281"/>
      <c r="Q199" s="281"/>
      <c r="R199" s="1035"/>
      <c r="S199" s="3"/>
      <c r="T199" s="39"/>
      <c r="U199" s="1462"/>
      <c r="V199" s="531"/>
      <c r="W199" s="1124"/>
      <c r="X199" s="688"/>
    </row>
    <row r="200" spans="1:45" ht="18.75" customHeight="1" thickBot="1" x14ac:dyDescent="0.25">
      <c r="A200" s="1411"/>
      <c r="B200" s="1413"/>
      <c r="C200" s="145"/>
      <c r="D200" s="1489"/>
      <c r="E200" s="1165"/>
      <c r="F200" s="1495"/>
      <c r="G200" s="1119"/>
      <c r="H200" s="1587"/>
      <c r="I200" s="1479"/>
      <c r="J200" s="420" t="s">
        <v>23</v>
      </c>
      <c r="K200" s="404">
        <f>SUM(K198:K199)</f>
        <v>50</v>
      </c>
      <c r="L200" s="404">
        <f>SUM(L198:L199)</f>
        <v>42.8</v>
      </c>
      <c r="M200" s="404"/>
      <c r="N200" s="367">
        <f>SUM(N198:N199)</f>
        <v>7.2</v>
      </c>
      <c r="O200" s="369">
        <f t="shared" ref="O200:T200" si="30">SUM(O198:O198)</f>
        <v>0</v>
      </c>
      <c r="P200" s="404">
        <f t="shared" si="30"/>
        <v>0</v>
      </c>
      <c r="Q200" s="404">
        <f t="shared" si="30"/>
        <v>0</v>
      </c>
      <c r="R200" s="366">
        <f t="shared" si="30"/>
        <v>0</v>
      </c>
      <c r="S200" s="365">
        <f t="shared" si="30"/>
        <v>250</v>
      </c>
      <c r="T200" s="404">
        <f t="shared" si="30"/>
        <v>0</v>
      </c>
      <c r="U200" s="1448"/>
      <c r="V200" s="90"/>
      <c r="W200" s="1490"/>
      <c r="X200" s="714"/>
    </row>
    <row r="201" spans="1:45" ht="45.75" customHeight="1" x14ac:dyDescent="0.2">
      <c r="A201" s="2201" t="s">
        <v>24</v>
      </c>
      <c r="B201" s="2208" t="s">
        <v>26</v>
      </c>
      <c r="C201" s="147" t="s">
        <v>29</v>
      </c>
      <c r="D201" s="2522"/>
      <c r="E201" s="2354" t="s">
        <v>306</v>
      </c>
      <c r="F201" s="2525" t="s">
        <v>135</v>
      </c>
      <c r="G201" s="1073" t="s">
        <v>21</v>
      </c>
      <c r="H201" s="2360">
        <v>2</v>
      </c>
      <c r="I201" s="2498" t="s">
        <v>165</v>
      </c>
      <c r="J201" s="1120" t="s">
        <v>22</v>
      </c>
      <c r="K201" s="783"/>
      <c r="L201" s="773"/>
      <c r="M201" s="773"/>
      <c r="N201" s="1038"/>
      <c r="O201" s="284">
        <f>P201+R201</f>
        <v>64</v>
      </c>
      <c r="P201" s="773"/>
      <c r="Q201" s="773"/>
      <c r="R201" s="1038">
        <v>64</v>
      </c>
      <c r="S201" s="75">
        <v>74</v>
      </c>
      <c r="T201" s="74">
        <v>67</v>
      </c>
      <c r="U201" s="1125" t="s">
        <v>90</v>
      </c>
      <c r="V201" s="1126">
        <v>9</v>
      </c>
      <c r="W201" s="1123">
        <v>10</v>
      </c>
      <c r="X201" s="743">
        <v>10</v>
      </c>
    </row>
    <row r="202" spans="1:45" ht="45.75" customHeight="1" x14ac:dyDescent="0.2">
      <c r="A202" s="2202"/>
      <c r="B202" s="2209"/>
      <c r="C202" s="146"/>
      <c r="D202" s="2523"/>
      <c r="E202" s="2355"/>
      <c r="F202" s="2312"/>
      <c r="G202" s="1394"/>
      <c r="H202" s="2361"/>
      <c r="I202" s="2499"/>
      <c r="J202" s="1127" t="s">
        <v>174</v>
      </c>
      <c r="K202" s="285">
        <f>L202+N202</f>
        <v>50</v>
      </c>
      <c r="L202" s="286">
        <v>50</v>
      </c>
      <c r="M202" s="286"/>
      <c r="N202" s="793"/>
      <c r="O202" s="1030"/>
      <c r="P202" s="286"/>
      <c r="Q202" s="286"/>
      <c r="R202" s="786"/>
      <c r="S202" s="3"/>
      <c r="T202" s="39"/>
      <c r="U202" s="1128"/>
      <c r="V202" s="531"/>
      <c r="W202" s="1124"/>
      <c r="X202" s="688"/>
    </row>
    <row r="203" spans="1:45" ht="15.75" customHeight="1" thickBot="1" x14ac:dyDescent="0.25">
      <c r="A203" s="2203"/>
      <c r="B203" s="2210"/>
      <c r="C203" s="145"/>
      <c r="D203" s="2524"/>
      <c r="E203" s="2356"/>
      <c r="F203" s="2318"/>
      <c r="G203" s="1119"/>
      <c r="H203" s="2362"/>
      <c r="I203" s="2500"/>
      <c r="J203" s="420" t="s">
        <v>23</v>
      </c>
      <c r="K203" s="398">
        <f>L203+N203</f>
        <v>50</v>
      </c>
      <c r="L203" s="394">
        <f>SUM(L201:L202)</f>
        <v>50</v>
      </c>
      <c r="M203" s="394">
        <f>M201</f>
        <v>0</v>
      </c>
      <c r="N203" s="394">
        <f>N201</f>
        <v>0</v>
      </c>
      <c r="O203" s="397">
        <f>P203+R203</f>
        <v>64</v>
      </c>
      <c r="P203" s="394"/>
      <c r="Q203" s="394"/>
      <c r="R203" s="368">
        <f>SUM(R201)</f>
        <v>64</v>
      </c>
      <c r="S203" s="365">
        <f>SUM(S201)</f>
        <v>74</v>
      </c>
      <c r="T203" s="366">
        <f>SUM(T201)</f>
        <v>67</v>
      </c>
      <c r="U203" s="1129"/>
      <c r="V203" s="90"/>
      <c r="W203" s="1490"/>
      <c r="X203" s="714"/>
    </row>
    <row r="204" spans="1:45" ht="15" customHeight="1" thickBot="1" x14ac:dyDescent="0.25">
      <c r="A204" s="31" t="s">
        <v>24</v>
      </c>
      <c r="B204" s="33" t="s">
        <v>26</v>
      </c>
      <c r="C204" s="2139" t="s">
        <v>27</v>
      </c>
      <c r="D204" s="2154"/>
      <c r="E204" s="2154"/>
      <c r="F204" s="2154"/>
      <c r="G204" s="2154"/>
      <c r="H204" s="2154"/>
      <c r="I204" s="2154"/>
      <c r="J204" s="2353"/>
      <c r="K204" s="1459">
        <f>K203+K196+K194+K192+K200</f>
        <v>3465.5</v>
      </c>
      <c r="L204" s="290">
        <f>L203+L196+L194+L192+L200</f>
        <v>3458.3</v>
      </c>
      <c r="M204" s="1460">
        <f>M203+M196+M194+M192+M200</f>
        <v>0</v>
      </c>
      <c r="N204" s="1041">
        <f>N203+N196+N194+N192+N200</f>
        <v>7.2</v>
      </c>
      <c r="O204" s="1459">
        <f>P204+R204</f>
        <v>4593.2000000000007</v>
      </c>
      <c r="P204" s="290">
        <f>P203+P196+P194+P192+P200</f>
        <v>4376.2000000000007</v>
      </c>
      <c r="Q204" s="1460"/>
      <c r="R204" s="288">
        <f t="shared" ref="R204" si="31">R203+R196+R194+R192+R200</f>
        <v>217</v>
      </c>
      <c r="S204" s="1">
        <f t="shared" ref="S204" si="32">S203+S196+S194+S192+S200</f>
        <v>5530.2000000000007</v>
      </c>
      <c r="T204" s="1">
        <f t="shared" ref="T204" si="33">T203+T196+T194+T192+T200</f>
        <v>5350.2000000000007</v>
      </c>
      <c r="U204" s="1985"/>
      <c r="V204" s="1986"/>
      <c r="W204" s="1986"/>
      <c r="X204" s="1987"/>
    </row>
    <row r="205" spans="1:45" ht="15.75" customHeight="1" thickBot="1" x14ac:dyDescent="0.25">
      <c r="A205" s="31" t="s">
        <v>24</v>
      </c>
      <c r="B205" s="2199" t="s">
        <v>10</v>
      </c>
      <c r="C205" s="2199"/>
      <c r="D205" s="2199"/>
      <c r="E205" s="2199"/>
      <c r="F205" s="2199"/>
      <c r="G205" s="2199"/>
      <c r="H205" s="2199"/>
      <c r="I205" s="2199"/>
      <c r="J205" s="2199"/>
      <c r="K205" s="301">
        <f>L205+N205</f>
        <v>10246</v>
      </c>
      <c r="L205" s="302">
        <f t="shared" ref="L205:R205" si="34">L204+L179+L172</f>
        <v>5071.3</v>
      </c>
      <c r="M205" s="302">
        <f t="shared" si="34"/>
        <v>22.3</v>
      </c>
      <c r="N205" s="302">
        <f t="shared" si="34"/>
        <v>5174.7</v>
      </c>
      <c r="O205" s="301">
        <f t="shared" si="34"/>
        <v>13152.300000000001</v>
      </c>
      <c r="P205" s="302">
        <f t="shared" si="34"/>
        <v>5518.6</v>
      </c>
      <c r="Q205" s="302">
        <f t="shared" si="34"/>
        <v>13.3</v>
      </c>
      <c r="R205" s="303">
        <f t="shared" si="34"/>
        <v>7633.7000000000007</v>
      </c>
      <c r="S205" s="304">
        <f>S204+S179+S172</f>
        <v>10875</v>
      </c>
      <c r="T205" s="1393">
        <f>T204+T179+T172</f>
        <v>17266.5</v>
      </c>
      <c r="U205" s="2159"/>
      <c r="V205" s="2160"/>
      <c r="W205" s="2160"/>
      <c r="X205" s="2161"/>
    </row>
    <row r="206" spans="1:45" ht="14.25" customHeight="1" thickBot="1" x14ac:dyDescent="0.25">
      <c r="A206" s="34" t="s">
        <v>9</v>
      </c>
      <c r="B206" s="2200" t="s">
        <v>11</v>
      </c>
      <c r="C206" s="2200"/>
      <c r="D206" s="2200"/>
      <c r="E206" s="2200"/>
      <c r="F206" s="2200"/>
      <c r="G206" s="2200"/>
      <c r="H206" s="2200"/>
      <c r="I206" s="2200"/>
      <c r="J206" s="2200"/>
      <c r="K206" s="305">
        <f t="shared" ref="K206" si="35">L206+N206</f>
        <v>199828.59999999995</v>
      </c>
      <c r="L206" s="306">
        <f t="shared" ref="L206:R206" si="36">L205+L81</f>
        <v>194444.49999999994</v>
      </c>
      <c r="M206" s="306">
        <f t="shared" si="36"/>
        <v>126947.60000000002</v>
      </c>
      <c r="N206" s="306">
        <f t="shared" si="36"/>
        <v>5384.0999999999995</v>
      </c>
      <c r="O206" s="305">
        <f t="shared" si="36"/>
        <v>205245.09999999995</v>
      </c>
      <c r="P206" s="306">
        <f t="shared" si="36"/>
        <v>197311.19999999995</v>
      </c>
      <c r="Q206" s="306">
        <f t="shared" si="36"/>
        <v>128507.10000000002</v>
      </c>
      <c r="R206" s="307">
        <f t="shared" si="36"/>
        <v>7933.9000000000005</v>
      </c>
      <c r="S206" s="308">
        <f>S205+S81</f>
        <v>217794.6</v>
      </c>
      <c r="T206" s="1425">
        <f>T205+T81</f>
        <v>223614.6</v>
      </c>
      <c r="U206" s="2163"/>
      <c r="V206" s="2164"/>
      <c r="W206" s="2164"/>
      <c r="X206" s="2165"/>
    </row>
    <row r="207" spans="1:45" s="127" customFormat="1" ht="15" customHeight="1" x14ac:dyDescent="0.2">
      <c r="A207" s="2519" t="s">
        <v>337</v>
      </c>
      <c r="B207" s="2519"/>
      <c r="C207" s="2519"/>
      <c r="D207" s="2519"/>
      <c r="E207" s="2519"/>
      <c r="F207" s="2519"/>
      <c r="G207" s="2519"/>
      <c r="H207" s="2519"/>
      <c r="I207" s="2519"/>
      <c r="J207" s="2519"/>
      <c r="K207" s="2519"/>
      <c r="L207" s="2519"/>
      <c r="M207" s="2519"/>
      <c r="N207" s="2519"/>
      <c r="O207" s="2519"/>
      <c r="P207" s="2519"/>
      <c r="Q207" s="2519"/>
      <c r="R207" s="2519"/>
      <c r="S207" s="2519"/>
      <c r="T207" s="2519"/>
      <c r="U207" s="2519"/>
      <c r="V207" s="2519"/>
      <c r="W207" s="2519"/>
      <c r="X207" s="2519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  <c r="AP207" s="126"/>
      <c r="AQ207" s="126"/>
      <c r="AR207" s="126"/>
      <c r="AS207" s="126"/>
    </row>
    <row r="208" spans="1:45" s="127" customFormat="1" ht="14.25" customHeight="1" x14ac:dyDescent="0.2">
      <c r="A208" s="2520" t="s">
        <v>239</v>
      </c>
      <c r="B208" s="2520"/>
      <c r="C208" s="2520"/>
      <c r="D208" s="2520"/>
      <c r="E208" s="2520"/>
      <c r="F208" s="2520"/>
      <c r="G208" s="2520"/>
      <c r="H208" s="2520"/>
      <c r="I208" s="2520"/>
      <c r="J208" s="2520"/>
      <c r="K208" s="2520"/>
      <c r="L208" s="2520"/>
      <c r="M208" s="2520"/>
      <c r="N208" s="2520"/>
      <c r="O208" s="2520"/>
      <c r="P208" s="2520"/>
      <c r="Q208" s="2520"/>
      <c r="R208" s="2520"/>
      <c r="S208" s="2520"/>
      <c r="T208" s="2520"/>
      <c r="U208" s="2520"/>
      <c r="V208" s="2520"/>
      <c r="W208" s="2520"/>
      <c r="X208" s="2520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</row>
    <row r="209" spans="1:27" s="5" customFormat="1" ht="13.5" thickBot="1" x14ac:dyDescent="0.25">
      <c r="A209" s="2166" t="s">
        <v>2</v>
      </c>
      <c r="B209" s="2166"/>
      <c r="C209" s="2166"/>
      <c r="D209" s="2166"/>
      <c r="E209" s="2166"/>
      <c r="F209" s="2166"/>
      <c r="G209" s="2166"/>
      <c r="H209" s="2166"/>
      <c r="I209" s="2166"/>
      <c r="J209" s="2166"/>
      <c r="K209" s="2166"/>
      <c r="L209" s="2166"/>
      <c r="M209" s="2166"/>
      <c r="N209" s="2166"/>
      <c r="O209" s="2166"/>
      <c r="P209" s="2166"/>
      <c r="Q209" s="2166"/>
      <c r="R209" s="2166"/>
      <c r="S209" s="2166"/>
      <c r="T209" s="2166"/>
      <c r="U209" s="309"/>
      <c r="V209" s="309"/>
      <c r="W209" s="309"/>
      <c r="X209" s="107"/>
    </row>
    <row r="210" spans="1:27" s="6" customFormat="1" ht="34.5" customHeight="1" thickBot="1" x14ac:dyDescent="0.25">
      <c r="A210" s="2196" t="s">
        <v>3</v>
      </c>
      <c r="B210" s="2197"/>
      <c r="C210" s="2197"/>
      <c r="D210" s="2197"/>
      <c r="E210" s="2197"/>
      <c r="F210" s="2197"/>
      <c r="G210" s="2197"/>
      <c r="H210" s="2197"/>
      <c r="I210" s="2197"/>
      <c r="J210" s="2198"/>
      <c r="K210" s="2104" t="s">
        <v>236</v>
      </c>
      <c r="L210" s="2105"/>
      <c r="M210" s="2105"/>
      <c r="N210" s="2106"/>
      <c r="O210" s="2104" t="s">
        <v>303</v>
      </c>
      <c r="P210" s="2105"/>
      <c r="Q210" s="2105"/>
      <c r="R210" s="2106"/>
      <c r="S210" s="1961" t="s">
        <v>342</v>
      </c>
      <c r="T210" s="1961" t="s">
        <v>343</v>
      </c>
      <c r="U210" s="83"/>
      <c r="V210" s="2162"/>
      <c r="W210" s="2162"/>
      <c r="X210" s="72"/>
      <c r="AA210" s="2"/>
    </row>
    <row r="211" spans="1:27" s="6" customFormat="1" x14ac:dyDescent="0.2">
      <c r="A211" s="2186" t="s">
        <v>33</v>
      </c>
      <c r="B211" s="2187"/>
      <c r="C211" s="2187"/>
      <c r="D211" s="2187"/>
      <c r="E211" s="2187"/>
      <c r="F211" s="2187"/>
      <c r="G211" s="2187"/>
      <c r="H211" s="2187"/>
      <c r="I211" s="2187"/>
      <c r="J211" s="2188"/>
      <c r="K211" s="2184">
        <f>SUM(K212:N217)</f>
        <v>196232.3</v>
      </c>
      <c r="L211" s="2185"/>
      <c r="M211" s="2185"/>
      <c r="N211" s="2521"/>
      <c r="O211" s="2184">
        <f>SUM(O212:R217)</f>
        <v>200627.19999999995</v>
      </c>
      <c r="P211" s="2185"/>
      <c r="Q211" s="2185"/>
      <c r="R211" s="2521"/>
      <c r="S211" s="86">
        <f>SUM(S212:S217)</f>
        <v>214405.69999999995</v>
      </c>
      <c r="T211" s="86">
        <f>SUM(T212:T217)</f>
        <v>212848.29999999996</v>
      </c>
      <c r="U211" s="84"/>
      <c r="V211" s="2178"/>
      <c r="W211" s="2178"/>
      <c r="X211" s="72"/>
    </row>
    <row r="212" spans="1:27" s="6" customFormat="1" x14ac:dyDescent="0.2">
      <c r="A212" s="2181" t="s">
        <v>36</v>
      </c>
      <c r="B212" s="2182"/>
      <c r="C212" s="2182"/>
      <c r="D212" s="2182"/>
      <c r="E212" s="2182"/>
      <c r="F212" s="2182"/>
      <c r="G212" s="2182"/>
      <c r="H212" s="2182"/>
      <c r="I212" s="2508"/>
      <c r="J212" s="2183"/>
      <c r="K212" s="2174">
        <f>SUMIF(J14:J203,"sb",K14:K203)</f>
        <v>74582.099999999977</v>
      </c>
      <c r="L212" s="2175"/>
      <c r="M212" s="2175"/>
      <c r="N212" s="2510"/>
      <c r="O212" s="2174">
        <f>SUMIF(J14:J202,"sb",O14:O202)</f>
        <v>79089.999999999956</v>
      </c>
      <c r="P212" s="2175"/>
      <c r="Q212" s="2175"/>
      <c r="R212" s="2510"/>
      <c r="S212" s="68">
        <f>SUMIF(J14:J203,"sb",S14:S203)</f>
        <v>92698.199999999953</v>
      </c>
      <c r="T212" s="68">
        <f>SUMIF(J14:J203,"sb",T14:T203)</f>
        <v>91393.299999999974</v>
      </c>
      <c r="U212" s="1957"/>
      <c r="V212" s="2169"/>
      <c r="W212" s="2169"/>
      <c r="X212" s="72"/>
    </row>
    <row r="213" spans="1:27" s="6" customFormat="1" x14ac:dyDescent="0.2">
      <c r="A213" s="2511" t="s">
        <v>277</v>
      </c>
      <c r="B213" s="2512"/>
      <c r="C213" s="2512"/>
      <c r="D213" s="2512"/>
      <c r="E213" s="2512"/>
      <c r="F213" s="2512"/>
      <c r="G213" s="2512"/>
      <c r="H213" s="2512"/>
      <c r="I213" s="2512"/>
      <c r="J213" s="2513"/>
      <c r="K213" s="2174">
        <f>SUMIF(J14:J203,"sb(l)",K14:K203)</f>
        <v>176</v>
      </c>
      <c r="L213" s="2175"/>
      <c r="M213" s="2175"/>
      <c r="N213" s="2510"/>
      <c r="O213" s="2174">
        <f>SUMIF(J14:J203,"sb(l)",O14:O203)</f>
        <v>0</v>
      </c>
      <c r="P213" s="2175"/>
      <c r="Q213" s="2175"/>
      <c r="R213" s="2510"/>
      <c r="S213" s="68"/>
      <c r="T213" s="68"/>
      <c r="U213" s="1957"/>
      <c r="V213" s="1422"/>
      <c r="W213" s="1422"/>
      <c r="X213" s="72"/>
    </row>
    <row r="214" spans="1:27" s="6" customFormat="1" x14ac:dyDescent="0.2">
      <c r="A214" s="2181" t="s">
        <v>44</v>
      </c>
      <c r="B214" s="2182"/>
      <c r="C214" s="2182"/>
      <c r="D214" s="2182"/>
      <c r="E214" s="2182"/>
      <c r="F214" s="2182"/>
      <c r="G214" s="2182"/>
      <c r="H214" s="2182"/>
      <c r="I214" s="2508"/>
      <c r="J214" s="2183"/>
      <c r="K214" s="2174">
        <f>SUMIF(J14:J201,"sb(sp)",K14:K201)</f>
        <v>16236.6</v>
      </c>
      <c r="L214" s="2175"/>
      <c r="M214" s="2175"/>
      <c r="N214" s="2510"/>
      <c r="O214" s="2514">
        <f>SUMIF(J14:J203,"sb(sp)",O14:O203)</f>
        <v>17292.599999999999</v>
      </c>
      <c r="P214" s="2515"/>
      <c r="Q214" s="2515"/>
      <c r="R214" s="2516"/>
      <c r="S214" s="68">
        <f>SUMIF(J14:J203,"sb(sp)",S14:S203)</f>
        <v>17292.599999999999</v>
      </c>
      <c r="T214" s="68">
        <f>SUMIF(J14:J203,"sb(sp)",T14:T203)</f>
        <v>17292.599999999999</v>
      </c>
      <c r="U214" s="1957"/>
      <c r="V214" s="2169"/>
      <c r="W214" s="2169"/>
      <c r="X214" s="72"/>
    </row>
    <row r="215" spans="1:27" s="6" customFormat="1" x14ac:dyDescent="0.2">
      <c r="A215" s="2181" t="s">
        <v>37</v>
      </c>
      <c r="B215" s="2182"/>
      <c r="C215" s="2182"/>
      <c r="D215" s="2182"/>
      <c r="E215" s="2182"/>
      <c r="F215" s="2182"/>
      <c r="G215" s="2182"/>
      <c r="H215" s="2182"/>
      <c r="I215" s="2508"/>
      <c r="J215" s="2183"/>
      <c r="K215" s="2174">
        <f>SUMIF(J14:J201,J16,K14:K201)</f>
        <v>103971.09999999999</v>
      </c>
      <c r="L215" s="2175"/>
      <c r="M215" s="2175"/>
      <c r="N215" s="2510"/>
      <c r="O215" s="2174">
        <f>SUMIF(J14:J203,"sb(vb)",O14:O203)</f>
        <v>104244.59999999999</v>
      </c>
      <c r="P215" s="2175"/>
      <c r="Q215" s="2175"/>
      <c r="R215" s="2510"/>
      <c r="S215" s="69">
        <f>SUMIF(J14:J201,J16,S14:S201)</f>
        <v>104264.9</v>
      </c>
      <c r="T215" s="69">
        <f>SUMIF(J14:J203,J16,T14:T203)</f>
        <v>104162.4</v>
      </c>
      <c r="U215" s="1957"/>
      <c r="V215" s="2169"/>
      <c r="W215" s="2169"/>
      <c r="X215" s="72"/>
    </row>
    <row r="216" spans="1:27" s="6" customFormat="1" x14ac:dyDescent="0.2">
      <c r="A216" s="2181" t="s">
        <v>54</v>
      </c>
      <c r="B216" s="2182"/>
      <c r="C216" s="2182"/>
      <c r="D216" s="2182"/>
      <c r="E216" s="2182"/>
      <c r="F216" s="2182"/>
      <c r="G216" s="2182"/>
      <c r="H216" s="2182"/>
      <c r="I216" s="2508"/>
      <c r="J216" s="2183"/>
      <c r="K216" s="2157">
        <f>SUMIF(J14:J201,"sb(p)",K14:K201)</f>
        <v>1159.5999999999999</v>
      </c>
      <c r="L216" s="2158"/>
      <c r="M216" s="2158"/>
      <c r="N216" s="2509"/>
      <c r="O216" s="2157">
        <f>SUMIF(J14:J203,"sb(p)",O14:O203)</f>
        <v>0</v>
      </c>
      <c r="P216" s="2158"/>
      <c r="Q216" s="2158"/>
      <c r="R216" s="2509"/>
      <c r="S216" s="40">
        <f>SUMIF(J14:J203,"sb(p)",S14:S203)</f>
        <v>150</v>
      </c>
      <c r="T216" s="40">
        <f>SUMIF(J14:J203,#REF!,T14:T203)</f>
        <v>0</v>
      </c>
      <c r="U216" s="1957"/>
      <c r="V216" s="2169"/>
      <c r="W216" s="2169"/>
      <c r="X216" s="72"/>
    </row>
    <row r="217" spans="1:27" s="6" customFormat="1" ht="13.5" thickBot="1" x14ac:dyDescent="0.25">
      <c r="A217" s="2223" t="s">
        <v>0</v>
      </c>
      <c r="B217" s="2224"/>
      <c r="C217" s="2224"/>
      <c r="D217" s="2224"/>
      <c r="E217" s="2224"/>
      <c r="F217" s="2224"/>
      <c r="G217" s="2224"/>
      <c r="H217" s="2224"/>
      <c r="I217" s="2224"/>
      <c r="J217" s="2225"/>
      <c r="K217" s="2176">
        <f>SUMIF(J14:J201,"pf",K14:K201)</f>
        <v>106.9</v>
      </c>
      <c r="L217" s="2177"/>
      <c r="M217" s="2177"/>
      <c r="N217" s="2180"/>
      <c r="O217" s="2176">
        <f>SUMIF(J14:J203,"pf",O14:O203)</f>
        <v>0</v>
      </c>
      <c r="P217" s="2177"/>
      <c r="Q217" s="2177"/>
      <c r="R217" s="2180"/>
      <c r="S217" s="87">
        <f>SUMIF(J14:J201,"pf",S14:S201)</f>
        <v>0</v>
      </c>
      <c r="T217" s="87">
        <f>SUMIF(J14:J203,"pf",T14:T203)</f>
        <v>0</v>
      </c>
      <c r="U217" s="1958"/>
      <c r="V217" s="2169"/>
      <c r="W217" s="2169"/>
      <c r="X217" s="72"/>
    </row>
    <row r="218" spans="1:27" s="6" customFormat="1" ht="13.5" thickBot="1" x14ac:dyDescent="0.25">
      <c r="A218" s="2217" t="s">
        <v>34</v>
      </c>
      <c r="B218" s="2218"/>
      <c r="C218" s="2218"/>
      <c r="D218" s="2218"/>
      <c r="E218" s="2218"/>
      <c r="F218" s="2218"/>
      <c r="G218" s="2218"/>
      <c r="H218" s="2218"/>
      <c r="I218" s="2218"/>
      <c r="J218" s="2219"/>
      <c r="K218" s="2171">
        <f>SUM(K219:N222)</f>
        <v>3596.3</v>
      </c>
      <c r="L218" s="2172"/>
      <c r="M218" s="2172"/>
      <c r="N218" s="2507"/>
      <c r="O218" s="2171">
        <f>SUM(O219:R222)</f>
        <v>4617.8999999999996</v>
      </c>
      <c r="P218" s="2172"/>
      <c r="Q218" s="2172"/>
      <c r="R218" s="2507"/>
      <c r="S218" s="35">
        <f ca="1">SUM(S219:S222)</f>
        <v>3388.9</v>
      </c>
      <c r="T218" s="35">
        <f>SUM(T219:T220)</f>
        <v>10766.3</v>
      </c>
      <c r="U218" s="1959"/>
      <c r="V218" s="2179"/>
      <c r="W218" s="2179"/>
      <c r="X218" s="72"/>
      <c r="Z218" s="239"/>
    </row>
    <row r="219" spans="1:27" s="6" customFormat="1" x14ac:dyDescent="0.2">
      <c r="A219" s="2220" t="s">
        <v>38</v>
      </c>
      <c r="B219" s="2221"/>
      <c r="C219" s="2221"/>
      <c r="D219" s="2221"/>
      <c r="E219" s="2221"/>
      <c r="F219" s="2221"/>
      <c r="G219" s="2221"/>
      <c r="H219" s="2221"/>
      <c r="I219" s="2503"/>
      <c r="J219" s="2222"/>
      <c r="K219" s="2157">
        <f>SUMIF(J14:J201,"es",K14:K201)</f>
        <v>2091.3000000000002</v>
      </c>
      <c r="L219" s="2158"/>
      <c r="M219" s="2158"/>
      <c r="N219" s="2158"/>
      <c r="O219" s="2157">
        <f>SUMIF(J14:J203,"es",O14:O203)</f>
        <v>1102.9000000000001</v>
      </c>
      <c r="P219" s="2158"/>
      <c r="Q219" s="2158"/>
      <c r="R219" s="2158"/>
      <c r="S219" s="9">
        <f>SUMIF(J14:J201,"es",S14:S201)</f>
        <v>388.9</v>
      </c>
      <c r="T219" s="9">
        <f>SUMIF(J14:J203,"es",T14:T203)</f>
        <v>10766.3</v>
      </c>
      <c r="U219" s="1958"/>
      <c r="V219" s="2173"/>
      <c r="W219" s="2173"/>
      <c r="X219" s="72"/>
    </row>
    <row r="220" spans="1:27" s="6" customFormat="1" x14ac:dyDescent="0.2">
      <c r="A220" s="2226" t="s">
        <v>1</v>
      </c>
      <c r="B220" s="2227"/>
      <c r="C220" s="2227"/>
      <c r="D220" s="2227"/>
      <c r="E220" s="2227"/>
      <c r="F220" s="2227"/>
      <c r="G220" s="2227"/>
      <c r="H220" s="2227"/>
      <c r="I220" s="2504"/>
      <c r="J220" s="2228"/>
      <c r="K220" s="2174">
        <f>SUMIF(J14:J201,"lrvb",K14:K201)</f>
        <v>65.8</v>
      </c>
      <c r="L220" s="2175"/>
      <c r="M220" s="2175"/>
      <c r="N220" s="2175"/>
      <c r="O220" s="2174">
        <f>SUMIF(J14:J203,"lrvb",O14:O203)</f>
        <v>0</v>
      </c>
      <c r="P220" s="2175"/>
      <c r="Q220" s="2175"/>
      <c r="R220" s="2175"/>
      <c r="S220" s="70">
        <f>SUMIF(J14:J195,"lrvb",S14:S195)</f>
        <v>0</v>
      </c>
      <c r="T220" s="70">
        <f>SUMIF(J14:J203,"lrvb",T14:T203)</f>
        <v>0</v>
      </c>
      <c r="U220" s="1958"/>
      <c r="V220" s="2173"/>
      <c r="W220" s="2173"/>
      <c r="X220" s="72"/>
    </row>
    <row r="221" spans="1:27" s="6" customFormat="1" x14ac:dyDescent="0.2">
      <c r="A221" s="2332" t="s">
        <v>297</v>
      </c>
      <c r="B221" s="2333"/>
      <c r="C221" s="2333"/>
      <c r="D221" s="2333"/>
      <c r="E221" s="2333"/>
      <c r="F221" s="2333"/>
      <c r="G221" s="2333"/>
      <c r="H221" s="2333"/>
      <c r="I221" s="2333"/>
      <c r="J221" s="2334"/>
      <c r="K221" s="2174"/>
      <c r="L221" s="2175"/>
      <c r="M221" s="2175"/>
      <c r="N221" s="2510"/>
      <c r="O221" s="2174">
        <f>SUMIF(J14:J202,J156,O14:O202)</f>
        <v>3515</v>
      </c>
      <c r="P221" s="2175"/>
      <c r="Q221" s="2175"/>
      <c r="R221" s="2510"/>
      <c r="S221" s="70">
        <f ca="1">SUMIF(J14:J202,J156,S14:S201)</f>
        <v>3000</v>
      </c>
      <c r="T221" s="70"/>
      <c r="U221" s="1958"/>
      <c r="V221" s="1426"/>
      <c r="W221" s="1426"/>
      <c r="X221" s="72"/>
    </row>
    <row r="222" spans="1:27" s="6" customFormat="1" ht="13.5" thickBot="1" x14ac:dyDescent="0.25">
      <c r="A222" s="2229" t="s">
        <v>180</v>
      </c>
      <c r="B222" s="2230"/>
      <c r="C222" s="2230"/>
      <c r="D222" s="2230"/>
      <c r="E222" s="2230"/>
      <c r="F222" s="2230"/>
      <c r="G222" s="2230"/>
      <c r="H222" s="2230"/>
      <c r="I222" s="2230"/>
      <c r="J222" s="2231"/>
      <c r="K222" s="2176">
        <f>SUMIF(J14:J203,"kt",K14:K203)</f>
        <v>1439.2</v>
      </c>
      <c r="L222" s="2177"/>
      <c r="M222" s="2177"/>
      <c r="N222" s="2180"/>
      <c r="O222" s="2176">
        <f>SUMIF(J14:J203,"kt",O14:O203)</f>
        <v>0</v>
      </c>
      <c r="P222" s="2177"/>
      <c r="Q222" s="2177"/>
      <c r="R222" s="2180"/>
      <c r="S222" s="87">
        <f>SUMIF(J14:J203,"kt",S14:S203)</f>
        <v>0</v>
      </c>
      <c r="T222" s="87"/>
      <c r="U222" s="1958"/>
      <c r="V222" s="1426"/>
      <c r="W222" s="1426"/>
      <c r="X222" s="72"/>
    </row>
    <row r="223" spans="1:27" ht="13.5" thickBot="1" x14ac:dyDescent="0.25">
      <c r="A223" s="2214" t="s">
        <v>35</v>
      </c>
      <c r="B223" s="2215"/>
      <c r="C223" s="2215"/>
      <c r="D223" s="2215"/>
      <c r="E223" s="2215"/>
      <c r="F223" s="2215"/>
      <c r="G223" s="2215"/>
      <c r="H223" s="2215"/>
      <c r="I223" s="2215"/>
      <c r="J223" s="2216"/>
      <c r="K223" s="2155">
        <f>K218+K211</f>
        <v>199828.59999999998</v>
      </c>
      <c r="L223" s="2156"/>
      <c r="M223" s="2156"/>
      <c r="N223" s="2156"/>
      <c r="O223" s="2155">
        <f>O218+O211</f>
        <v>205245.09999999995</v>
      </c>
      <c r="P223" s="2156"/>
      <c r="Q223" s="2156"/>
      <c r="R223" s="2156"/>
      <c r="S223" s="426">
        <f ca="1">S211+S218</f>
        <v>217794.59999999995</v>
      </c>
      <c r="T223" s="426">
        <f>T218+T211</f>
        <v>223614.59999999995</v>
      </c>
      <c r="U223" s="1960"/>
      <c r="V223" s="2178"/>
      <c r="W223" s="2178"/>
    </row>
    <row r="224" spans="1:27" x14ac:dyDescent="0.2">
      <c r="L224" s="239"/>
      <c r="P224" s="239"/>
      <c r="S224" s="239"/>
      <c r="T224" s="239"/>
    </row>
    <row r="225" spans="1:24" x14ac:dyDescent="0.2">
      <c r="E225" s="2"/>
      <c r="F225" s="251"/>
      <c r="G225" s="251"/>
      <c r="H225" s="1510"/>
      <c r="I225" s="125"/>
      <c r="J225" s="125"/>
      <c r="K225" s="2"/>
      <c r="L225" s="175"/>
      <c r="M225" s="2"/>
      <c r="N225" s="2"/>
      <c r="O225" s="1042"/>
      <c r="P225" s="1043"/>
      <c r="Q225" s="823"/>
      <c r="R225" s="2"/>
      <c r="S225" s="175"/>
      <c r="T225" s="175"/>
    </row>
    <row r="226" spans="1:24" ht="60" customHeight="1" x14ac:dyDescent="0.2">
      <c r="E226" s="2"/>
      <c r="F226" s="251"/>
      <c r="G226" s="251"/>
      <c r="H226" s="1510"/>
      <c r="I226" s="125"/>
      <c r="J226" s="125"/>
      <c r="K226" s="2"/>
      <c r="L226" s="2"/>
      <c r="M226" s="2"/>
      <c r="N226" s="2"/>
      <c r="O226" s="2"/>
      <c r="P226" s="2470">
        <f>O223/3.4528*1000</f>
        <v>59443089.666357726</v>
      </c>
      <c r="Q226" s="2470"/>
      <c r="R226" s="2"/>
      <c r="S226" s="2"/>
      <c r="T226" s="2"/>
      <c r="V226" s="825"/>
    </row>
    <row r="227" spans="1:24" x14ac:dyDescent="0.2">
      <c r="E227" s="2"/>
      <c r="F227" s="251"/>
      <c r="G227" s="251"/>
      <c r="H227" s="1510"/>
      <c r="I227" s="125"/>
      <c r="J227" s="125"/>
      <c r="K227" s="2"/>
      <c r="L227" s="2"/>
      <c r="M227" s="2"/>
      <c r="N227" s="2"/>
      <c r="O227" s="2"/>
      <c r="P227" s="826"/>
      <c r="Q227" s="823"/>
      <c r="R227" s="2"/>
      <c r="S227" s="2"/>
      <c r="T227" s="2"/>
    </row>
    <row r="228" spans="1:24" x14ac:dyDescent="0.2">
      <c r="E228" s="2"/>
      <c r="F228" s="251"/>
      <c r="G228" s="251"/>
      <c r="H228" s="1510"/>
      <c r="I228" s="125"/>
      <c r="J228" s="125"/>
      <c r="K228" s="2"/>
      <c r="L228" s="2"/>
      <c r="M228" s="175"/>
      <c r="N228" s="2"/>
      <c r="O228" s="2"/>
      <c r="P228" s="2"/>
      <c r="Q228" s="2"/>
      <c r="R228" s="2"/>
      <c r="S228" s="2"/>
      <c r="T228" s="2"/>
    </row>
    <row r="229" spans="1:24" x14ac:dyDescent="0.2">
      <c r="E229" s="2"/>
      <c r="F229" s="251"/>
      <c r="G229" s="251"/>
      <c r="H229" s="1510"/>
      <c r="I229" s="125"/>
      <c r="J229" s="125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4" x14ac:dyDescent="0.2">
      <c r="E230" s="2"/>
      <c r="F230" s="251"/>
      <c r="G230" s="251"/>
      <c r="H230" s="1510"/>
      <c r="I230" s="125"/>
      <c r="J230" s="125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4" x14ac:dyDescent="0.2">
      <c r="E231" s="2"/>
      <c r="F231" s="251"/>
      <c r="G231" s="251"/>
      <c r="H231" s="1510"/>
      <c r="I231" s="125"/>
      <c r="J231" s="125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4" x14ac:dyDescent="0.2">
      <c r="E232" s="2"/>
      <c r="F232" s="251"/>
      <c r="G232" s="251"/>
      <c r="H232" s="1510"/>
      <c r="I232" s="125"/>
      <c r="J232" s="125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4" x14ac:dyDescent="0.2">
      <c r="E233" s="2"/>
      <c r="F233" s="251"/>
      <c r="G233" s="251"/>
      <c r="H233" s="1510"/>
      <c r="I233" s="125"/>
      <c r="J233" s="125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4" x14ac:dyDescent="0.2">
      <c r="E234" s="2"/>
      <c r="F234" s="251"/>
      <c r="G234" s="251"/>
      <c r="H234" s="1510"/>
      <c r="I234" s="125"/>
      <c r="J234" s="125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4" x14ac:dyDescent="0.2">
      <c r="E235" s="2"/>
      <c r="F235" s="251"/>
      <c r="G235" s="251"/>
      <c r="H235" s="1510"/>
      <c r="I235" s="125"/>
      <c r="J235" s="125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4" x14ac:dyDescent="0.2">
      <c r="A236" s="2"/>
      <c r="B236" s="2"/>
      <c r="C236" s="2"/>
      <c r="D236" s="2"/>
      <c r="E236" s="2"/>
      <c r="F236" s="251"/>
      <c r="G236" s="251"/>
      <c r="H236" s="1510"/>
      <c r="I236" s="125"/>
      <c r="J236" s="12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x14ac:dyDescent="0.2">
      <c r="A237" s="2"/>
      <c r="B237" s="2"/>
      <c r="C237" s="2"/>
      <c r="D237" s="2"/>
      <c r="E237" s="2"/>
      <c r="F237" s="251"/>
      <c r="G237" s="251"/>
      <c r="H237" s="1510"/>
      <c r="I237" s="125"/>
      <c r="J237" s="125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x14ac:dyDescent="0.2">
      <c r="A238" s="2"/>
      <c r="B238" s="2"/>
      <c r="C238" s="2"/>
      <c r="D238" s="2"/>
      <c r="E238" s="2"/>
      <c r="F238" s="251"/>
      <c r="G238" s="251"/>
      <c r="H238" s="1510"/>
      <c r="I238" s="125"/>
      <c r="J238" s="125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x14ac:dyDescent="0.2">
      <c r="A239" s="2"/>
      <c r="B239" s="2"/>
      <c r="C239" s="2"/>
      <c r="D239" s="2"/>
      <c r="E239" s="2"/>
      <c r="F239" s="251"/>
      <c r="G239" s="251"/>
      <c r="H239" s="1510"/>
      <c r="I239" s="125"/>
      <c r="J239" s="125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x14ac:dyDescent="0.2">
      <c r="A240" s="2"/>
      <c r="B240" s="2"/>
      <c r="C240" s="2"/>
      <c r="D240" s="2"/>
      <c r="E240" s="2"/>
      <c r="F240" s="251"/>
      <c r="G240" s="251"/>
      <c r="H240" s="1510"/>
      <c r="I240" s="125"/>
      <c r="J240" s="125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x14ac:dyDescent="0.2">
      <c r="A241" s="2"/>
      <c r="B241" s="2"/>
      <c r="C241" s="2"/>
      <c r="D241" s="2"/>
      <c r="E241" s="2"/>
      <c r="F241" s="251"/>
      <c r="G241" s="251"/>
      <c r="H241" s="1510"/>
      <c r="I241" s="125"/>
      <c r="J241" s="125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x14ac:dyDescent="0.2">
      <c r="A242" s="2"/>
      <c r="B242" s="2"/>
      <c r="C242" s="2"/>
      <c r="D242" s="2"/>
      <c r="E242" s="2"/>
      <c r="F242" s="251"/>
      <c r="G242" s="251"/>
      <c r="H242" s="1510"/>
      <c r="I242" s="125"/>
      <c r="J242" s="125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x14ac:dyDescent="0.2">
      <c r="A243" s="2"/>
      <c r="B243" s="2"/>
      <c r="C243" s="2"/>
      <c r="D243" s="2"/>
      <c r="E243" s="2"/>
      <c r="F243" s="251"/>
      <c r="G243" s="251"/>
      <c r="H243" s="1510"/>
      <c r="I243" s="125"/>
      <c r="J243" s="125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x14ac:dyDescent="0.2">
      <c r="A244" s="2"/>
      <c r="B244" s="2"/>
      <c r="C244" s="2"/>
      <c r="D244" s="2"/>
      <c r="E244" s="2"/>
      <c r="F244" s="251"/>
      <c r="G244" s="251"/>
      <c r="H244" s="1510"/>
      <c r="I244" s="125"/>
      <c r="J244" s="125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x14ac:dyDescent="0.2">
      <c r="A245" s="2"/>
      <c r="B245" s="2"/>
      <c r="C245" s="2"/>
      <c r="D245" s="2"/>
      <c r="E245" s="2"/>
      <c r="F245" s="251"/>
      <c r="G245" s="251"/>
      <c r="H245" s="1510"/>
      <c r="I245" s="125"/>
      <c r="J245" s="125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x14ac:dyDescent="0.2">
      <c r="A246" s="2"/>
      <c r="B246" s="2"/>
      <c r="C246" s="2"/>
      <c r="D246" s="2"/>
      <c r="E246" s="2"/>
      <c r="F246" s="251"/>
      <c r="G246" s="251"/>
      <c r="H246" s="1510"/>
      <c r="I246" s="125"/>
      <c r="J246" s="125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x14ac:dyDescent="0.2">
      <c r="A247" s="2"/>
      <c r="B247" s="2"/>
      <c r="C247" s="2"/>
      <c r="D247" s="2"/>
      <c r="E247" s="2"/>
      <c r="F247" s="251"/>
      <c r="G247" s="251"/>
      <c r="H247" s="1510"/>
      <c r="I247" s="125"/>
      <c r="J247" s="125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x14ac:dyDescent="0.2">
      <c r="A248" s="2"/>
      <c r="B248" s="2"/>
      <c r="C248" s="2"/>
      <c r="D248" s="2"/>
      <c r="E248" s="2"/>
      <c r="F248" s="251"/>
      <c r="G248" s="251"/>
      <c r="H248" s="1510"/>
      <c r="I248" s="125"/>
      <c r="J248" s="125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</sheetData>
  <mergeCells count="409">
    <mergeCell ref="A221:J221"/>
    <mergeCell ref="K221:N221"/>
    <mergeCell ref="O221:R221"/>
    <mergeCell ref="V80:X80"/>
    <mergeCell ref="B81:J81"/>
    <mergeCell ref="U81:X81"/>
    <mergeCell ref="B82:X82"/>
    <mergeCell ref="I78:I79"/>
    <mergeCell ref="B65:B66"/>
    <mergeCell ref="C65:C66"/>
    <mergeCell ref="D65:D66"/>
    <mergeCell ref="C83:X83"/>
    <mergeCell ref="E65:E66"/>
    <mergeCell ref="F65:F66"/>
    <mergeCell ref="G65:G66"/>
    <mergeCell ref="H65:H66"/>
    <mergeCell ref="I65:I66"/>
    <mergeCell ref="U67:U68"/>
    <mergeCell ref="E165:E166"/>
    <mergeCell ref="F165:F171"/>
    <mergeCell ref="I165:I171"/>
    <mergeCell ref="E162:E164"/>
    <mergeCell ref="F122:F123"/>
    <mergeCell ref="U131:U132"/>
    <mergeCell ref="W53:W54"/>
    <mergeCell ref="X53:X54"/>
    <mergeCell ref="E48:E49"/>
    <mergeCell ref="U19:U21"/>
    <mergeCell ref="V19:V21"/>
    <mergeCell ref="W19:W21"/>
    <mergeCell ref="X19:X21"/>
    <mergeCell ref="G39:G42"/>
    <mergeCell ref="H39:H42"/>
    <mergeCell ref="G30:G33"/>
    <mergeCell ref="I53:I54"/>
    <mergeCell ref="U32:U34"/>
    <mergeCell ref="V32:V34"/>
    <mergeCell ref="W32:W34"/>
    <mergeCell ref="U44:U46"/>
    <mergeCell ref="U53:U54"/>
    <mergeCell ref="U35:U37"/>
    <mergeCell ref="V35:V37"/>
    <mergeCell ref="X32:X34"/>
    <mergeCell ref="X35:X37"/>
    <mergeCell ref="F162:F164"/>
    <mergeCell ref="I162:I164"/>
    <mergeCell ref="E143:E146"/>
    <mergeCell ref="I143:I146"/>
    <mergeCell ref="D132:I132"/>
    <mergeCell ref="I134:I138"/>
    <mergeCell ref="I129:I131"/>
    <mergeCell ref="A8:X8"/>
    <mergeCell ref="C64:X64"/>
    <mergeCell ref="D61:D62"/>
    <mergeCell ref="E61:E62"/>
    <mergeCell ref="F61:F62"/>
    <mergeCell ref="G61:G62"/>
    <mergeCell ref="H69:H70"/>
    <mergeCell ref="I69:I70"/>
    <mergeCell ref="I71:I73"/>
    <mergeCell ref="I118:I120"/>
    <mergeCell ref="I76:I77"/>
    <mergeCell ref="E96:E97"/>
    <mergeCell ref="I96:I98"/>
    <mergeCell ref="U89:U92"/>
    <mergeCell ref="V94:V95"/>
    <mergeCell ref="W94:W95"/>
    <mergeCell ref="V53:V54"/>
    <mergeCell ref="A1:X1"/>
    <mergeCell ref="A2:X2"/>
    <mergeCell ref="A3:X3"/>
    <mergeCell ref="C4:X4"/>
    <mergeCell ref="A5:A7"/>
    <mergeCell ref="B5:B7"/>
    <mergeCell ref="C5:C7"/>
    <mergeCell ref="D5:D7"/>
    <mergeCell ref="E5:E7"/>
    <mergeCell ref="F5:F7"/>
    <mergeCell ref="U6:U7"/>
    <mergeCell ref="V6:X6"/>
    <mergeCell ref="O6:O7"/>
    <mergeCell ref="P6:Q6"/>
    <mergeCell ref="R6:R7"/>
    <mergeCell ref="G5:G7"/>
    <mergeCell ref="H5:H7"/>
    <mergeCell ref="K5:N5"/>
    <mergeCell ref="O5:R5"/>
    <mergeCell ref="S5:S7"/>
    <mergeCell ref="T5:T7"/>
    <mergeCell ref="U5:X5"/>
    <mergeCell ref="K6:K7"/>
    <mergeCell ref="L6:M6"/>
    <mergeCell ref="J5:J7"/>
    <mergeCell ref="C19:C22"/>
    <mergeCell ref="D19:D22"/>
    <mergeCell ref="E19:E22"/>
    <mergeCell ref="F19:F22"/>
    <mergeCell ref="G19:G22"/>
    <mergeCell ref="H19:H22"/>
    <mergeCell ref="A9:X9"/>
    <mergeCell ref="B10:X10"/>
    <mergeCell ref="C11:X11"/>
    <mergeCell ref="C12:C13"/>
    <mergeCell ref="D12:D13"/>
    <mergeCell ref="E12:E13"/>
    <mergeCell ref="F12:F13"/>
    <mergeCell ref="G12:G13"/>
    <mergeCell ref="H12:H13"/>
    <mergeCell ref="A19:A22"/>
    <mergeCell ref="N6:N7"/>
    <mergeCell ref="E14:E16"/>
    <mergeCell ref="U16:U17"/>
    <mergeCell ref="F39:F42"/>
    <mergeCell ref="A24:A27"/>
    <mergeCell ref="C24:C27"/>
    <mergeCell ref="D24:D28"/>
    <mergeCell ref="E24:E28"/>
    <mergeCell ref="F24:F28"/>
    <mergeCell ref="G24:G28"/>
    <mergeCell ref="H24:H28"/>
    <mergeCell ref="I5:I7"/>
    <mergeCell ref="X61:X62"/>
    <mergeCell ref="A30:A33"/>
    <mergeCell ref="D53:D54"/>
    <mergeCell ref="E53:E54"/>
    <mergeCell ref="F53:F54"/>
    <mergeCell ref="G53:G54"/>
    <mergeCell ref="H53:H54"/>
    <mergeCell ref="B30:B33"/>
    <mergeCell ref="C30:C33"/>
    <mergeCell ref="D30:D33"/>
    <mergeCell ref="E30:E33"/>
    <mergeCell ref="F30:F33"/>
    <mergeCell ref="H30:H33"/>
    <mergeCell ref="A35:A37"/>
    <mergeCell ref="B35:B37"/>
    <mergeCell ref="C35:C37"/>
    <mergeCell ref="G44:G46"/>
    <mergeCell ref="H44:H46"/>
    <mergeCell ref="E44:E47"/>
    <mergeCell ref="D44:D46"/>
    <mergeCell ref="F44:F46"/>
    <mergeCell ref="E52:I52"/>
    <mergeCell ref="D39:D42"/>
    <mergeCell ref="E39:E42"/>
    <mergeCell ref="I67:I68"/>
    <mergeCell ref="D35:D37"/>
    <mergeCell ref="E35:E37"/>
    <mergeCell ref="F35:F37"/>
    <mergeCell ref="G35:G37"/>
    <mergeCell ref="H35:H37"/>
    <mergeCell ref="V55:V56"/>
    <mergeCell ref="W55:W56"/>
    <mergeCell ref="X55:X56"/>
    <mergeCell ref="C63:J63"/>
    <mergeCell ref="U63:X63"/>
    <mergeCell ref="G55:G56"/>
    <mergeCell ref="H55:H56"/>
    <mergeCell ref="I55:I56"/>
    <mergeCell ref="U55:U56"/>
    <mergeCell ref="H57:H58"/>
    <mergeCell ref="I57:I58"/>
    <mergeCell ref="F55:F56"/>
    <mergeCell ref="D57:D58"/>
    <mergeCell ref="E57:E58"/>
    <mergeCell ref="F57:F58"/>
    <mergeCell ref="G57:G58"/>
    <mergeCell ref="D55:D56"/>
    <mergeCell ref="E55:E56"/>
    <mergeCell ref="H71:H73"/>
    <mergeCell ref="A69:A70"/>
    <mergeCell ref="C69:C70"/>
    <mergeCell ref="D69:D70"/>
    <mergeCell ref="E69:E70"/>
    <mergeCell ref="F69:F70"/>
    <mergeCell ref="G69:G70"/>
    <mergeCell ref="A67:A68"/>
    <mergeCell ref="B67:B68"/>
    <mergeCell ref="C67:C68"/>
    <mergeCell ref="D67:D68"/>
    <mergeCell ref="E67:E68"/>
    <mergeCell ref="F67:F68"/>
    <mergeCell ref="G67:G68"/>
    <mergeCell ref="H67:H68"/>
    <mergeCell ref="E76:E77"/>
    <mergeCell ref="F76:F77"/>
    <mergeCell ref="G76:G77"/>
    <mergeCell ref="A71:A73"/>
    <mergeCell ref="B71:B73"/>
    <mergeCell ref="C71:C73"/>
    <mergeCell ref="D71:D73"/>
    <mergeCell ref="E71:E73"/>
    <mergeCell ref="F71:F73"/>
    <mergeCell ref="G71:G73"/>
    <mergeCell ref="I155:I156"/>
    <mergeCell ref="G151:G153"/>
    <mergeCell ref="H151:H153"/>
    <mergeCell ref="I151:I15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A78:A79"/>
    <mergeCell ref="C78:C79"/>
    <mergeCell ref="D78:D79"/>
    <mergeCell ref="E78:E79"/>
    <mergeCell ref="F78:F79"/>
    <mergeCell ref="G78:G79"/>
    <mergeCell ref="H78:H79"/>
    <mergeCell ref="A76:A77"/>
    <mergeCell ref="C76:C77"/>
    <mergeCell ref="H76:H77"/>
    <mergeCell ref="D76:D77"/>
    <mergeCell ref="D50:D51"/>
    <mergeCell ref="E50:E51"/>
    <mergeCell ref="I50:I51"/>
    <mergeCell ref="A195:A196"/>
    <mergeCell ref="B195:B196"/>
    <mergeCell ref="D195:D196"/>
    <mergeCell ref="E195:E196"/>
    <mergeCell ref="F195:F196"/>
    <mergeCell ref="H195:H196"/>
    <mergeCell ref="I193:I194"/>
    <mergeCell ref="A174:A175"/>
    <mergeCell ref="B174:B175"/>
    <mergeCell ref="D174:D175"/>
    <mergeCell ref="E174:E175"/>
    <mergeCell ref="F174:F175"/>
    <mergeCell ref="G174:G175"/>
    <mergeCell ref="H174:H175"/>
    <mergeCell ref="I174:I175"/>
    <mergeCell ref="I181:I182"/>
    <mergeCell ref="D155:D156"/>
    <mergeCell ref="E155:E156"/>
    <mergeCell ref="E151:E153"/>
    <mergeCell ref="E148:E150"/>
    <mergeCell ref="F148:F149"/>
    <mergeCell ref="U193:U194"/>
    <mergeCell ref="C179:J179"/>
    <mergeCell ref="U179:X179"/>
    <mergeCell ref="C180:X180"/>
    <mergeCell ref="I195:I196"/>
    <mergeCell ref="U195:U196"/>
    <mergeCell ref="U187:U189"/>
    <mergeCell ref="V187:V189"/>
    <mergeCell ref="W187:W189"/>
    <mergeCell ref="X187:X189"/>
    <mergeCell ref="D193:D194"/>
    <mergeCell ref="E193:E194"/>
    <mergeCell ref="H193:H194"/>
    <mergeCell ref="A201:A203"/>
    <mergeCell ref="B201:B203"/>
    <mergeCell ref="D201:D203"/>
    <mergeCell ref="E201:E203"/>
    <mergeCell ref="F201:F203"/>
    <mergeCell ref="H201:H203"/>
    <mergeCell ref="C204:J204"/>
    <mergeCell ref="U204:X204"/>
    <mergeCell ref="B205:J205"/>
    <mergeCell ref="O213:R213"/>
    <mergeCell ref="A213:J213"/>
    <mergeCell ref="K213:N213"/>
    <mergeCell ref="O214:R214"/>
    <mergeCell ref="F193:F194"/>
    <mergeCell ref="V211:W211"/>
    <mergeCell ref="A212:J212"/>
    <mergeCell ref="K212:N212"/>
    <mergeCell ref="O212:R212"/>
    <mergeCell ref="V212:W212"/>
    <mergeCell ref="A207:X207"/>
    <mergeCell ref="A208:X208"/>
    <mergeCell ref="A209:T209"/>
    <mergeCell ref="A210:J210"/>
    <mergeCell ref="K210:N210"/>
    <mergeCell ref="O210:R210"/>
    <mergeCell ref="V210:W210"/>
    <mergeCell ref="A211:J211"/>
    <mergeCell ref="K211:N211"/>
    <mergeCell ref="O211:R211"/>
    <mergeCell ref="U205:X205"/>
    <mergeCell ref="B206:J206"/>
    <mergeCell ref="U206:X206"/>
    <mergeCell ref="I201:I203"/>
    <mergeCell ref="A218:J218"/>
    <mergeCell ref="K218:N218"/>
    <mergeCell ref="O218:R218"/>
    <mergeCell ref="V218:W218"/>
    <mergeCell ref="A216:J216"/>
    <mergeCell ref="K216:N216"/>
    <mergeCell ref="O216:R216"/>
    <mergeCell ref="V216:W216"/>
    <mergeCell ref="V214:W214"/>
    <mergeCell ref="A215:J215"/>
    <mergeCell ref="K215:N215"/>
    <mergeCell ref="O215:R215"/>
    <mergeCell ref="V215:W215"/>
    <mergeCell ref="A214:J214"/>
    <mergeCell ref="K214:N214"/>
    <mergeCell ref="V223:W223"/>
    <mergeCell ref="U156:U157"/>
    <mergeCell ref="A222:J222"/>
    <mergeCell ref="K222:N222"/>
    <mergeCell ref="O222:R222"/>
    <mergeCell ref="A223:J223"/>
    <mergeCell ref="K223:N223"/>
    <mergeCell ref="O223:R223"/>
    <mergeCell ref="A219:J219"/>
    <mergeCell ref="K219:N219"/>
    <mergeCell ref="O219:R219"/>
    <mergeCell ref="V219:W219"/>
    <mergeCell ref="A220:J220"/>
    <mergeCell ref="K220:N220"/>
    <mergeCell ref="O220:R220"/>
    <mergeCell ref="V220:W220"/>
    <mergeCell ref="C172:J172"/>
    <mergeCell ref="C173:G173"/>
    <mergeCell ref="E158:E159"/>
    <mergeCell ref="I159:I160"/>
    <mergeCell ref="A217:J217"/>
    <mergeCell ref="K217:N217"/>
    <mergeCell ref="O217:R217"/>
    <mergeCell ref="V217:W217"/>
    <mergeCell ref="D59:D60"/>
    <mergeCell ref="E59:E60"/>
    <mergeCell ref="F59:F60"/>
    <mergeCell ref="G59:G60"/>
    <mergeCell ref="H59:H60"/>
    <mergeCell ref="I59:I60"/>
    <mergeCell ref="E176:E178"/>
    <mergeCell ref="F176:F178"/>
    <mergeCell ref="G176:G178"/>
    <mergeCell ref="H176:H178"/>
    <mergeCell ref="I176:I178"/>
    <mergeCell ref="D176:D178"/>
    <mergeCell ref="H61:H62"/>
    <mergeCell ref="I61:I62"/>
    <mergeCell ref="F126:F127"/>
    <mergeCell ref="E115:E117"/>
    <mergeCell ref="I115:I117"/>
    <mergeCell ref="E118:E120"/>
    <mergeCell ref="E121:E124"/>
    <mergeCell ref="I121:I124"/>
    <mergeCell ref="E85:E88"/>
    <mergeCell ref="E112:E114"/>
    <mergeCell ref="I112:I114"/>
    <mergeCell ref="F110:I110"/>
    <mergeCell ref="E94:E95"/>
    <mergeCell ref="I94:I95"/>
    <mergeCell ref="U94:U95"/>
    <mergeCell ref="E125:E128"/>
    <mergeCell ref="I85:I88"/>
    <mergeCell ref="U172:X172"/>
    <mergeCell ref="U174:U175"/>
    <mergeCell ref="W173:X173"/>
    <mergeCell ref="U129:U130"/>
    <mergeCell ref="U127:U128"/>
    <mergeCell ref="U167:U169"/>
    <mergeCell ref="U151:U153"/>
    <mergeCell ref="U143:U146"/>
    <mergeCell ref="U148:U150"/>
    <mergeCell ref="U161:X161"/>
    <mergeCell ref="U147:X147"/>
    <mergeCell ref="U134:U138"/>
    <mergeCell ref="U141:U142"/>
    <mergeCell ref="G148:G150"/>
    <mergeCell ref="H148:H150"/>
    <mergeCell ref="I148:I150"/>
    <mergeCell ref="F151:F153"/>
    <mergeCell ref="F155:F156"/>
    <mergeCell ref="H155:H156"/>
    <mergeCell ref="G129:G131"/>
    <mergeCell ref="H129:H131"/>
    <mergeCell ref="I103:I106"/>
    <mergeCell ref="I107:I109"/>
    <mergeCell ref="U123:U124"/>
    <mergeCell ref="U103:U106"/>
    <mergeCell ref="E134:E137"/>
    <mergeCell ref="E99:E102"/>
    <mergeCell ref="I99:I102"/>
    <mergeCell ref="U99:U102"/>
    <mergeCell ref="P226:Q226"/>
    <mergeCell ref="V103:V106"/>
    <mergeCell ref="U107:U108"/>
    <mergeCell ref="U61:U62"/>
    <mergeCell ref="V61:V62"/>
    <mergeCell ref="W61:W62"/>
    <mergeCell ref="U57:U58"/>
    <mergeCell ref="W35:W37"/>
    <mergeCell ref="E139:E140"/>
    <mergeCell ref="I139:I140"/>
    <mergeCell ref="E89:E92"/>
    <mergeCell ref="I89:I93"/>
    <mergeCell ref="E107:E109"/>
    <mergeCell ref="E103:E105"/>
    <mergeCell ref="U96:U98"/>
    <mergeCell ref="E141:E142"/>
    <mergeCell ref="I141:I142"/>
    <mergeCell ref="U85:U87"/>
    <mergeCell ref="U78:U79"/>
    <mergeCell ref="C80:J80"/>
    <mergeCell ref="C129:C131"/>
    <mergeCell ref="D129:D131"/>
    <mergeCell ref="E129:E131"/>
    <mergeCell ref="I125:I128"/>
  </mergeCells>
  <printOptions horizontalCentered="1"/>
  <pageMargins left="0" right="0" top="0" bottom="0" header="0.31496062992125984" footer="0.31496062992125984"/>
  <pageSetup paperSize="9" scale="74" orientation="landscape" r:id="rId1"/>
  <rowBreaks count="5" manualBreakCount="5">
    <brk id="49" max="24" man="1"/>
    <brk id="81" max="24" man="1"/>
    <brk id="117" max="24" man="1"/>
    <brk id="147" max="24" man="1"/>
    <brk id="179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"/>
  <sheetViews>
    <sheetView zoomScaleNormal="100" zoomScaleSheetLayoutView="80" workbookViewId="0">
      <selection sqref="A1:R1"/>
    </sheetView>
  </sheetViews>
  <sheetFormatPr defaultRowHeight="12.75" x14ac:dyDescent="0.2"/>
  <cols>
    <col min="1" max="3" width="2.42578125" style="6" customWidth="1"/>
    <col min="4" max="4" width="34.7109375" style="6" customWidth="1"/>
    <col min="5" max="5" width="3.5703125" style="250" customWidth="1"/>
    <col min="6" max="6" width="3" style="72" customWidth="1"/>
    <col min="7" max="7" width="8.140625" style="1331" customWidth="1"/>
    <col min="8" max="8" width="9.85546875" style="1274" hidden="1" customWidth="1"/>
    <col min="9" max="9" width="9.7109375" style="239" customWidth="1"/>
    <col min="10" max="10" width="8.42578125" style="239" hidden="1" customWidth="1"/>
    <col min="11" max="11" width="8.5703125" style="239" hidden="1" customWidth="1"/>
    <col min="12" max="12" width="7.42578125" style="239" hidden="1" customWidth="1"/>
    <col min="13" max="14" width="8.85546875" style="239" customWidth="1"/>
    <col min="15" max="15" width="26.42578125" style="6" customWidth="1"/>
    <col min="16" max="16" width="6.140625" style="18" customWidth="1"/>
    <col min="17" max="17" width="6.85546875" style="72" customWidth="1"/>
    <col min="18" max="18" width="5.85546875" style="1346" customWidth="1"/>
    <col min="19" max="19" width="9.140625" style="2" customWidth="1"/>
    <col min="20" max="16384" width="9.140625" style="2"/>
  </cols>
  <sheetData>
    <row r="1" spans="1:22" x14ac:dyDescent="0.2">
      <c r="A1" s="2079" t="s">
        <v>235</v>
      </c>
      <c r="B1" s="2079"/>
      <c r="C1" s="2079"/>
      <c r="D1" s="2079"/>
      <c r="E1" s="2079"/>
      <c r="F1" s="2079"/>
      <c r="G1" s="2079"/>
      <c r="H1" s="2079"/>
      <c r="I1" s="2079"/>
      <c r="J1" s="2079"/>
      <c r="K1" s="2079"/>
      <c r="L1" s="2079"/>
      <c r="M1" s="2079"/>
      <c r="N1" s="2079"/>
      <c r="O1" s="2079"/>
      <c r="P1" s="2079"/>
      <c r="Q1" s="2079"/>
      <c r="R1" s="2079"/>
    </row>
    <row r="2" spans="1:22" x14ac:dyDescent="0.2">
      <c r="A2" s="2086" t="s">
        <v>39</v>
      </c>
      <c r="B2" s="2086"/>
      <c r="C2" s="2086"/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2086"/>
      <c r="O2" s="2086"/>
      <c r="P2" s="2086"/>
      <c r="Q2" s="2086"/>
      <c r="R2" s="2086"/>
    </row>
    <row r="3" spans="1:22" x14ac:dyDescent="0.2">
      <c r="A3" s="2087" t="s">
        <v>230</v>
      </c>
      <c r="B3" s="2087"/>
      <c r="C3" s="2087"/>
      <c r="D3" s="2087"/>
      <c r="E3" s="2087"/>
      <c r="F3" s="2087"/>
      <c r="G3" s="2087"/>
      <c r="H3" s="2087"/>
      <c r="I3" s="2087"/>
      <c r="J3" s="2087"/>
      <c r="K3" s="2087"/>
      <c r="L3" s="2087"/>
      <c r="M3" s="2087"/>
      <c r="N3" s="2087"/>
      <c r="O3" s="2087"/>
      <c r="P3" s="2087"/>
      <c r="Q3" s="2087"/>
      <c r="R3" s="2087"/>
    </row>
    <row r="4" spans="1:22" ht="13.5" thickBot="1" x14ac:dyDescent="0.25">
      <c r="A4" s="1332"/>
      <c r="B4" s="1332"/>
      <c r="C4" s="2100" t="s">
        <v>8</v>
      </c>
      <c r="D4" s="2100"/>
      <c r="E4" s="2100"/>
      <c r="F4" s="2100"/>
      <c r="G4" s="2100"/>
      <c r="H4" s="2100"/>
      <c r="I4" s="2100"/>
      <c r="J4" s="2100"/>
      <c r="K4" s="2100"/>
      <c r="L4" s="2100"/>
      <c r="M4" s="2100"/>
      <c r="N4" s="2100"/>
      <c r="O4" s="2100"/>
      <c r="P4" s="2100"/>
      <c r="Q4" s="2100"/>
      <c r="R4" s="2100"/>
    </row>
    <row r="5" spans="1:22" x14ac:dyDescent="0.2">
      <c r="A5" s="2101" t="s">
        <v>12</v>
      </c>
      <c r="B5" s="2120" t="s">
        <v>13</v>
      </c>
      <c r="C5" s="2120" t="s">
        <v>14</v>
      </c>
      <c r="D5" s="2107" t="s">
        <v>31</v>
      </c>
      <c r="E5" s="2080" t="s">
        <v>15</v>
      </c>
      <c r="F5" s="2088" t="s">
        <v>16</v>
      </c>
      <c r="G5" s="2110" t="s">
        <v>17</v>
      </c>
      <c r="H5" s="2593" t="s">
        <v>303</v>
      </c>
      <c r="I5" s="2596" t="s">
        <v>303</v>
      </c>
      <c r="J5" s="2597"/>
      <c r="K5" s="2597"/>
      <c r="L5" s="2598"/>
      <c r="M5" s="2605" t="s">
        <v>109</v>
      </c>
      <c r="N5" s="2605" t="s">
        <v>237</v>
      </c>
      <c r="O5" s="2091" t="s">
        <v>74</v>
      </c>
      <c r="P5" s="2092"/>
      <c r="Q5" s="2092"/>
      <c r="R5" s="2093"/>
    </row>
    <row r="6" spans="1:22" x14ac:dyDescent="0.2">
      <c r="A6" s="2102"/>
      <c r="B6" s="2121"/>
      <c r="C6" s="2121"/>
      <c r="D6" s="2108"/>
      <c r="E6" s="2081"/>
      <c r="F6" s="2089"/>
      <c r="G6" s="2111"/>
      <c r="H6" s="2594"/>
      <c r="I6" s="2599"/>
      <c r="J6" s="2600"/>
      <c r="K6" s="2600"/>
      <c r="L6" s="2601"/>
      <c r="M6" s="2606"/>
      <c r="N6" s="2606"/>
      <c r="O6" s="2113" t="s">
        <v>31</v>
      </c>
      <c r="P6" s="2094" t="s">
        <v>308</v>
      </c>
      <c r="Q6" s="2095"/>
      <c r="R6" s="2096"/>
    </row>
    <row r="7" spans="1:22" ht="106.5" customHeight="1" thickBot="1" x14ac:dyDescent="0.25">
      <c r="A7" s="2103"/>
      <c r="B7" s="2122"/>
      <c r="C7" s="2122"/>
      <c r="D7" s="2109"/>
      <c r="E7" s="2082"/>
      <c r="F7" s="2090"/>
      <c r="G7" s="2112"/>
      <c r="H7" s="2595"/>
      <c r="I7" s="2602"/>
      <c r="J7" s="2603"/>
      <c r="K7" s="2603"/>
      <c r="L7" s="2604"/>
      <c r="M7" s="2607"/>
      <c r="N7" s="2607"/>
      <c r="O7" s="2114"/>
      <c r="P7" s="295" t="s">
        <v>77</v>
      </c>
      <c r="Q7" s="295" t="s">
        <v>110</v>
      </c>
      <c r="R7" s="296" t="s">
        <v>238</v>
      </c>
    </row>
    <row r="8" spans="1:22" ht="13.5" thickBot="1" x14ac:dyDescent="0.25">
      <c r="A8" s="2044" t="s">
        <v>41</v>
      </c>
      <c r="B8" s="2045"/>
      <c r="C8" s="2045"/>
      <c r="D8" s="2045"/>
      <c r="E8" s="2045"/>
      <c r="F8" s="2045"/>
      <c r="G8" s="2045"/>
      <c r="H8" s="2045"/>
      <c r="I8" s="2045"/>
      <c r="J8" s="2045"/>
      <c r="K8" s="2045"/>
      <c r="L8" s="2045"/>
      <c r="M8" s="2045"/>
      <c r="N8" s="2045"/>
      <c r="O8" s="2045"/>
      <c r="P8" s="2045"/>
      <c r="Q8" s="2045"/>
      <c r="R8" s="2046"/>
    </row>
    <row r="9" spans="1:22" ht="13.5" thickBot="1" x14ac:dyDescent="0.25">
      <c r="A9" s="2047" t="s">
        <v>40</v>
      </c>
      <c r="B9" s="2048"/>
      <c r="C9" s="2048"/>
      <c r="D9" s="2048"/>
      <c r="E9" s="2048"/>
      <c r="F9" s="2048"/>
      <c r="G9" s="2048"/>
      <c r="H9" s="2048"/>
      <c r="I9" s="2048"/>
      <c r="J9" s="2048"/>
      <c r="K9" s="2048"/>
      <c r="L9" s="2048"/>
      <c r="M9" s="2048"/>
      <c r="N9" s="2048"/>
      <c r="O9" s="2048"/>
      <c r="P9" s="2048"/>
      <c r="Q9" s="2048"/>
      <c r="R9" s="2049"/>
    </row>
    <row r="10" spans="1:22" ht="13.5" thickBot="1" x14ac:dyDescent="0.25">
      <c r="A10" s="136" t="s">
        <v>20</v>
      </c>
      <c r="B10" s="2056" t="s">
        <v>51</v>
      </c>
      <c r="C10" s="2057"/>
      <c r="D10" s="2057"/>
      <c r="E10" s="2057"/>
      <c r="F10" s="2057"/>
      <c r="G10" s="2057"/>
      <c r="H10" s="2057"/>
      <c r="I10" s="2057"/>
      <c r="J10" s="2057"/>
      <c r="K10" s="2057"/>
      <c r="L10" s="2057"/>
      <c r="M10" s="2057"/>
      <c r="N10" s="2057"/>
      <c r="O10" s="2057"/>
      <c r="P10" s="2057"/>
      <c r="Q10" s="2057"/>
      <c r="R10" s="2058"/>
    </row>
    <row r="11" spans="1:22" ht="13.5" thickBot="1" x14ac:dyDescent="0.25">
      <c r="A11" s="258" t="s">
        <v>20</v>
      </c>
      <c r="B11" s="109" t="s">
        <v>20</v>
      </c>
      <c r="C11" s="2060" t="s">
        <v>194</v>
      </c>
      <c r="D11" s="2061"/>
      <c r="E11" s="2061"/>
      <c r="F11" s="2061"/>
      <c r="G11" s="2062"/>
      <c r="H11" s="2062"/>
      <c r="I11" s="2062"/>
      <c r="J11" s="2062"/>
      <c r="K11" s="2062"/>
      <c r="L11" s="2062"/>
      <c r="M11" s="2062"/>
      <c r="N11" s="2062"/>
      <c r="O11" s="2062"/>
      <c r="P11" s="2062"/>
      <c r="Q11" s="2062"/>
      <c r="R11" s="2063"/>
    </row>
    <row r="12" spans="1:22" x14ac:dyDescent="0.2">
      <c r="A12" s="25" t="s">
        <v>20</v>
      </c>
      <c r="B12" s="16" t="s">
        <v>20</v>
      </c>
      <c r="C12" s="2059" t="s">
        <v>20</v>
      </c>
      <c r="D12" s="2574" t="s">
        <v>107</v>
      </c>
      <c r="E12" s="2054"/>
      <c r="F12" s="1186" t="s">
        <v>43</v>
      </c>
      <c r="G12" s="149" t="s">
        <v>22</v>
      </c>
      <c r="H12" s="1231">
        <f>69796.1/3.4528*1000</f>
        <v>20214347.775718261</v>
      </c>
      <c r="I12" s="1610">
        <f t="shared" ref="I12" si="0">+J12+L12</f>
        <v>69824.899999999994</v>
      </c>
      <c r="J12" s="530">
        <v>69824.899999999994</v>
      </c>
      <c r="K12" s="530">
        <v>48274.400000000001</v>
      </c>
      <c r="L12" s="867"/>
      <c r="M12" s="835">
        <v>69824.899999999994</v>
      </c>
      <c r="N12" s="835">
        <v>69824.899999999994</v>
      </c>
      <c r="O12" s="1159"/>
      <c r="P12" s="88"/>
      <c r="Q12" s="89"/>
      <c r="R12" s="743"/>
    </row>
    <row r="13" spans="1:22" x14ac:dyDescent="0.2">
      <c r="A13" s="26"/>
      <c r="B13" s="27"/>
      <c r="C13" s="2003"/>
      <c r="D13" s="2469"/>
      <c r="E13" s="2055"/>
      <c r="F13" s="1186"/>
      <c r="G13" s="130" t="s">
        <v>25</v>
      </c>
      <c r="H13" s="1232">
        <f>102252.1/3.4528*1000</f>
        <v>29614255.097312327</v>
      </c>
      <c r="I13" s="1610">
        <f>J13+L13</f>
        <v>102252.09999999999</v>
      </c>
      <c r="J13" s="832">
        <v>102107.9</v>
      </c>
      <c r="K13" s="832">
        <v>75676.800000000003</v>
      </c>
      <c r="L13" s="843">
        <v>144.19999999999999</v>
      </c>
      <c r="M13" s="3">
        <v>102252.1</v>
      </c>
      <c r="N13" s="3">
        <v>102252.1</v>
      </c>
      <c r="O13" s="1348"/>
      <c r="P13" s="428"/>
      <c r="Q13" s="1346"/>
      <c r="R13" s="688"/>
    </row>
    <row r="14" spans="1:22" x14ac:dyDescent="0.2">
      <c r="A14" s="26"/>
      <c r="B14" s="27"/>
      <c r="C14" s="1334"/>
      <c r="D14" s="1190"/>
      <c r="E14" s="1355"/>
      <c r="F14" s="1186"/>
      <c r="G14" s="427" t="s">
        <v>96</v>
      </c>
      <c r="H14" s="1294">
        <f>17293/3.4528*1000</f>
        <v>5008398.9805375347</v>
      </c>
      <c r="I14" s="717">
        <f>J14+L14</f>
        <v>17292.599999999999</v>
      </c>
      <c r="J14" s="286">
        <v>17167.599999999999</v>
      </c>
      <c r="K14" s="286">
        <v>3110.6</v>
      </c>
      <c r="L14" s="786">
        <v>125</v>
      </c>
      <c r="M14" s="1031">
        <f>17293</f>
        <v>17293</v>
      </c>
      <c r="N14" s="1031">
        <f>17293</f>
        <v>17293</v>
      </c>
      <c r="O14" s="1128"/>
      <c r="P14" s="428"/>
      <c r="Q14" s="1346"/>
      <c r="R14" s="688"/>
    </row>
    <row r="15" spans="1:22" ht="25.5" x14ac:dyDescent="0.2">
      <c r="A15" s="26"/>
      <c r="B15" s="1333"/>
      <c r="C15" s="172"/>
      <c r="D15" s="2465" t="s">
        <v>203</v>
      </c>
      <c r="E15" s="1138"/>
      <c r="F15" s="1186"/>
      <c r="G15" s="297"/>
      <c r="H15" s="1234"/>
      <c r="I15" s="1611"/>
      <c r="J15" s="1612"/>
      <c r="K15" s="1612"/>
      <c r="L15" s="1613"/>
      <c r="M15" s="1614"/>
      <c r="N15" s="1614"/>
      <c r="O15" s="1378" t="s">
        <v>309</v>
      </c>
      <c r="P15" s="836" t="s">
        <v>250</v>
      </c>
      <c r="Q15" s="836" t="s">
        <v>251</v>
      </c>
      <c r="R15" s="837" t="s">
        <v>252</v>
      </c>
      <c r="T15" s="175"/>
      <c r="U15" s="175"/>
      <c r="V15" s="175"/>
    </row>
    <row r="16" spans="1:22" x14ac:dyDescent="0.2">
      <c r="A16" s="26"/>
      <c r="B16" s="27"/>
      <c r="C16" s="172"/>
      <c r="D16" s="2192"/>
      <c r="E16" s="1138"/>
      <c r="F16" s="1186"/>
      <c r="G16" s="720"/>
      <c r="H16" s="1235"/>
      <c r="I16" s="559"/>
      <c r="J16" s="265"/>
      <c r="K16" s="1615"/>
      <c r="L16" s="1616"/>
      <c r="M16" s="1184"/>
      <c r="N16" s="1185"/>
      <c r="O16" s="274" t="s">
        <v>259</v>
      </c>
      <c r="P16" s="1156" t="s">
        <v>253</v>
      </c>
      <c r="Q16" s="1157" t="s">
        <v>254</v>
      </c>
      <c r="R16" s="1158" t="s">
        <v>255</v>
      </c>
    </row>
    <row r="17" spans="1:23" x14ac:dyDescent="0.2">
      <c r="A17" s="26"/>
      <c r="B17" s="27"/>
      <c r="C17" s="172"/>
      <c r="D17" s="1150"/>
      <c r="E17" s="1138"/>
      <c r="F17" s="1186"/>
      <c r="G17" s="720"/>
      <c r="H17" s="1235"/>
      <c r="I17" s="1617"/>
      <c r="J17" s="1618"/>
      <c r="K17" s="1618"/>
      <c r="L17" s="1619"/>
      <c r="M17" s="718"/>
      <c r="N17" s="718"/>
      <c r="O17" s="2466" t="s">
        <v>310</v>
      </c>
      <c r="P17" s="836" t="s">
        <v>256</v>
      </c>
      <c r="Q17" s="836" t="s">
        <v>257</v>
      </c>
      <c r="R17" s="837" t="s">
        <v>258</v>
      </c>
      <c r="T17" s="175"/>
      <c r="U17" s="175"/>
      <c r="V17" s="175"/>
      <c r="W17" s="175"/>
    </row>
    <row r="18" spans="1:23" x14ac:dyDescent="0.2">
      <c r="A18" s="26"/>
      <c r="B18" s="27"/>
      <c r="C18" s="172"/>
      <c r="D18" s="1150"/>
      <c r="E18" s="1138"/>
      <c r="F18" s="1186"/>
      <c r="G18" s="427"/>
      <c r="H18" s="1233"/>
      <c r="I18" s="1620"/>
      <c r="J18" s="1621"/>
      <c r="K18" s="1621"/>
      <c r="L18" s="1622"/>
      <c r="M18" s="1040"/>
      <c r="N18" s="1040"/>
      <c r="O18" s="2467"/>
      <c r="P18" s="1160"/>
      <c r="Q18" s="1160"/>
      <c r="R18" s="1161"/>
      <c r="T18" s="175"/>
      <c r="U18" s="175"/>
      <c r="V18" s="175"/>
      <c r="W18" s="175"/>
    </row>
    <row r="19" spans="1:23" x14ac:dyDescent="0.2">
      <c r="A19" s="26"/>
      <c r="B19" s="27"/>
      <c r="C19" s="1336"/>
      <c r="D19" s="1151"/>
      <c r="E19" s="1345"/>
      <c r="F19" s="1187"/>
      <c r="G19" s="1201"/>
      <c r="H19" s="1236"/>
      <c r="I19" s="650"/>
      <c r="J19" s="1623"/>
      <c r="K19" s="1623"/>
      <c r="L19" s="1624"/>
      <c r="M19" s="1625"/>
      <c r="N19" s="1626"/>
      <c r="O19" s="1192" t="s">
        <v>260</v>
      </c>
      <c r="P19" s="1347">
        <v>244</v>
      </c>
      <c r="Q19" s="1356">
        <v>300</v>
      </c>
      <c r="R19" s="1357">
        <v>340</v>
      </c>
      <c r="U19" s="1189"/>
      <c r="V19" s="1189"/>
    </row>
    <row r="20" spans="1:23" x14ac:dyDescent="0.2">
      <c r="A20" s="2123"/>
      <c r="B20" s="27"/>
      <c r="C20" s="2002"/>
      <c r="D20" s="2020" t="s">
        <v>293</v>
      </c>
      <c r="E20" s="2005"/>
      <c r="F20" s="2462"/>
      <c r="G20" s="297"/>
      <c r="H20" s="1234"/>
      <c r="I20" s="382"/>
      <c r="J20" s="1627"/>
      <c r="K20" s="1627"/>
      <c r="L20" s="1628"/>
      <c r="M20" s="1629"/>
      <c r="N20" s="1614"/>
      <c r="O20" s="2463" t="s">
        <v>311</v>
      </c>
      <c r="P20" s="2457">
        <v>8</v>
      </c>
      <c r="Q20" s="2457">
        <v>7</v>
      </c>
      <c r="R20" s="2459">
        <v>6</v>
      </c>
    </row>
    <row r="21" spans="1:23" x14ac:dyDescent="0.2">
      <c r="A21" s="2123"/>
      <c r="B21" s="27"/>
      <c r="C21" s="2002"/>
      <c r="D21" s="2020"/>
      <c r="E21" s="2005"/>
      <c r="F21" s="2462"/>
      <c r="G21" s="1191"/>
      <c r="H21" s="1237"/>
      <c r="I21" s="717"/>
      <c r="J21" s="285"/>
      <c r="K21" s="286"/>
      <c r="L21" s="1616"/>
      <c r="M21" s="217"/>
      <c r="N21" s="569"/>
      <c r="O21" s="2464"/>
      <c r="P21" s="2458"/>
      <c r="Q21" s="2458"/>
      <c r="R21" s="2460"/>
    </row>
    <row r="22" spans="1:23" x14ac:dyDescent="0.2">
      <c r="A22" s="2123"/>
      <c r="B22" s="27"/>
      <c r="C22" s="2003"/>
      <c r="D22" s="2465"/>
      <c r="E22" s="2055"/>
      <c r="F22" s="2066"/>
      <c r="G22" s="427"/>
      <c r="H22" s="1233"/>
      <c r="I22" s="559"/>
      <c r="J22" s="265"/>
      <c r="K22" s="265"/>
      <c r="L22" s="786"/>
      <c r="M22" s="1184"/>
      <c r="N22" s="1184"/>
      <c r="O22" s="1379" t="s">
        <v>312</v>
      </c>
      <c r="P22" s="852">
        <v>2119</v>
      </c>
      <c r="Q22" s="852">
        <v>2200</v>
      </c>
      <c r="R22" s="853">
        <v>2200</v>
      </c>
    </row>
    <row r="23" spans="1:23" x14ac:dyDescent="0.2">
      <c r="A23" s="1325"/>
      <c r="B23" s="27"/>
      <c r="C23" s="1329"/>
      <c r="D23" s="1322"/>
      <c r="E23" s="1355"/>
      <c r="F23" s="1186"/>
      <c r="G23" s="1202"/>
      <c r="H23" s="1238"/>
      <c r="I23" s="410"/>
      <c r="J23" s="1630"/>
      <c r="K23" s="1631"/>
      <c r="L23" s="1632"/>
      <c r="M23" s="1633"/>
      <c r="N23" s="1630"/>
      <c r="O23" s="1193" t="s">
        <v>261</v>
      </c>
      <c r="P23" s="1194">
        <v>1060</v>
      </c>
      <c r="Q23" s="1195">
        <v>1040</v>
      </c>
      <c r="R23" s="1196">
        <v>1020</v>
      </c>
    </row>
    <row r="24" spans="1:23" x14ac:dyDescent="0.2">
      <c r="A24" s="2067"/>
      <c r="B24" s="1333"/>
      <c r="C24" s="2068"/>
      <c r="D24" s="2020" t="s">
        <v>294</v>
      </c>
      <c r="E24" s="2005"/>
      <c r="F24" s="2443"/>
      <c r="G24" s="297"/>
      <c r="H24" s="1234"/>
      <c r="I24" s="1634"/>
      <c r="J24" s="1635"/>
      <c r="K24" s="1635"/>
      <c r="L24" s="1636"/>
      <c r="M24" s="1031"/>
      <c r="N24" s="1031"/>
      <c r="O24" s="931" t="s">
        <v>262</v>
      </c>
      <c r="P24" s="932">
        <v>36</v>
      </c>
      <c r="Q24" s="932">
        <v>35</v>
      </c>
      <c r="R24" s="933">
        <v>35</v>
      </c>
    </row>
    <row r="25" spans="1:23" x14ac:dyDescent="0.2">
      <c r="A25" s="2067"/>
      <c r="B25" s="1333"/>
      <c r="C25" s="2068"/>
      <c r="D25" s="2020"/>
      <c r="E25" s="2005"/>
      <c r="F25" s="2443"/>
      <c r="G25" s="720"/>
      <c r="H25" s="1235"/>
      <c r="I25" s="717"/>
      <c r="J25" s="286"/>
      <c r="K25" s="286"/>
      <c r="L25" s="786"/>
      <c r="M25" s="1637"/>
      <c r="N25" s="540"/>
      <c r="O25" s="860" t="s">
        <v>263</v>
      </c>
      <c r="P25" s="1358">
        <v>16960</v>
      </c>
      <c r="Q25" s="1358">
        <v>17000</v>
      </c>
      <c r="R25" s="1377">
        <v>17000</v>
      </c>
    </row>
    <row r="26" spans="1:23" x14ac:dyDescent="0.2">
      <c r="A26" s="2067"/>
      <c r="B26" s="1333"/>
      <c r="C26" s="2068"/>
      <c r="D26" s="2020"/>
      <c r="E26" s="2005"/>
      <c r="F26" s="2443"/>
      <c r="G26" s="720"/>
      <c r="H26" s="1235"/>
      <c r="I26" s="717"/>
      <c r="J26" s="286"/>
      <c r="K26" s="286"/>
      <c r="L26" s="287"/>
      <c r="M26" s="1040"/>
      <c r="N26" s="785"/>
      <c r="O26" s="857"/>
      <c r="P26" s="858"/>
      <c r="Q26" s="858"/>
      <c r="R26" s="859"/>
    </row>
    <row r="27" spans="1:23" x14ac:dyDescent="0.2">
      <c r="A27" s="2069"/>
      <c r="B27" s="2070"/>
      <c r="C27" s="2003"/>
      <c r="D27" s="2020" t="s">
        <v>264</v>
      </c>
      <c r="E27" s="2564"/>
      <c r="F27" s="2608"/>
      <c r="G27" s="297"/>
      <c r="H27" s="1234"/>
      <c r="I27" s="1638"/>
      <c r="J27" s="1627"/>
      <c r="K27" s="1627"/>
      <c r="L27" s="1628"/>
      <c r="M27" s="1614"/>
      <c r="N27" s="1628"/>
      <c r="O27" s="860" t="s">
        <v>66</v>
      </c>
      <c r="P27" s="1358">
        <v>6</v>
      </c>
      <c r="Q27" s="1358">
        <v>6</v>
      </c>
      <c r="R27" s="1377">
        <v>6</v>
      </c>
    </row>
    <row r="28" spans="1:23" x14ac:dyDescent="0.2">
      <c r="A28" s="2067"/>
      <c r="B28" s="2071"/>
      <c r="C28" s="2003"/>
      <c r="D28" s="2006"/>
      <c r="E28" s="2019"/>
      <c r="F28" s="2441"/>
      <c r="G28" s="427"/>
      <c r="H28" s="1233"/>
      <c r="I28" s="717"/>
      <c r="J28" s="926"/>
      <c r="K28" s="926"/>
      <c r="L28" s="938"/>
      <c r="M28" s="718"/>
      <c r="N28" s="122"/>
      <c r="O28" s="1296" t="s">
        <v>265</v>
      </c>
      <c r="P28" s="1358">
        <v>5049</v>
      </c>
      <c r="Q28" s="1358">
        <v>5050</v>
      </c>
      <c r="R28" s="1377">
        <v>5100</v>
      </c>
      <c r="S28" s="120"/>
    </row>
    <row r="29" spans="1:23" x14ac:dyDescent="0.2">
      <c r="A29" s="2067"/>
      <c r="B29" s="2071"/>
      <c r="C29" s="2003"/>
      <c r="D29" s="2072" t="s">
        <v>147</v>
      </c>
      <c r="E29" s="2077"/>
      <c r="F29" s="2608"/>
      <c r="G29" s="297"/>
      <c r="H29" s="1234"/>
      <c r="I29" s="1634"/>
      <c r="J29" s="1635"/>
      <c r="K29" s="1635"/>
      <c r="L29" s="937"/>
      <c r="M29" s="1031"/>
      <c r="N29" s="1636"/>
      <c r="O29" s="2038" t="s">
        <v>84</v>
      </c>
      <c r="P29" s="2036">
        <v>4</v>
      </c>
      <c r="Q29" s="2036">
        <v>4.5</v>
      </c>
      <c r="R29" s="2026">
        <v>5</v>
      </c>
    </row>
    <row r="30" spans="1:23" x14ac:dyDescent="0.2">
      <c r="A30" s="2067"/>
      <c r="B30" s="2071"/>
      <c r="C30" s="2003"/>
      <c r="D30" s="2072"/>
      <c r="E30" s="2077"/>
      <c r="F30" s="2608"/>
      <c r="G30" s="427"/>
      <c r="H30" s="1233"/>
      <c r="I30" s="717"/>
      <c r="J30" s="286"/>
      <c r="K30" s="286"/>
      <c r="L30" s="267"/>
      <c r="M30" s="1040"/>
      <c r="N30" s="287"/>
      <c r="O30" s="2039"/>
      <c r="P30" s="2037"/>
      <c r="Q30" s="2037"/>
      <c r="R30" s="2027"/>
    </row>
    <row r="31" spans="1:23" x14ac:dyDescent="0.2">
      <c r="A31" s="2067"/>
      <c r="B31" s="2071"/>
      <c r="C31" s="2003"/>
      <c r="D31" s="2558"/>
      <c r="E31" s="2303"/>
      <c r="F31" s="2295"/>
      <c r="G31" s="431"/>
      <c r="H31" s="1239"/>
      <c r="I31" s="313"/>
      <c r="J31" s="293"/>
      <c r="K31" s="1032"/>
      <c r="L31" s="997"/>
      <c r="M31" s="799"/>
      <c r="N31" s="770"/>
      <c r="O31" s="2609"/>
      <c r="P31" s="2610"/>
      <c r="Q31" s="2610"/>
      <c r="R31" s="2611"/>
    </row>
    <row r="32" spans="1:23" x14ac:dyDescent="0.2">
      <c r="A32" s="214"/>
      <c r="B32" s="27"/>
      <c r="C32" s="215"/>
      <c r="D32" s="2072" t="s">
        <v>148</v>
      </c>
      <c r="E32" s="2570"/>
      <c r="F32" s="2443"/>
      <c r="G32" s="297"/>
      <c r="H32" s="1234"/>
      <c r="I32" s="337"/>
      <c r="J32" s="253"/>
      <c r="K32" s="253"/>
      <c r="L32" s="771"/>
      <c r="M32" s="1018"/>
      <c r="N32" s="1018"/>
      <c r="O32" s="216" t="s">
        <v>119</v>
      </c>
      <c r="P32" s="1358">
        <v>92</v>
      </c>
      <c r="Q32" s="1358">
        <v>130</v>
      </c>
      <c r="R32" s="1377">
        <v>145</v>
      </c>
    </row>
    <row r="33" spans="1:20" x14ac:dyDescent="0.2">
      <c r="A33" s="214"/>
      <c r="B33" s="27"/>
      <c r="C33" s="215"/>
      <c r="D33" s="2015"/>
      <c r="E33" s="2011"/>
      <c r="F33" s="2438"/>
      <c r="G33" s="923"/>
      <c r="H33" s="1240"/>
      <c r="I33" s="313"/>
      <c r="J33" s="293"/>
      <c r="K33" s="293"/>
      <c r="L33" s="770"/>
      <c r="M33" s="799"/>
      <c r="N33" s="799"/>
      <c r="O33" s="1197"/>
      <c r="P33" s="1198"/>
      <c r="Q33" s="1199"/>
      <c r="R33" s="1200"/>
    </row>
    <row r="34" spans="1:20" x14ac:dyDescent="0.2">
      <c r="A34" s="214"/>
      <c r="B34" s="27"/>
      <c r="C34" s="172"/>
      <c r="D34" s="2053" t="s">
        <v>195</v>
      </c>
      <c r="E34" s="2077"/>
      <c r="F34" s="2608"/>
      <c r="G34" s="297"/>
      <c r="H34" s="1234"/>
      <c r="I34" s="1634"/>
      <c r="J34" s="1635"/>
      <c r="K34" s="1635"/>
      <c r="L34" s="255"/>
      <c r="M34" s="1031"/>
      <c r="N34" s="1031"/>
      <c r="O34" s="2437" t="s">
        <v>120</v>
      </c>
      <c r="P34" s="877">
        <v>250</v>
      </c>
      <c r="Q34" s="877">
        <v>255</v>
      </c>
      <c r="R34" s="840">
        <v>260</v>
      </c>
      <c r="T34" s="175"/>
    </row>
    <row r="35" spans="1:20" x14ac:dyDescent="0.2">
      <c r="A35" s="214"/>
      <c r="B35" s="27"/>
      <c r="C35" s="172"/>
      <c r="D35" s="2032"/>
      <c r="E35" s="2303"/>
      <c r="F35" s="2295"/>
      <c r="G35" s="720"/>
      <c r="H35" s="1235"/>
      <c r="I35" s="717"/>
      <c r="J35" s="286"/>
      <c r="K35" s="286"/>
      <c r="L35" s="267"/>
      <c r="M35" s="1040"/>
      <c r="N35" s="287"/>
      <c r="O35" s="2437"/>
      <c r="P35" s="877"/>
      <c r="Q35" s="877"/>
      <c r="R35" s="840"/>
      <c r="T35" s="175"/>
    </row>
    <row r="36" spans="1:20" x14ac:dyDescent="0.2">
      <c r="A36" s="214"/>
      <c r="B36" s="27"/>
      <c r="C36" s="172"/>
      <c r="D36" s="2282" t="s">
        <v>267</v>
      </c>
      <c r="E36" s="1307"/>
      <c r="F36" s="1314"/>
      <c r="G36" s="720"/>
      <c r="H36" s="1235"/>
      <c r="I36" s="559"/>
      <c r="J36" s="1639"/>
      <c r="K36" s="1183"/>
      <c r="L36" s="267"/>
      <c r="M36" s="1184"/>
      <c r="N36" s="1185"/>
      <c r="O36" s="999" t="s">
        <v>266</v>
      </c>
      <c r="P36" s="1356">
        <v>9</v>
      </c>
      <c r="Q36" s="877"/>
      <c r="R36" s="840"/>
      <c r="T36" s="175"/>
    </row>
    <row r="37" spans="1:20" x14ac:dyDescent="0.2">
      <c r="A37" s="214"/>
      <c r="B37" s="27"/>
      <c r="C37" s="172"/>
      <c r="D37" s="2282"/>
      <c r="E37" s="1307"/>
      <c r="F37" s="1314"/>
      <c r="G37" s="1201"/>
      <c r="H37" s="1236"/>
      <c r="I37" s="650"/>
      <c r="J37" s="1626"/>
      <c r="K37" s="1640"/>
      <c r="L37" s="1624"/>
      <c r="M37" s="1625"/>
      <c r="N37" s="1624"/>
      <c r="O37" s="946"/>
      <c r="P37" s="944"/>
      <c r="Q37" s="944"/>
      <c r="R37" s="945"/>
    </row>
    <row r="38" spans="1:20" x14ac:dyDescent="0.2">
      <c r="A38" s="1304"/>
      <c r="B38" s="1297"/>
      <c r="C38" s="1305"/>
      <c r="D38" s="2316" t="s">
        <v>289</v>
      </c>
      <c r="E38" s="2553"/>
      <c r="F38" s="2419"/>
      <c r="G38" s="1142"/>
      <c r="H38" s="1241"/>
      <c r="I38" s="1634"/>
      <c r="J38" s="1635"/>
      <c r="K38" s="1641"/>
      <c r="L38" s="1642"/>
      <c r="M38" s="1031"/>
      <c r="N38" s="1636"/>
      <c r="O38" s="1175" t="s">
        <v>66</v>
      </c>
      <c r="P38" s="1349">
        <v>92</v>
      </c>
      <c r="Q38" s="128">
        <v>92</v>
      </c>
      <c r="R38" s="110">
        <v>92</v>
      </c>
    </row>
    <row r="39" spans="1:20" ht="13.5" thickBot="1" x14ac:dyDescent="0.25">
      <c r="A39" s="602"/>
      <c r="B39" s="28"/>
      <c r="C39" s="993"/>
      <c r="D39" s="2317"/>
      <c r="E39" s="2318"/>
      <c r="F39" s="2319"/>
      <c r="G39" s="348" t="s">
        <v>23</v>
      </c>
      <c r="H39" s="1242">
        <f t="shared" ref="H39:N39" si="1">SUM(H12:H38)</f>
        <v>54837001.853568122</v>
      </c>
      <c r="I39" s="349">
        <f t="shared" si="1"/>
        <v>189369.60000000001</v>
      </c>
      <c r="J39" s="349">
        <f t="shared" si="1"/>
        <v>189100.4</v>
      </c>
      <c r="K39" s="349">
        <f t="shared" si="1"/>
        <v>127061.80000000002</v>
      </c>
      <c r="L39" s="349">
        <f t="shared" si="1"/>
        <v>269.2</v>
      </c>
      <c r="M39" s="349">
        <f t="shared" si="1"/>
        <v>189370</v>
      </c>
      <c r="N39" s="349">
        <f t="shared" si="1"/>
        <v>189370</v>
      </c>
      <c r="O39" s="1168"/>
      <c r="P39" s="685"/>
      <c r="Q39" s="685"/>
      <c r="R39" s="218"/>
      <c r="T39" s="242"/>
    </row>
    <row r="40" spans="1:20" ht="32.25" customHeight="1" x14ac:dyDescent="0.2">
      <c r="A40" s="1317" t="s">
        <v>20</v>
      </c>
      <c r="B40" s="259" t="s">
        <v>20</v>
      </c>
      <c r="C40" s="1328" t="s">
        <v>24</v>
      </c>
      <c r="D40" s="2007" t="s">
        <v>209</v>
      </c>
      <c r="E40" s="2435" t="s">
        <v>132</v>
      </c>
      <c r="F40" s="2294">
        <v>2</v>
      </c>
      <c r="G40" s="130" t="s">
        <v>25</v>
      </c>
      <c r="H40" s="1232">
        <f>50.9/3.4528*1000</f>
        <v>14741.658943466173</v>
      </c>
      <c r="I40" s="380">
        <f>J40+L40</f>
        <v>50.9</v>
      </c>
      <c r="J40" s="831">
        <v>50.9</v>
      </c>
      <c r="K40" s="831">
        <v>38.799999999999997</v>
      </c>
      <c r="L40" s="257"/>
      <c r="M40" s="871">
        <f>50.9</f>
        <v>50.9</v>
      </c>
      <c r="N40" s="880">
        <f>50.9</f>
        <v>50.9</v>
      </c>
      <c r="O40" s="2431" t="s">
        <v>268</v>
      </c>
      <c r="P40" s="1994">
        <v>1</v>
      </c>
      <c r="Q40" s="1994">
        <v>1</v>
      </c>
      <c r="R40" s="1989">
        <v>1</v>
      </c>
      <c r="T40" s="241"/>
    </row>
    <row r="41" spans="1:20" ht="13.5" thickBot="1" x14ac:dyDescent="0.25">
      <c r="A41" s="1335"/>
      <c r="B41" s="28"/>
      <c r="C41" s="1351"/>
      <c r="D41" s="2008"/>
      <c r="E41" s="2436"/>
      <c r="F41" s="2428"/>
      <c r="G41" s="348" t="s">
        <v>23</v>
      </c>
      <c r="H41" s="1242">
        <f>H40</f>
        <v>14741.658943466173</v>
      </c>
      <c r="I41" s="349">
        <f t="shared" ref="I41:K41" si="2">SUM(I40:I40)</f>
        <v>50.9</v>
      </c>
      <c r="J41" s="342">
        <f t="shared" si="2"/>
        <v>50.9</v>
      </c>
      <c r="K41" s="364">
        <f t="shared" si="2"/>
        <v>38.799999999999997</v>
      </c>
      <c r="L41" s="351"/>
      <c r="M41" s="350">
        <f>SUM(M40:M40)</f>
        <v>50.9</v>
      </c>
      <c r="N41" s="351">
        <f>SUM(N40:N40)</f>
        <v>50.9</v>
      </c>
      <c r="O41" s="2432"/>
      <c r="P41" s="2433"/>
      <c r="Q41" s="2433"/>
      <c r="R41" s="2434"/>
    </row>
    <row r="42" spans="1:20" x14ac:dyDescent="0.2">
      <c r="A42" s="1302" t="s">
        <v>20</v>
      </c>
      <c r="B42" s="1310" t="s">
        <v>20</v>
      </c>
      <c r="C42" s="1299" t="s">
        <v>26</v>
      </c>
      <c r="D42" s="2007" t="s">
        <v>155</v>
      </c>
      <c r="E42" s="2030"/>
      <c r="F42" s="2294">
        <v>2</v>
      </c>
      <c r="G42" s="129" t="s">
        <v>25</v>
      </c>
      <c r="H42" s="1235">
        <f>141.1/3.4528*1000</f>
        <v>40865.38461538461</v>
      </c>
      <c r="I42" s="717">
        <f>J42+L42</f>
        <v>141.1</v>
      </c>
      <c r="J42" s="881">
        <v>141.1</v>
      </c>
      <c r="K42" s="832">
        <v>107.8</v>
      </c>
      <c r="L42" s="257"/>
      <c r="M42" s="121">
        <f>141.1</f>
        <v>141.1</v>
      </c>
      <c r="N42" s="927">
        <f>141.1</f>
        <v>141.1</v>
      </c>
      <c r="O42" s="1996" t="s">
        <v>313</v>
      </c>
      <c r="P42" s="1993">
        <v>5</v>
      </c>
      <c r="Q42" s="1993">
        <v>5</v>
      </c>
      <c r="R42" s="1988">
        <v>5</v>
      </c>
    </row>
    <row r="43" spans="1:20" ht="13.5" thickBot="1" x14ac:dyDescent="0.25">
      <c r="A43" s="1303"/>
      <c r="B43" s="28"/>
      <c r="C43" s="1300"/>
      <c r="D43" s="2008"/>
      <c r="E43" s="2031"/>
      <c r="F43" s="2428"/>
      <c r="G43" s="348" t="s">
        <v>23</v>
      </c>
      <c r="H43" s="1242">
        <f>H42</f>
        <v>40865.38461538461</v>
      </c>
      <c r="I43" s="349">
        <f t="shared" ref="I43:K43" si="3">SUM(I42:I42)</f>
        <v>141.1</v>
      </c>
      <c r="J43" s="342">
        <f t="shared" si="3"/>
        <v>141.1</v>
      </c>
      <c r="K43" s="364">
        <f t="shared" si="3"/>
        <v>107.8</v>
      </c>
      <c r="L43" s="351"/>
      <c r="M43" s="365">
        <f>SUM(M42:M42)</f>
        <v>141.1</v>
      </c>
      <c r="N43" s="366">
        <f>SUM(N42:N42)</f>
        <v>141.1</v>
      </c>
      <c r="O43" s="1998"/>
      <c r="P43" s="1995"/>
      <c r="Q43" s="1995"/>
      <c r="R43" s="1990"/>
    </row>
    <row r="44" spans="1:20" x14ac:dyDescent="0.2">
      <c r="A44" s="1308" t="s">
        <v>20</v>
      </c>
      <c r="B44" s="1310" t="s">
        <v>20</v>
      </c>
      <c r="C44" s="925" t="s">
        <v>28</v>
      </c>
      <c r="D44" s="2052" t="s">
        <v>278</v>
      </c>
      <c r="E44" s="2030"/>
      <c r="F44" s="2294">
        <v>2</v>
      </c>
      <c r="G44" s="129" t="s">
        <v>25</v>
      </c>
      <c r="H44" s="1243">
        <f>282.4/3.4528*1000</f>
        <v>81788.693234476363</v>
      </c>
      <c r="I44" s="372">
        <f>J44+L44</f>
        <v>282.39999999999998</v>
      </c>
      <c r="J44" s="831">
        <v>282.39999999999998</v>
      </c>
      <c r="K44" s="882">
        <v>150</v>
      </c>
      <c r="L44" s="257"/>
      <c r="M44" s="883">
        <f>300</f>
        <v>300</v>
      </c>
      <c r="N44" s="884">
        <f>300</f>
        <v>300</v>
      </c>
      <c r="O44" s="2429" t="s">
        <v>279</v>
      </c>
      <c r="P44" s="1339">
        <v>25</v>
      </c>
      <c r="Q44" s="1339">
        <v>30</v>
      </c>
      <c r="R44" s="1342">
        <v>30</v>
      </c>
    </row>
    <row r="45" spans="1:20" ht="13.5" thickBot="1" x14ac:dyDescent="0.25">
      <c r="A45" s="1303"/>
      <c r="B45" s="28"/>
      <c r="C45" s="1300"/>
      <c r="D45" s="2008"/>
      <c r="E45" s="2031"/>
      <c r="F45" s="2428"/>
      <c r="G45" s="348" t="s">
        <v>23</v>
      </c>
      <c r="H45" s="1242">
        <f>H44</f>
        <v>81788.693234476363</v>
      </c>
      <c r="I45" s="349">
        <f t="shared" ref="I45:K45" si="4">SUM(I44:I44)</f>
        <v>282.39999999999998</v>
      </c>
      <c r="J45" s="342">
        <f t="shared" si="4"/>
        <v>282.39999999999998</v>
      </c>
      <c r="K45" s="364">
        <f t="shared" si="4"/>
        <v>150</v>
      </c>
      <c r="L45" s="351"/>
      <c r="M45" s="350">
        <f>SUM(M44:M44)</f>
        <v>300</v>
      </c>
      <c r="N45" s="351">
        <f>SUM(N44:N44)</f>
        <v>300</v>
      </c>
      <c r="O45" s="2430"/>
      <c r="P45" s="924"/>
      <c r="Q45" s="143"/>
      <c r="R45" s="233"/>
    </row>
    <row r="46" spans="1:20" x14ac:dyDescent="0.2">
      <c r="A46" s="1302" t="s">
        <v>20</v>
      </c>
      <c r="B46" s="1310" t="s">
        <v>20</v>
      </c>
      <c r="C46" s="1299" t="s">
        <v>29</v>
      </c>
      <c r="D46" s="2426" t="s">
        <v>269</v>
      </c>
      <c r="E46" s="2030"/>
      <c r="F46" s="2294">
        <v>2</v>
      </c>
      <c r="G46" s="129" t="s">
        <v>22</v>
      </c>
      <c r="H46" s="1243">
        <f>10/3.4528*1000</f>
        <v>2896.2001853568122</v>
      </c>
      <c r="I46" s="372">
        <f>J46+L46</f>
        <v>10</v>
      </c>
      <c r="J46" s="831">
        <v>10</v>
      </c>
      <c r="K46" s="882"/>
      <c r="L46" s="257"/>
      <c r="M46" s="883">
        <f>10</f>
        <v>10</v>
      </c>
      <c r="N46" s="884">
        <f>10</f>
        <v>10</v>
      </c>
      <c r="O46" s="1326" t="s">
        <v>270</v>
      </c>
      <c r="P46" s="873">
        <v>30</v>
      </c>
      <c r="Q46" s="873">
        <v>35</v>
      </c>
      <c r="R46" s="891">
        <v>35</v>
      </c>
    </row>
    <row r="47" spans="1:20" ht="13.5" thickBot="1" x14ac:dyDescent="0.25">
      <c r="A47" s="1303"/>
      <c r="B47" s="28"/>
      <c r="C47" s="1300"/>
      <c r="D47" s="2427"/>
      <c r="E47" s="2031"/>
      <c r="F47" s="2428"/>
      <c r="G47" s="348" t="s">
        <v>23</v>
      </c>
      <c r="H47" s="1242">
        <f>H46</f>
        <v>2896.2001853568122</v>
      </c>
      <c r="I47" s="349">
        <f>SUM(I46:I46)</f>
        <v>10</v>
      </c>
      <c r="J47" s="342">
        <f>SUM(J46:J46)</f>
        <v>10</v>
      </c>
      <c r="K47" s="364"/>
      <c r="L47" s="351"/>
      <c r="M47" s="350">
        <f>SUM(M46:M46)</f>
        <v>10</v>
      </c>
      <c r="N47" s="351">
        <f>SUM(N46:N46)</f>
        <v>10</v>
      </c>
      <c r="O47" s="1327"/>
      <c r="P47" s="889"/>
      <c r="Q47" s="889"/>
      <c r="R47" s="890"/>
    </row>
    <row r="48" spans="1:20" x14ac:dyDescent="0.2">
      <c r="A48" s="1302" t="s">
        <v>20</v>
      </c>
      <c r="B48" s="1310" t="s">
        <v>20</v>
      </c>
      <c r="C48" s="1299" t="s">
        <v>30</v>
      </c>
      <c r="D48" s="2426" t="s">
        <v>271</v>
      </c>
      <c r="E48" s="2030"/>
      <c r="F48" s="2294">
        <v>2</v>
      </c>
      <c r="G48" s="129" t="s">
        <v>22</v>
      </c>
      <c r="H48" s="1243">
        <f>50/3.4528*1000</f>
        <v>14481.00092678406</v>
      </c>
      <c r="I48" s="372">
        <f>J48+L48</f>
        <v>50</v>
      </c>
      <c r="J48" s="831">
        <v>50</v>
      </c>
      <c r="K48" s="882"/>
      <c r="L48" s="257"/>
      <c r="M48" s="883">
        <f>50</f>
        <v>50</v>
      </c>
      <c r="N48" s="884">
        <f>50</f>
        <v>50</v>
      </c>
      <c r="O48" s="2126" t="s">
        <v>272</v>
      </c>
      <c r="P48" s="2422">
        <v>1.5</v>
      </c>
      <c r="Q48" s="2422">
        <v>1.5</v>
      </c>
      <c r="R48" s="2424">
        <v>1.5</v>
      </c>
    </row>
    <row r="49" spans="1:18" ht="13.5" thickBot="1" x14ac:dyDescent="0.25">
      <c r="A49" s="1303"/>
      <c r="B49" s="28"/>
      <c r="C49" s="1300"/>
      <c r="D49" s="2427"/>
      <c r="E49" s="2031"/>
      <c r="F49" s="2428"/>
      <c r="G49" s="348" t="s">
        <v>23</v>
      </c>
      <c r="H49" s="1242">
        <f>H48</f>
        <v>14481.00092678406</v>
      </c>
      <c r="I49" s="349">
        <f>SUM(I48:I48)</f>
        <v>50</v>
      </c>
      <c r="J49" s="342">
        <f>SUM(J48:J48)</f>
        <v>50</v>
      </c>
      <c r="K49" s="364"/>
      <c r="L49" s="351"/>
      <c r="M49" s="350">
        <f>SUM(M48:M48)</f>
        <v>50</v>
      </c>
      <c r="N49" s="351">
        <f>SUM(N48:N48)</f>
        <v>50</v>
      </c>
      <c r="O49" s="2127"/>
      <c r="P49" s="2423"/>
      <c r="Q49" s="2423"/>
      <c r="R49" s="2425"/>
    </row>
    <row r="50" spans="1:18" ht="13.5" thickBot="1" x14ac:dyDescent="0.25">
      <c r="A50" s="1303" t="s">
        <v>20</v>
      </c>
      <c r="B50" s="1311" t="s">
        <v>20</v>
      </c>
      <c r="C50" s="2138" t="s">
        <v>27</v>
      </c>
      <c r="D50" s="2138"/>
      <c r="E50" s="2138"/>
      <c r="F50" s="2138"/>
      <c r="G50" s="2139"/>
      <c r="H50" s="1292">
        <f>H49+H47+H45+H43+H41+H39</f>
        <v>54991774.79147359</v>
      </c>
      <c r="I50" s="1">
        <f t="shared" ref="I50:N50" si="5">I45+I43+I41+I39+I47+I49</f>
        <v>189904</v>
      </c>
      <c r="J50" s="1">
        <f t="shared" si="5"/>
        <v>189634.8</v>
      </c>
      <c r="K50" s="1">
        <f t="shared" si="5"/>
        <v>127358.40000000002</v>
      </c>
      <c r="L50" s="1">
        <f t="shared" si="5"/>
        <v>269.2</v>
      </c>
      <c r="M50" s="1">
        <f t="shared" si="5"/>
        <v>189922</v>
      </c>
      <c r="N50" s="1">
        <f t="shared" si="5"/>
        <v>189922</v>
      </c>
      <c r="O50" s="2239"/>
      <c r="P50" s="2240"/>
      <c r="Q50" s="2240"/>
      <c r="R50" s="2241"/>
    </row>
    <row r="51" spans="1:18" ht="13.5" thickBot="1" x14ac:dyDescent="0.25">
      <c r="A51" s="15" t="s">
        <v>20</v>
      </c>
      <c r="B51" s="17" t="s">
        <v>24</v>
      </c>
      <c r="C51" s="2300" t="s">
        <v>118</v>
      </c>
      <c r="D51" s="2237"/>
      <c r="E51" s="2237"/>
      <c r="F51" s="2237"/>
      <c r="G51" s="2237"/>
      <c r="H51" s="2237"/>
      <c r="I51" s="2237"/>
      <c r="J51" s="2237"/>
      <c r="K51" s="2237"/>
      <c r="L51" s="2237"/>
      <c r="M51" s="2237"/>
      <c r="N51" s="2237"/>
      <c r="O51" s="2237"/>
      <c r="P51" s="2237"/>
      <c r="Q51" s="2237"/>
      <c r="R51" s="2238"/>
    </row>
    <row r="52" spans="1:18" x14ac:dyDescent="0.2">
      <c r="A52" s="258" t="s">
        <v>20</v>
      </c>
      <c r="B52" s="2167" t="s">
        <v>24</v>
      </c>
      <c r="C52" s="1962" t="s">
        <v>20</v>
      </c>
      <c r="D52" s="2292" t="s">
        <v>121</v>
      </c>
      <c r="E52" s="2302"/>
      <c r="F52" s="2297">
        <v>2</v>
      </c>
      <c r="G52" s="1353" t="s">
        <v>22</v>
      </c>
      <c r="H52" s="1244">
        <f>65/3.4528*1000</f>
        <v>18825.30120481928</v>
      </c>
      <c r="I52" s="358">
        <f>J52+L52</f>
        <v>65.400000000000006</v>
      </c>
      <c r="J52" s="51">
        <v>65.400000000000006</v>
      </c>
      <c r="K52" s="51"/>
      <c r="L52" s="52"/>
      <c r="M52" s="22">
        <f>65.4</f>
        <v>65.400000000000006</v>
      </c>
      <c r="N52" s="22">
        <f>65.4</f>
        <v>65.400000000000006</v>
      </c>
      <c r="O52" s="220" t="s">
        <v>273</v>
      </c>
      <c r="P52" s="221">
        <v>20</v>
      </c>
      <c r="Q52" s="221">
        <v>20</v>
      </c>
      <c r="R52" s="222">
        <v>20</v>
      </c>
    </row>
    <row r="53" spans="1:18" ht="26.25" thickBot="1" x14ac:dyDescent="0.25">
      <c r="A53" s="1335"/>
      <c r="B53" s="2168"/>
      <c r="C53" s="1963"/>
      <c r="D53" s="2321"/>
      <c r="E53" s="2420"/>
      <c r="F53" s="2421"/>
      <c r="G53" s="1054" t="s">
        <v>23</v>
      </c>
      <c r="H53" s="1245">
        <f>H52</f>
        <v>18825.30120481928</v>
      </c>
      <c r="I53" s="1055">
        <f>SUM(I52)</f>
        <v>65.400000000000006</v>
      </c>
      <c r="J53" s="1056">
        <f>SUM(J52)</f>
        <v>65.400000000000006</v>
      </c>
      <c r="K53" s="1057"/>
      <c r="L53" s="1058"/>
      <c r="M53" s="1059">
        <f>SUM(M52)</f>
        <v>65.400000000000006</v>
      </c>
      <c r="N53" s="1059">
        <f>SUM(N52)</f>
        <v>65.400000000000006</v>
      </c>
      <c r="O53" s="223" t="s">
        <v>122</v>
      </c>
      <c r="P53" s="224">
        <v>36</v>
      </c>
      <c r="Q53" s="224">
        <v>36</v>
      </c>
      <c r="R53" s="225">
        <v>36</v>
      </c>
    </row>
    <row r="54" spans="1:18" x14ac:dyDescent="0.2">
      <c r="A54" s="2271" t="s">
        <v>20</v>
      </c>
      <c r="B54" s="2167" t="s">
        <v>24</v>
      </c>
      <c r="C54" s="2277" t="s">
        <v>24</v>
      </c>
      <c r="D54" s="2145" t="s">
        <v>275</v>
      </c>
      <c r="E54" s="2302"/>
      <c r="F54" s="2294">
        <v>2</v>
      </c>
      <c r="G54" s="720" t="s">
        <v>25</v>
      </c>
      <c r="H54" s="1235">
        <f>105/3.4528*1000</f>
        <v>30410.101946246526</v>
      </c>
      <c r="I54" s="358">
        <f>J54+L54</f>
        <v>104.8</v>
      </c>
      <c r="J54" s="893">
        <v>104.8</v>
      </c>
      <c r="K54" s="19">
        <v>80</v>
      </c>
      <c r="L54" s="267"/>
      <c r="M54" s="1637">
        <f>105</f>
        <v>105</v>
      </c>
      <c r="N54" s="266">
        <f>105</f>
        <v>105</v>
      </c>
      <c r="O54" s="2126" t="s">
        <v>314</v>
      </c>
      <c r="P54" s="153">
        <v>17</v>
      </c>
      <c r="Q54" s="153">
        <v>17</v>
      </c>
      <c r="R54" s="152">
        <v>17</v>
      </c>
    </row>
    <row r="55" spans="1:18" ht="13.5" thickBot="1" x14ac:dyDescent="0.25">
      <c r="A55" s="2291"/>
      <c r="B55" s="2301"/>
      <c r="C55" s="2290"/>
      <c r="D55" s="2146"/>
      <c r="E55" s="2303"/>
      <c r="F55" s="2295"/>
      <c r="G55" s="348" t="s">
        <v>23</v>
      </c>
      <c r="H55" s="1246">
        <f>H54</f>
        <v>30410.101946246526</v>
      </c>
      <c r="I55" s="363">
        <f>SUM(I54)</f>
        <v>104.8</v>
      </c>
      <c r="J55" s="342">
        <f>SUM(J54)</f>
        <v>104.8</v>
      </c>
      <c r="K55" s="341">
        <f>SUM(K54)</f>
        <v>80</v>
      </c>
      <c r="L55" s="345"/>
      <c r="M55" s="350">
        <f>SUM(M54)</f>
        <v>105</v>
      </c>
      <c r="N55" s="341">
        <f>SUM(N54)</f>
        <v>105</v>
      </c>
      <c r="O55" s="2127"/>
      <c r="P55" s="947"/>
      <c r="Q55" s="947"/>
      <c r="R55" s="948"/>
    </row>
    <row r="56" spans="1:18" x14ac:dyDescent="0.2">
      <c r="A56" s="2204" t="s">
        <v>20</v>
      </c>
      <c r="B56" s="1310" t="s">
        <v>24</v>
      </c>
      <c r="C56" s="2280" t="s">
        <v>26</v>
      </c>
      <c r="D56" s="2258" t="s">
        <v>45</v>
      </c>
      <c r="E56" s="2260"/>
      <c r="F56" s="2142">
        <v>2</v>
      </c>
      <c r="G56" s="921" t="s">
        <v>22</v>
      </c>
      <c r="H56" s="1247">
        <f>137/3.4528*1000</f>
        <v>39677.942539388328</v>
      </c>
      <c r="I56" s="421">
        <f>J56+L56</f>
        <v>136.69999999999999</v>
      </c>
      <c r="J56" s="43">
        <v>136.69999999999999</v>
      </c>
      <c r="K56" s="43"/>
      <c r="L56" s="44"/>
      <c r="M56" s="22">
        <f>140</f>
        <v>140</v>
      </c>
      <c r="N56" s="19">
        <f>140</f>
        <v>140</v>
      </c>
      <c r="O56" s="949" t="s">
        <v>315</v>
      </c>
      <c r="P56" s="944">
        <v>180</v>
      </c>
      <c r="Q56" s="1321">
        <v>180</v>
      </c>
      <c r="R56" s="740">
        <v>180</v>
      </c>
    </row>
    <row r="57" spans="1:18" ht="13.5" thickBot="1" x14ac:dyDescent="0.25">
      <c r="A57" s="2206"/>
      <c r="B57" s="1311"/>
      <c r="C57" s="2281"/>
      <c r="D57" s="2259"/>
      <c r="E57" s="2261"/>
      <c r="F57" s="2143"/>
      <c r="G57" s="1301" t="s">
        <v>23</v>
      </c>
      <c r="H57" s="1246">
        <f>H56</f>
        <v>39677.942539388328</v>
      </c>
      <c r="I57" s="371">
        <f>SUM(I56)</f>
        <v>136.69999999999999</v>
      </c>
      <c r="J57" s="370">
        <f>SUM(J56)</f>
        <v>136.69999999999999</v>
      </c>
      <c r="K57" s="367"/>
      <c r="L57" s="368"/>
      <c r="M57" s="350">
        <f>SUM(M56)</f>
        <v>140</v>
      </c>
      <c r="N57" s="351">
        <f>SUM(N56)</f>
        <v>140</v>
      </c>
      <c r="O57" s="950"/>
      <c r="P57" s="951"/>
      <c r="Q57" s="907"/>
      <c r="R57" s="1344"/>
    </row>
    <row r="58" spans="1:18" x14ac:dyDescent="0.2">
      <c r="A58" s="2271" t="s">
        <v>20</v>
      </c>
      <c r="B58" s="2167" t="s">
        <v>24</v>
      </c>
      <c r="C58" s="2277" t="s">
        <v>28</v>
      </c>
      <c r="D58" s="2258" t="s">
        <v>325</v>
      </c>
      <c r="E58" s="2416" t="s">
        <v>126</v>
      </c>
      <c r="F58" s="2140">
        <v>2</v>
      </c>
      <c r="G58" s="715" t="s">
        <v>25</v>
      </c>
      <c r="H58" s="1243">
        <f>134/3.4528*1000</f>
        <v>38809.082483781283</v>
      </c>
      <c r="I58" s="358">
        <f>J58+L58</f>
        <v>133.5</v>
      </c>
      <c r="J58" s="898">
        <v>102.5</v>
      </c>
      <c r="K58" s="898">
        <v>78.3</v>
      </c>
      <c r="L58" s="899">
        <v>31</v>
      </c>
      <c r="M58" s="900">
        <f>102.5</f>
        <v>102.5</v>
      </c>
      <c r="N58" s="899"/>
      <c r="O58" s="226" t="s">
        <v>66</v>
      </c>
      <c r="P58" s="153">
        <v>2</v>
      </c>
      <c r="Q58" s="153">
        <v>1</v>
      </c>
      <c r="R58" s="906"/>
    </row>
    <row r="59" spans="1:18" x14ac:dyDescent="0.2">
      <c r="A59" s="2205"/>
      <c r="B59" s="2209"/>
      <c r="C59" s="2278"/>
      <c r="D59" s="2313"/>
      <c r="E59" s="2358"/>
      <c r="F59" s="2289"/>
      <c r="G59" s="130"/>
      <c r="H59" s="1232"/>
      <c r="I59" s="313"/>
      <c r="J59" s="895"/>
      <c r="K59" s="895"/>
      <c r="L59" s="569"/>
      <c r="M59" s="903"/>
      <c r="N59" s="902"/>
      <c r="O59" s="952"/>
      <c r="P59" s="205"/>
      <c r="Q59" s="205"/>
      <c r="R59" s="740"/>
    </row>
    <row r="60" spans="1:18" ht="13.5" thickBot="1" x14ac:dyDescent="0.25">
      <c r="A60" s="2291"/>
      <c r="B60" s="2301"/>
      <c r="C60" s="2290"/>
      <c r="D60" s="2418"/>
      <c r="E60" s="2401"/>
      <c r="F60" s="2419"/>
      <c r="G60" s="348" t="s">
        <v>23</v>
      </c>
      <c r="H60" s="1242">
        <f>H58</f>
        <v>38809.082483781283</v>
      </c>
      <c r="I60" s="371">
        <f t="shared" ref="I60:N60" si="6">I58</f>
        <v>133.5</v>
      </c>
      <c r="J60" s="387">
        <f t="shared" si="6"/>
        <v>102.5</v>
      </c>
      <c r="K60" s="387">
        <f t="shared" si="6"/>
        <v>78.3</v>
      </c>
      <c r="L60" s="368">
        <f t="shared" si="6"/>
        <v>31</v>
      </c>
      <c r="M60" s="365">
        <f t="shared" si="6"/>
        <v>102.5</v>
      </c>
      <c r="N60" s="367">
        <f t="shared" si="6"/>
        <v>0</v>
      </c>
      <c r="O60" s="1341"/>
      <c r="P60" s="947"/>
      <c r="Q60" s="947"/>
      <c r="R60" s="948"/>
    </row>
    <row r="61" spans="1:18" x14ac:dyDescent="0.2">
      <c r="A61" s="2271" t="s">
        <v>20</v>
      </c>
      <c r="B61" s="2167" t="s">
        <v>24</v>
      </c>
      <c r="C61" s="2277" t="s">
        <v>29</v>
      </c>
      <c r="D61" s="2258" t="s">
        <v>127</v>
      </c>
      <c r="E61" s="2416"/>
      <c r="F61" s="2140">
        <v>2</v>
      </c>
      <c r="G61" s="720" t="s">
        <v>25</v>
      </c>
      <c r="H61" s="1235">
        <f>1280/3.4528*1000</f>
        <v>370713.62372567196</v>
      </c>
      <c r="I61" s="425">
        <f>J61+L61</f>
        <v>1279.8</v>
      </c>
      <c r="J61" s="285">
        <v>1279.8</v>
      </c>
      <c r="K61" s="286">
        <v>977.1</v>
      </c>
      <c r="L61" s="287"/>
      <c r="M61" s="564">
        <f>1313.3</f>
        <v>1313.3</v>
      </c>
      <c r="N61" s="10">
        <f>1313.3</f>
        <v>1313.3</v>
      </c>
      <c r="O61" s="904" t="s">
        <v>66</v>
      </c>
      <c r="P61" s="905">
        <v>34</v>
      </c>
      <c r="Q61" s="905">
        <v>34</v>
      </c>
      <c r="R61" s="906">
        <v>34</v>
      </c>
    </row>
    <row r="62" spans="1:18" ht="13.5" thickBot="1" x14ac:dyDescent="0.25">
      <c r="A62" s="2291"/>
      <c r="B62" s="2301"/>
      <c r="C62" s="2290"/>
      <c r="D62" s="2418"/>
      <c r="E62" s="2401"/>
      <c r="F62" s="2419"/>
      <c r="G62" s="348" t="s">
        <v>23</v>
      </c>
      <c r="H62" s="1246">
        <f>H61</f>
        <v>370713.62372567196</v>
      </c>
      <c r="I62" s="387">
        <f>SUM(I61)</f>
        <v>1279.8</v>
      </c>
      <c r="J62" s="370">
        <f>SUM(J61)</f>
        <v>1279.8</v>
      </c>
      <c r="K62" s="367">
        <f>K61</f>
        <v>977.1</v>
      </c>
      <c r="L62" s="368"/>
      <c r="M62" s="350">
        <f>SUM(M61)</f>
        <v>1313.3</v>
      </c>
      <c r="N62" s="341">
        <f>SUM(N61)</f>
        <v>1313.3</v>
      </c>
      <c r="O62" s="1341"/>
      <c r="P62" s="947"/>
      <c r="Q62" s="947"/>
      <c r="R62" s="948"/>
    </row>
    <row r="63" spans="1:18" x14ac:dyDescent="0.2">
      <c r="A63" s="2204" t="s">
        <v>20</v>
      </c>
      <c r="B63" s="1310" t="s">
        <v>24</v>
      </c>
      <c r="C63" s="2280" t="s">
        <v>30</v>
      </c>
      <c r="D63" s="2258" t="s">
        <v>274</v>
      </c>
      <c r="E63" s="2416"/>
      <c r="F63" s="2142">
        <v>2</v>
      </c>
      <c r="G63" s="921" t="s">
        <v>22</v>
      </c>
      <c r="H63" s="1247">
        <f>30/3.4528*1000</f>
        <v>8688.6005560704343</v>
      </c>
      <c r="I63" s="421">
        <f>J63+L63</f>
        <v>30</v>
      </c>
      <c r="J63" s="43">
        <v>30</v>
      </c>
      <c r="K63" s="43"/>
      <c r="L63" s="44"/>
      <c r="M63" s="22">
        <f>30</f>
        <v>30</v>
      </c>
      <c r="N63" s="19">
        <f>30</f>
        <v>30</v>
      </c>
      <c r="O63" s="949" t="s">
        <v>144</v>
      </c>
      <c r="P63" s="746">
        <v>5000</v>
      </c>
      <c r="Q63" s="953">
        <v>5000</v>
      </c>
      <c r="R63" s="1051">
        <v>5000</v>
      </c>
    </row>
    <row r="64" spans="1:18" ht="13.5" thickBot="1" x14ac:dyDescent="0.25">
      <c r="A64" s="2206"/>
      <c r="B64" s="1311"/>
      <c r="C64" s="2281"/>
      <c r="D64" s="2259"/>
      <c r="E64" s="2417"/>
      <c r="F64" s="2143"/>
      <c r="G64" s="1301" t="s">
        <v>23</v>
      </c>
      <c r="H64" s="1246">
        <f>H63</f>
        <v>8688.6005560704343</v>
      </c>
      <c r="I64" s="371">
        <f>SUM(I63)</f>
        <v>30</v>
      </c>
      <c r="J64" s="370">
        <f>SUM(J63)</f>
        <v>30</v>
      </c>
      <c r="K64" s="367"/>
      <c r="L64" s="368"/>
      <c r="M64" s="350">
        <f>SUM(M63)</f>
        <v>30</v>
      </c>
      <c r="N64" s="351">
        <f>SUM(N63)</f>
        <v>30</v>
      </c>
      <c r="O64" s="950"/>
      <c r="P64" s="951"/>
      <c r="Q64" s="907"/>
      <c r="R64" s="1344"/>
    </row>
    <row r="65" spans="1:18" x14ac:dyDescent="0.2">
      <c r="A65" s="2204" t="s">
        <v>20</v>
      </c>
      <c r="B65" s="1310" t="s">
        <v>24</v>
      </c>
      <c r="C65" s="2280" t="s">
        <v>55</v>
      </c>
      <c r="D65" s="2258" t="s">
        <v>284</v>
      </c>
      <c r="E65" s="2416" t="s">
        <v>136</v>
      </c>
      <c r="F65" s="2142">
        <v>2</v>
      </c>
      <c r="G65" s="921" t="s">
        <v>22</v>
      </c>
      <c r="H65" s="1295">
        <f>439/3.4528*1000</f>
        <v>127143.18813716405</v>
      </c>
      <c r="I65" s="421">
        <f>J65+L65</f>
        <v>438.6</v>
      </c>
      <c r="J65" s="43">
        <v>438.6</v>
      </c>
      <c r="K65" s="43"/>
      <c r="L65" s="44"/>
      <c r="M65" s="22">
        <f>295.5</f>
        <v>295.5</v>
      </c>
      <c r="N65" s="19"/>
      <c r="O65" s="2034" t="s">
        <v>221</v>
      </c>
      <c r="P65" s="944">
        <f>24+29</f>
        <v>53</v>
      </c>
      <c r="Q65" s="1321">
        <v>25</v>
      </c>
      <c r="R65" s="740"/>
    </row>
    <row r="66" spans="1:18" ht="38.25" customHeight="1" thickBot="1" x14ac:dyDescent="0.25">
      <c r="A66" s="2206"/>
      <c r="B66" s="1311"/>
      <c r="C66" s="2281"/>
      <c r="D66" s="2259"/>
      <c r="E66" s="2417"/>
      <c r="F66" s="2143"/>
      <c r="G66" s="1301" t="s">
        <v>23</v>
      </c>
      <c r="H66" s="1246">
        <f>H65</f>
        <v>127143.18813716405</v>
      </c>
      <c r="I66" s="371">
        <f>SUM(I65)</f>
        <v>438.6</v>
      </c>
      <c r="J66" s="370">
        <f>SUM(J65)</f>
        <v>438.6</v>
      </c>
      <c r="K66" s="367"/>
      <c r="L66" s="368"/>
      <c r="M66" s="350">
        <f>SUM(M65)</f>
        <v>295.5</v>
      </c>
      <c r="N66" s="351"/>
      <c r="O66" s="2035"/>
      <c r="P66" s="951"/>
      <c r="Q66" s="907"/>
      <c r="R66" s="1344"/>
    </row>
    <row r="67" spans="1:18" ht="13.5" thickBot="1" x14ac:dyDescent="0.25">
      <c r="A67" s="15" t="s">
        <v>20</v>
      </c>
      <c r="B67" s="14" t="s">
        <v>24</v>
      </c>
      <c r="C67" s="2154" t="s">
        <v>27</v>
      </c>
      <c r="D67" s="2154"/>
      <c r="E67" s="2154"/>
      <c r="F67" s="2154"/>
      <c r="G67" s="2154"/>
      <c r="H67" s="1292">
        <f>H66+H64+H62+H60+H57+H55+H53</f>
        <v>634267.84059314185</v>
      </c>
      <c r="I67" s="1">
        <f>J67+L67</f>
        <v>2188.8000000000002</v>
      </c>
      <c r="J67" s="1">
        <f t="shared" ref="J67:N67" si="7">J57+J62+J60+J55+J53+J64+J66</f>
        <v>2157.8000000000002</v>
      </c>
      <c r="K67" s="1">
        <f t="shared" si="7"/>
        <v>1135.4000000000001</v>
      </c>
      <c r="L67" s="1">
        <f t="shared" si="7"/>
        <v>31</v>
      </c>
      <c r="M67" s="1643">
        <f>M57+M62+M60+M55+M53+M64+M66</f>
        <v>2051.6999999999998</v>
      </c>
      <c r="N67" s="30">
        <f t="shared" si="7"/>
        <v>1653.7</v>
      </c>
      <c r="O67" s="1306"/>
      <c r="P67" s="2410"/>
      <c r="Q67" s="2410"/>
      <c r="R67" s="2411"/>
    </row>
    <row r="68" spans="1:18" ht="13.5" thickBot="1" x14ac:dyDescent="0.25">
      <c r="A68" s="15" t="s">
        <v>20</v>
      </c>
      <c r="B68" s="2412" t="s">
        <v>10</v>
      </c>
      <c r="C68" s="2199"/>
      <c r="D68" s="2199"/>
      <c r="E68" s="2199"/>
      <c r="F68" s="2199"/>
      <c r="G68" s="2199"/>
      <c r="H68" s="1286">
        <f>H67+H50</f>
        <v>55626042.632066734</v>
      </c>
      <c r="I68" s="20">
        <f>J68+L68</f>
        <v>192092.79999999999</v>
      </c>
      <c r="J68" s="20">
        <f t="shared" ref="J68:N68" si="8">J67+J50</f>
        <v>191792.59999999998</v>
      </c>
      <c r="K68" s="20">
        <f t="shared" si="8"/>
        <v>128493.80000000002</v>
      </c>
      <c r="L68" s="20">
        <f t="shared" si="8"/>
        <v>300.2</v>
      </c>
      <c r="M68" s="1644">
        <f t="shared" si="8"/>
        <v>191973.7</v>
      </c>
      <c r="N68" s="954">
        <f t="shared" si="8"/>
        <v>191575.7</v>
      </c>
      <c r="O68" s="2413"/>
      <c r="P68" s="2414"/>
      <c r="Q68" s="2414"/>
      <c r="R68" s="2415"/>
    </row>
    <row r="69" spans="1:18" ht="13.5" thickBot="1" x14ac:dyDescent="0.25">
      <c r="A69" s="1302" t="s">
        <v>24</v>
      </c>
      <c r="B69" s="2308" t="s">
        <v>56</v>
      </c>
      <c r="C69" s="2309"/>
      <c r="D69" s="2309"/>
      <c r="E69" s="2309"/>
      <c r="F69" s="2309"/>
      <c r="G69" s="2309"/>
      <c r="H69" s="2309"/>
      <c r="I69" s="2309"/>
      <c r="J69" s="2309"/>
      <c r="K69" s="2309"/>
      <c r="L69" s="2309"/>
      <c r="M69" s="2309"/>
      <c r="N69" s="2309"/>
      <c r="O69" s="2309"/>
      <c r="P69" s="2309"/>
      <c r="Q69" s="2309"/>
      <c r="R69" s="2310"/>
    </row>
    <row r="70" spans="1:18" ht="13.5" thickBot="1" x14ac:dyDescent="0.25">
      <c r="A70" s="23" t="s">
        <v>24</v>
      </c>
      <c r="B70" s="17" t="s">
        <v>20</v>
      </c>
      <c r="C70" s="2409" t="s">
        <v>47</v>
      </c>
      <c r="D70" s="2062"/>
      <c r="E70" s="2062"/>
      <c r="F70" s="2062"/>
      <c r="G70" s="2062"/>
      <c r="H70" s="2062"/>
      <c r="I70" s="2062"/>
      <c r="J70" s="2062"/>
      <c r="K70" s="2062"/>
      <c r="L70" s="2062"/>
      <c r="M70" s="2062"/>
      <c r="N70" s="2062"/>
      <c r="O70" s="2062"/>
      <c r="P70" s="2062"/>
      <c r="Q70" s="2062"/>
      <c r="R70" s="2063"/>
    </row>
    <row r="71" spans="1:18" ht="25.5" x14ac:dyDescent="0.2">
      <c r="A71" s="1308" t="s">
        <v>24</v>
      </c>
      <c r="B71" s="1310" t="s">
        <v>20</v>
      </c>
      <c r="C71" s="1338" t="s">
        <v>20</v>
      </c>
      <c r="D71" s="141" t="s">
        <v>57</v>
      </c>
      <c r="E71" s="298"/>
      <c r="F71" s="138"/>
      <c r="G71" s="1353"/>
      <c r="H71" s="1244"/>
      <c r="I71" s="358"/>
      <c r="J71" s="51"/>
      <c r="K71" s="51"/>
      <c r="L71" s="52"/>
      <c r="M71" s="22"/>
      <c r="N71" s="42"/>
      <c r="O71" s="78"/>
      <c r="P71" s="742"/>
      <c r="Q71" s="98"/>
      <c r="R71" s="743"/>
    </row>
    <row r="72" spans="1:18" s="4" customFormat="1" x14ac:dyDescent="0.2">
      <c r="A72" s="1323"/>
      <c r="B72" s="1297"/>
      <c r="C72" s="1305"/>
      <c r="D72" s="2245" t="s">
        <v>242</v>
      </c>
      <c r="E72" s="1337" t="s">
        <v>4</v>
      </c>
      <c r="F72" s="261">
        <v>5</v>
      </c>
      <c r="G72" s="24" t="s">
        <v>22</v>
      </c>
      <c r="H72" s="1248">
        <f>921/3.4528*1000</f>
        <v>266740.03707136237</v>
      </c>
      <c r="I72" s="405">
        <f>J72+L72</f>
        <v>921.4</v>
      </c>
      <c r="J72" s="160"/>
      <c r="K72" s="160"/>
      <c r="L72" s="179">
        <f>108.4+813</f>
        <v>921.4</v>
      </c>
      <c r="M72" s="135"/>
      <c r="N72" s="38"/>
      <c r="O72" s="2267" t="s">
        <v>106</v>
      </c>
      <c r="P72" s="164"/>
      <c r="Q72" s="99"/>
      <c r="R72" s="112"/>
    </row>
    <row r="73" spans="1:18" s="4" customFormat="1" x14ac:dyDescent="0.2">
      <c r="A73" s="1323"/>
      <c r="B73" s="1297"/>
      <c r="C73" s="1305"/>
      <c r="D73" s="2246"/>
      <c r="E73" s="1355"/>
      <c r="F73" s="262"/>
      <c r="G73" s="430" t="s">
        <v>6</v>
      </c>
      <c r="H73" s="1249">
        <f>1103/3.4528*1000</f>
        <v>319450.88044485636</v>
      </c>
      <c r="I73" s="337">
        <f>J73+L73</f>
        <v>1102.9000000000001</v>
      </c>
      <c r="J73" s="47">
        <v>17.399999999999999</v>
      </c>
      <c r="K73" s="47">
        <v>13.3</v>
      </c>
      <c r="L73" s="53">
        <v>1085.5</v>
      </c>
      <c r="M73" s="135"/>
      <c r="N73" s="38"/>
      <c r="O73" s="2268"/>
      <c r="P73" s="744"/>
      <c r="Q73" s="100"/>
      <c r="R73" s="113"/>
    </row>
    <row r="74" spans="1:18" s="4" customFormat="1" x14ac:dyDescent="0.2">
      <c r="A74" s="1323"/>
      <c r="B74" s="1297"/>
      <c r="C74" s="1305"/>
      <c r="D74" s="2246"/>
      <c r="E74" s="1355"/>
      <c r="F74" s="262"/>
      <c r="G74" s="431"/>
      <c r="H74" s="1239"/>
      <c r="I74" s="313"/>
      <c r="J74" s="477"/>
      <c r="K74" s="477"/>
      <c r="L74" s="155"/>
      <c r="M74" s="591"/>
      <c r="N74" s="10"/>
      <c r="O74" s="2268"/>
      <c r="P74" s="955">
        <v>100</v>
      </c>
      <c r="Q74" s="956"/>
      <c r="R74" s="113"/>
    </row>
    <row r="75" spans="1:18" s="4" customFormat="1" ht="13.5" thickBot="1" x14ac:dyDescent="0.25">
      <c r="A75" s="1323"/>
      <c r="B75" s="1297"/>
      <c r="C75" s="1305"/>
      <c r="D75" s="2247"/>
      <c r="E75" s="1345"/>
      <c r="F75" s="173"/>
      <c r="G75" s="414" t="s">
        <v>23</v>
      </c>
      <c r="H75" s="1250">
        <f>SUM(H72:H74)</f>
        <v>586190.91751621873</v>
      </c>
      <c r="I75" s="384">
        <f>J75+L75</f>
        <v>2024.3000000000002</v>
      </c>
      <c r="J75" s="383">
        <f t="shared" ref="J75:L75" si="9">SUM(J72:J74)</f>
        <v>17.399999999999999</v>
      </c>
      <c r="K75" s="383">
        <f t="shared" si="9"/>
        <v>13.3</v>
      </c>
      <c r="L75" s="407">
        <f t="shared" si="9"/>
        <v>2006.9</v>
      </c>
      <c r="M75" s="914"/>
      <c r="N75" s="407"/>
      <c r="O75" s="79"/>
      <c r="P75" s="101"/>
      <c r="Q75" s="102"/>
      <c r="R75" s="114"/>
    </row>
    <row r="76" spans="1:18" ht="25.5" x14ac:dyDescent="0.2">
      <c r="A76" s="1308" t="s">
        <v>24</v>
      </c>
      <c r="B76" s="1310" t="s">
        <v>20</v>
      </c>
      <c r="C76" s="1338" t="s">
        <v>24</v>
      </c>
      <c r="D76" s="1148" t="s">
        <v>246</v>
      </c>
      <c r="E76" s="1137" t="s">
        <v>58</v>
      </c>
      <c r="F76" s="138">
        <v>5</v>
      </c>
      <c r="G76" s="1353"/>
      <c r="H76" s="1244"/>
      <c r="I76" s="358"/>
      <c r="J76" s="51"/>
      <c r="K76" s="51"/>
      <c r="L76" s="52"/>
      <c r="M76" s="22"/>
      <c r="N76" s="42"/>
      <c r="O76" s="78"/>
      <c r="P76" s="742"/>
      <c r="Q76" s="98"/>
      <c r="R76" s="743"/>
    </row>
    <row r="77" spans="1:18" ht="38.25" x14ac:dyDescent="0.2">
      <c r="A77" s="1323"/>
      <c r="B77" s="1297"/>
      <c r="C77" s="1329"/>
      <c r="D77" s="2400" t="s">
        <v>330</v>
      </c>
      <c r="E77" s="522"/>
      <c r="F77" s="688"/>
      <c r="G77" s="190" t="s">
        <v>22</v>
      </c>
      <c r="H77" s="1251">
        <f>6/3.4528*1000</f>
        <v>1737.7201112140872</v>
      </c>
      <c r="I77" s="337">
        <f>J77+L77</f>
        <v>6</v>
      </c>
      <c r="J77" s="176"/>
      <c r="K77" s="176"/>
      <c r="L77" s="179">
        <v>6</v>
      </c>
      <c r="M77" s="67">
        <f>145.9</f>
        <v>145.9</v>
      </c>
      <c r="N77" s="36"/>
      <c r="O77" s="815" t="s">
        <v>295</v>
      </c>
      <c r="P77" s="1315">
        <v>1</v>
      </c>
      <c r="Q77" s="1315"/>
      <c r="R77" s="816"/>
    </row>
    <row r="78" spans="1:18" ht="25.5" x14ac:dyDescent="0.2">
      <c r="A78" s="1323"/>
      <c r="B78" s="1297"/>
      <c r="C78" s="1329"/>
      <c r="D78" s="2282"/>
      <c r="E78" s="1347"/>
      <c r="F78" s="262"/>
      <c r="G78" s="1203" t="s">
        <v>6</v>
      </c>
      <c r="H78" s="1251"/>
      <c r="I78" s="337"/>
      <c r="J78" s="176"/>
      <c r="K78" s="176"/>
      <c r="L78" s="53"/>
      <c r="M78" s="32"/>
      <c r="N78" s="38">
        <f>2061.1</f>
        <v>2061.1</v>
      </c>
      <c r="O78" s="1130" t="s">
        <v>249</v>
      </c>
      <c r="P78" s="1316"/>
      <c r="Q78" s="1316">
        <v>1</v>
      </c>
      <c r="R78" s="817"/>
    </row>
    <row r="79" spans="1:18" x14ac:dyDescent="0.2">
      <c r="A79" s="1323"/>
      <c r="B79" s="1297"/>
      <c r="C79" s="1329"/>
      <c r="D79" s="2282"/>
      <c r="E79" s="1347"/>
      <c r="F79" s="262"/>
      <c r="G79" s="1205"/>
      <c r="H79" s="1252"/>
      <c r="I79" s="360"/>
      <c r="J79" s="204"/>
      <c r="K79" s="204"/>
      <c r="L79" s="59"/>
      <c r="M79" s="564"/>
      <c r="N79" s="10"/>
      <c r="O79" s="1130" t="s">
        <v>300</v>
      </c>
      <c r="P79" s="1316"/>
      <c r="Q79" s="1316"/>
      <c r="R79" s="817">
        <v>75</v>
      </c>
    </row>
    <row r="80" spans="1:18" ht="38.25" x14ac:dyDescent="0.2">
      <c r="A80" s="1323"/>
      <c r="B80" s="1297"/>
      <c r="C80" s="1329"/>
      <c r="D80" s="2400" t="s">
        <v>329</v>
      </c>
      <c r="E80" s="521"/>
      <c r="F80" s="261"/>
      <c r="G80" s="190" t="s">
        <v>22</v>
      </c>
      <c r="H80" s="1251">
        <f>6/3.4528*1000</f>
        <v>1737.7201112140872</v>
      </c>
      <c r="I80" s="337">
        <f>J80+L80</f>
        <v>6</v>
      </c>
      <c r="J80" s="176"/>
      <c r="K80" s="176"/>
      <c r="L80" s="179">
        <v>6</v>
      </c>
      <c r="M80" s="67">
        <f>145.9</f>
        <v>145.9</v>
      </c>
      <c r="N80" s="36"/>
      <c r="O80" s="815" t="s">
        <v>295</v>
      </c>
      <c r="P80" s="1315">
        <v>1</v>
      </c>
      <c r="Q80" s="1315"/>
      <c r="R80" s="816"/>
    </row>
    <row r="81" spans="1:18" ht="25.5" x14ac:dyDescent="0.2">
      <c r="A81" s="1323"/>
      <c r="B81" s="1297"/>
      <c r="C81" s="1329"/>
      <c r="D81" s="2282"/>
      <c r="E81" s="1355"/>
      <c r="F81" s="262"/>
      <c r="G81" s="1203" t="s">
        <v>6</v>
      </c>
      <c r="H81" s="1251"/>
      <c r="I81" s="337"/>
      <c r="J81" s="176"/>
      <c r="K81" s="176"/>
      <c r="L81" s="53"/>
      <c r="M81" s="32"/>
      <c r="N81" s="38">
        <f>2061.1</f>
        <v>2061.1</v>
      </c>
      <c r="O81" s="1130" t="s">
        <v>249</v>
      </c>
      <c r="P81" s="1316"/>
      <c r="Q81" s="1316">
        <v>1</v>
      </c>
      <c r="R81" s="817"/>
    </row>
    <row r="82" spans="1:18" x14ac:dyDescent="0.2">
      <c r="A82" s="1323"/>
      <c r="B82" s="1297"/>
      <c r="C82" s="1329"/>
      <c r="D82" s="2282"/>
      <c r="E82" s="1355"/>
      <c r="F82" s="262"/>
      <c r="G82" s="812"/>
      <c r="H82" s="1253"/>
      <c r="I82" s="584"/>
      <c r="J82" s="57"/>
      <c r="K82" s="57"/>
      <c r="L82" s="1645"/>
      <c r="M82" s="565"/>
      <c r="N82" s="21"/>
      <c r="O82" s="1207" t="s">
        <v>300</v>
      </c>
      <c r="P82" s="1007"/>
      <c r="Q82" s="1007"/>
      <c r="R82" s="1206">
        <v>75</v>
      </c>
    </row>
    <row r="83" spans="1:18" ht="38.25" x14ac:dyDescent="0.2">
      <c r="A83" s="1323"/>
      <c r="B83" s="1297"/>
      <c r="C83" s="1329"/>
      <c r="D83" s="2400" t="s">
        <v>328</v>
      </c>
      <c r="E83" s="521"/>
      <c r="F83" s="261"/>
      <c r="G83" s="190" t="s">
        <v>22</v>
      </c>
      <c r="H83" s="1251">
        <f>6/3.4528*1000</f>
        <v>1737.7201112140872</v>
      </c>
      <c r="I83" s="337">
        <f>J83+L83</f>
        <v>6</v>
      </c>
      <c r="J83" s="176"/>
      <c r="K83" s="176"/>
      <c r="L83" s="179">
        <v>6</v>
      </c>
      <c r="M83" s="67">
        <f>145.9</f>
        <v>145.9</v>
      </c>
      <c r="N83" s="36"/>
      <c r="O83" s="815" t="s">
        <v>295</v>
      </c>
      <c r="P83" s="1315">
        <v>1</v>
      </c>
      <c r="Q83" s="1315"/>
      <c r="R83" s="816"/>
    </row>
    <row r="84" spans="1:18" ht="25.5" x14ac:dyDescent="0.2">
      <c r="A84" s="1323"/>
      <c r="B84" s="1297"/>
      <c r="C84" s="1329"/>
      <c r="D84" s="2282"/>
      <c r="E84" s="1138"/>
      <c r="F84" s="262"/>
      <c r="G84" s="1203" t="s">
        <v>6</v>
      </c>
      <c r="H84" s="1251"/>
      <c r="I84" s="337"/>
      <c r="J84" s="176"/>
      <c r="K84" s="176"/>
      <c r="L84" s="53"/>
      <c r="M84" s="32"/>
      <c r="N84" s="38">
        <f>2061.1</f>
        <v>2061.1</v>
      </c>
      <c r="O84" s="1130" t="s">
        <v>249</v>
      </c>
      <c r="P84" s="1316"/>
      <c r="Q84" s="1316">
        <v>1</v>
      </c>
      <c r="R84" s="817"/>
    </row>
    <row r="85" spans="1:18" x14ac:dyDescent="0.2">
      <c r="A85" s="1323"/>
      <c r="B85" s="1297"/>
      <c r="C85" s="1329"/>
      <c r="D85" s="2408"/>
      <c r="E85" s="1204"/>
      <c r="F85" s="173"/>
      <c r="G85" s="812"/>
      <c r="H85" s="1253"/>
      <c r="I85" s="584"/>
      <c r="J85" s="57"/>
      <c r="K85" s="57"/>
      <c r="L85" s="1645"/>
      <c r="M85" s="565"/>
      <c r="N85" s="21"/>
      <c r="O85" s="1207" t="s">
        <v>300</v>
      </c>
      <c r="P85" s="1007"/>
      <c r="Q85" s="1007"/>
      <c r="R85" s="1206">
        <v>75</v>
      </c>
    </row>
    <row r="86" spans="1:18" ht="38.25" x14ac:dyDescent="0.2">
      <c r="A86" s="1323"/>
      <c r="B86" s="1297"/>
      <c r="C86" s="1329"/>
      <c r="D86" s="2282" t="s">
        <v>339</v>
      </c>
      <c r="E86" s="522"/>
      <c r="F86" s="262"/>
      <c r="G86" s="812" t="s">
        <v>22</v>
      </c>
      <c r="H86" s="1251">
        <f>6/3.4528*1000</f>
        <v>1737.7201112140872</v>
      </c>
      <c r="I86" s="337">
        <f>J86+L86</f>
        <v>6</v>
      </c>
      <c r="J86" s="176"/>
      <c r="K86" s="176"/>
      <c r="L86" s="179">
        <v>6</v>
      </c>
      <c r="M86" s="67">
        <f>145.9</f>
        <v>145.9</v>
      </c>
      <c r="N86" s="21"/>
      <c r="O86" s="815" t="s">
        <v>295</v>
      </c>
      <c r="P86" s="1315">
        <v>1</v>
      </c>
      <c r="Q86" s="1315"/>
      <c r="R86" s="816"/>
    </row>
    <row r="87" spans="1:18" ht="25.5" x14ac:dyDescent="0.2">
      <c r="A87" s="1323"/>
      <c r="B87" s="1297"/>
      <c r="C87" s="1329"/>
      <c r="D87" s="2282"/>
      <c r="E87" s="2404"/>
      <c r="F87" s="262"/>
      <c r="G87" s="1203" t="s">
        <v>6</v>
      </c>
      <c r="H87" s="1251"/>
      <c r="I87" s="337"/>
      <c r="J87" s="176"/>
      <c r="K87" s="176"/>
      <c r="L87" s="53"/>
      <c r="M87" s="32"/>
      <c r="N87" s="38">
        <f>2061.1</f>
        <v>2061.1</v>
      </c>
      <c r="O87" s="1130" t="s">
        <v>249</v>
      </c>
      <c r="P87" s="1316"/>
      <c r="Q87" s="1316">
        <v>1</v>
      </c>
      <c r="R87" s="817"/>
    </row>
    <row r="88" spans="1:18" x14ac:dyDescent="0.2">
      <c r="A88" s="1323"/>
      <c r="B88" s="1297"/>
      <c r="C88" s="1329"/>
      <c r="D88" s="2282"/>
      <c r="E88" s="2404"/>
      <c r="F88" s="262"/>
      <c r="G88" s="1205"/>
      <c r="H88" s="1252"/>
      <c r="I88" s="559"/>
      <c r="J88" s="204"/>
      <c r="K88" s="204"/>
      <c r="L88" s="55"/>
      <c r="M88" s="564"/>
      <c r="N88" s="10"/>
      <c r="O88" s="1130" t="s">
        <v>300</v>
      </c>
      <c r="P88" s="1316"/>
      <c r="Q88" s="1316"/>
      <c r="R88" s="817">
        <v>75</v>
      </c>
    </row>
    <row r="89" spans="1:18" ht="38.25" x14ac:dyDescent="0.2">
      <c r="A89" s="1323"/>
      <c r="B89" s="1297"/>
      <c r="C89" s="1329"/>
      <c r="D89" s="2400" t="s">
        <v>338</v>
      </c>
      <c r="E89" s="521"/>
      <c r="F89" s="261"/>
      <c r="G89" s="190" t="s">
        <v>22</v>
      </c>
      <c r="H89" s="1251">
        <f>6/3.4528*1000</f>
        <v>1737.7201112140872</v>
      </c>
      <c r="I89" s="337">
        <f>J89+L89</f>
        <v>6</v>
      </c>
      <c r="J89" s="176"/>
      <c r="K89" s="176"/>
      <c r="L89" s="179">
        <v>6</v>
      </c>
      <c r="M89" s="67"/>
      <c r="N89" s="36"/>
      <c r="O89" s="815" t="s">
        <v>295</v>
      </c>
      <c r="P89" s="1315">
        <v>1</v>
      </c>
      <c r="Q89" s="1315"/>
      <c r="R89" s="816"/>
    </row>
    <row r="90" spans="1:18" ht="25.5" x14ac:dyDescent="0.2">
      <c r="A90" s="1323"/>
      <c r="B90" s="1297"/>
      <c r="C90" s="1329"/>
      <c r="D90" s="2282"/>
      <c r="E90" s="2404"/>
      <c r="F90" s="262"/>
      <c r="G90" s="190" t="s">
        <v>53</v>
      </c>
      <c r="H90" s="1251"/>
      <c r="I90" s="337"/>
      <c r="J90" s="176"/>
      <c r="K90" s="176"/>
      <c r="L90" s="179"/>
      <c r="M90" s="564">
        <f>150</f>
        <v>150</v>
      </c>
      <c r="N90" s="10"/>
      <c r="O90" s="1130" t="s">
        <v>249</v>
      </c>
      <c r="P90" s="1316"/>
      <c r="Q90" s="1316">
        <v>1</v>
      </c>
      <c r="R90" s="817"/>
    </row>
    <row r="91" spans="1:18" x14ac:dyDescent="0.2">
      <c r="A91" s="1323"/>
      <c r="B91" s="1297"/>
      <c r="C91" s="1329"/>
      <c r="D91" s="2282"/>
      <c r="E91" s="2404"/>
      <c r="F91" s="262"/>
      <c r="G91" s="1203" t="s">
        <v>6</v>
      </c>
      <c r="H91" s="1251"/>
      <c r="I91" s="337"/>
      <c r="J91" s="176"/>
      <c r="K91" s="176"/>
      <c r="L91" s="53"/>
      <c r="M91" s="32"/>
      <c r="N91" s="38">
        <f>2133</f>
        <v>2133</v>
      </c>
      <c r="O91" s="1130" t="s">
        <v>300</v>
      </c>
      <c r="P91" s="1316"/>
      <c r="Q91" s="1316"/>
      <c r="R91" s="817">
        <v>75</v>
      </c>
    </row>
    <row r="92" spans="1:18" ht="38.25" x14ac:dyDescent="0.2">
      <c r="A92" s="1304"/>
      <c r="B92" s="1297"/>
      <c r="C92" s="2068"/>
      <c r="D92" s="2405" t="s">
        <v>166</v>
      </c>
      <c r="E92" s="807"/>
      <c r="F92" s="2407"/>
      <c r="G92" s="1208" t="s">
        <v>22</v>
      </c>
      <c r="H92" s="1254"/>
      <c r="I92" s="337"/>
      <c r="J92" s="1646"/>
      <c r="K92" s="176"/>
      <c r="L92" s="1647"/>
      <c r="M92" s="32">
        <f>62.3</f>
        <v>62.3</v>
      </c>
      <c r="N92" s="38"/>
      <c r="O92" s="1210" t="s">
        <v>169</v>
      </c>
      <c r="P92" s="1362"/>
      <c r="Q92" s="1209">
        <v>1</v>
      </c>
      <c r="R92" s="110"/>
    </row>
    <row r="93" spans="1:18" x14ac:dyDescent="0.2">
      <c r="A93" s="1304"/>
      <c r="B93" s="1297"/>
      <c r="C93" s="2068"/>
      <c r="D93" s="2406"/>
      <c r="E93" s="1139"/>
      <c r="F93" s="2148"/>
      <c r="G93" s="202" t="s">
        <v>6</v>
      </c>
      <c r="H93" s="1385"/>
      <c r="I93" s="405"/>
      <c r="J93" s="48"/>
      <c r="K93" s="177"/>
      <c r="L93" s="203"/>
      <c r="M93" s="67">
        <f>388.9</f>
        <v>388.9</v>
      </c>
      <c r="N93" s="36">
        <f>388.9</f>
        <v>388.9</v>
      </c>
      <c r="O93" s="1212" t="s">
        <v>300</v>
      </c>
      <c r="P93" s="744"/>
      <c r="Q93" s="100">
        <v>50</v>
      </c>
      <c r="R93" s="688">
        <v>50</v>
      </c>
    </row>
    <row r="94" spans="1:18" ht="13.5" thickBot="1" x14ac:dyDescent="0.25">
      <c r="A94" s="1304"/>
      <c r="B94" s="1297"/>
      <c r="C94" s="2068"/>
      <c r="D94" s="2406"/>
      <c r="E94" s="1213"/>
      <c r="F94" s="2148"/>
      <c r="G94" s="754" t="s">
        <v>23</v>
      </c>
      <c r="H94" s="1255">
        <f>SUM(H77:H93)</f>
        <v>8688.6005560704361</v>
      </c>
      <c r="I94" s="397">
        <f>SUM(I77:I93)</f>
        <v>30</v>
      </c>
      <c r="J94" s="395"/>
      <c r="K94" s="394"/>
      <c r="L94" s="399">
        <f>SUM(L77:L93)</f>
        <v>30</v>
      </c>
      <c r="M94" s="365">
        <f>SUM(M77:M93)</f>
        <v>1184.8</v>
      </c>
      <c r="N94" s="399">
        <f>SUM(N77:N93)</f>
        <v>10766.3</v>
      </c>
      <c r="O94" s="1211"/>
      <c r="P94" s="744"/>
      <c r="Q94" s="100"/>
      <c r="R94" s="688"/>
    </row>
    <row r="95" spans="1:18" ht="25.5" x14ac:dyDescent="0.2">
      <c r="A95" s="1308" t="s">
        <v>24</v>
      </c>
      <c r="B95" s="1310" t="s">
        <v>20</v>
      </c>
      <c r="C95" s="1328" t="s">
        <v>26</v>
      </c>
      <c r="D95" s="141" t="s">
        <v>46</v>
      </c>
      <c r="E95" s="592"/>
      <c r="F95" s="1318"/>
      <c r="G95" s="1353"/>
      <c r="H95" s="1244"/>
      <c r="I95" s="358"/>
      <c r="J95" s="1293"/>
      <c r="K95" s="51"/>
      <c r="L95" s="52"/>
      <c r="M95" s="22"/>
      <c r="N95" s="42"/>
      <c r="O95" s="963"/>
      <c r="P95" s="742"/>
      <c r="Q95" s="964"/>
      <c r="R95" s="743"/>
    </row>
    <row r="96" spans="1:18" x14ac:dyDescent="0.2">
      <c r="A96" s="1323"/>
      <c r="B96" s="1297"/>
      <c r="C96" s="1329"/>
      <c r="D96" s="2246" t="s">
        <v>72</v>
      </c>
      <c r="E96" s="300" t="s">
        <v>4</v>
      </c>
      <c r="F96" s="167">
        <v>5</v>
      </c>
      <c r="G96" s="12" t="s">
        <v>22</v>
      </c>
      <c r="H96" s="1385">
        <f>568/3.4528*1000</f>
        <v>164504.1705282669</v>
      </c>
      <c r="I96" s="405">
        <f>J96+L96</f>
        <v>567.9</v>
      </c>
      <c r="J96" s="279"/>
      <c r="K96" s="280"/>
      <c r="L96" s="277">
        <v>567.9</v>
      </c>
      <c r="M96" s="67"/>
      <c r="N96" s="36"/>
      <c r="O96" s="2393" t="s">
        <v>159</v>
      </c>
      <c r="P96" s="1349"/>
      <c r="Q96" s="128"/>
      <c r="R96" s="110"/>
    </row>
    <row r="97" spans="1:18" s="4" customFormat="1" x14ac:dyDescent="0.2">
      <c r="A97" s="1323"/>
      <c r="B97" s="1297"/>
      <c r="C97" s="1305"/>
      <c r="D97" s="2246"/>
      <c r="E97" s="1355"/>
      <c r="F97" s="262"/>
      <c r="G97" s="191" t="s">
        <v>53</v>
      </c>
      <c r="H97" s="1256"/>
      <c r="I97" s="405"/>
      <c r="J97" s="46"/>
      <c r="K97" s="177"/>
      <c r="L97" s="179"/>
      <c r="M97" s="135"/>
      <c r="N97" s="38"/>
      <c r="O97" s="2394"/>
      <c r="P97" s="1350"/>
      <c r="Q97" s="93"/>
      <c r="R97" s="688"/>
    </row>
    <row r="98" spans="1:18" s="4" customFormat="1" x14ac:dyDescent="0.2">
      <c r="A98" s="1323"/>
      <c r="B98" s="1297"/>
      <c r="C98" s="1305"/>
      <c r="D98" s="2246"/>
      <c r="E98" s="1355"/>
      <c r="F98" s="262"/>
      <c r="G98" s="1359" t="s">
        <v>5</v>
      </c>
      <c r="H98" s="1257"/>
      <c r="I98" s="337"/>
      <c r="J98" s="189"/>
      <c r="K98" s="176"/>
      <c r="L98" s="53"/>
      <c r="M98" s="32"/>
      <c r="N98" s="38"/>
      <c r="O98" s="2394"/>
      <c r="P98" s="1350"/>
      <c r="Q98" s="93"/>
      <c r="R98" s="688"/>
    </row>
    <row r="99" spans="1:18" s="4" customFormat="1" x14ac:dyDescent="0.2">
      <c r="A99" s="1323"/>
      <c r="B99" s="1297"/>
      <c r="C99" s="1305"/>
      <c r="D99" s="2246"/>
      <c r="E99" s="1355"/>
      <c r="F99" s="262"/>
      <c r="G99" s="1359" t="s">
        <v>6</v>
      </c>
      <c r="H99" s="1257"/>
      <c r="I99" s="337"/>
      <c r="J99" s="189"/>
      <c r="K99" s="176"/>
      <c r="L99" s="53"/>
      <c r="M99" s="67"/>
      <c r="N99" s="36"/>
      <c r="O99" s="2394"/>
      <c r="P99" s="1350"/>
      <c r="Q99" s="93"/>
      <c r="R99" s="688"/>
    </row>
    <row r="100" spans="1:18" s="4" customFormat="1" x14ac:dyDescent="0.2">
      <c r="A100" s="1323"/>
      <c r="B100" s="1297"/>
      <c r="C100" s="1305"/>
      <c r="D100" s="144"/>
      <c r="E100" s="1345"/>
      <c r="F100" s="173"/>
      <c r="G100" s="392" t="s">
        <v>23</v>
      </c>
      <c r="H100" s="1255">
        <f>SUM(H96:H99)</f>
        <v>164504.1705282669</v>
      </c>
      <c r="I100" s="397">
        <f>SUM(I96:I99)</f>
        <v>567.9</v>
      </c>
      <c r="J100" s="398"/>
      <c r="K100" s="394"/>
      <c r="L100" s="396">
        <f>SUM(L95:L99)</f>
        <v>567.9</v>
      </c>
      <c r="M100" s="400"/>
      <c r="N100" s="399"/>
      <c r="O100" s="2394"/>
      <c r="P100" s="1350">
        <v>100</v>
      </c>
      <c r="Q100" s="93"/>
      <c r="R100" s="688"/>
    </row>
    <row r="101" spans="1:18" ht="38.25" x14ac:dyDescent="0.2">
      <c r="A101" s="1323"/>
      <c r="B101" s="1297"/>
      <c r="C101" s="1329"/>
      <c r="D101" s="2245" t="s">
        <v>331</v>
      </c>
      <c r="E101" s="521" t="s">
        <v>4</v>
      </c>
      <c r="F101" s="262">
        <v>5</v>
      </c>
      <c r="G101" s="1361" t="s">
        <v>22</v>
      </c>
      <c r="H101" s="1254">
        <f>862/3.4528*1000</f>
        <v>249652.4559777572</v>
      </c>
      <c r="I101" s="337">
        <f>J101+L101</f>
        <v>861.9</v>
      </c>
      <c r="J101" s="189"/>
      <c r="K101" s="176"/>
      <c r="L101" s="53">
        <v>861.9</v>
      </c>
      <c r="M101" s="135"/>
      <c r="N101" s="37"/>
      <c r="O101" s="1214" t="s">
        <v>169</v>
      </c>
      <c r="P101" s="1362" t="s">
        <v>302</v>
      </c>
      <c r="Q101" s="1215"/>
      <c r="R101" s="1216"/>
    </row>
    <row r="102" spans="1:18" ht="25.5" x14ac:dyDescent="0.2">
      <c r="A102" s="1323"/>
      <c r="B102" s="1297"/>
      <c r="C102" s="1329"/>
      <c r="D102" s="2246"/>
      <c r="E102" s="522"/>
      <c r="F102" s="262"/>
      <c r="G102" s="433" t="s">
        <v>23</v>
      </c>
      <c r="H102" s="1258">
        <f>H101</f>
        <v>249652.4559777572</v>
      </c>
      <c r="I102" s="384">
        <f>SUM(I101:I101)</f>
        <v>861.9</v>
      </c>
      <c r="J102" s="383"/>
      <c r="K102" s="356"/>
      <c r="L102" s="383">
        <f>SUM(L101:L101)</f>
        <v>861.9</v>
      </c>
      <c r="M102" s="914"/>
      <c r="N102" s="408"/>
      <c r="O102" s="1217" t="s">
        <v>248</v>
      </c>
      <c r="P102" s="1218">
        <v>100</v>
      </c>
      <c r="Q102" s="1219"/>
      <c r="R102" s="1220"/>
    </row>
    <row r="103" spans="1:18" x14ac:dyDescent="0.2">
      <c r="A103" s="1323"/>
      <c r="B103" s="1297"/>
      <c r="C103" s="1329"/>
      <c r="D103" s="2320" t="s">
        <v>332</v>
      </c>
      <c r="E103" s="521" t="s">
        <v>4</v>
      </c>
      <c r="F103" s="261">
        <v>5</v>
      </c>
      <c r="G103" s="1361" t="s">
        <v>22</v>
      </c>
      <c r="H103" s="1254"/>
      <c r="I103" s="337"/>
      <c r="J103" s="189"/>
      <c r="K103" s="176"/>
      <c r="L103" s="53"/>
      <c r="M103" s="135">
        <f>60</f>
        <v>60</v>
      </c>
      <c r="N103" s="37">
        <f>150</f>
        <v>150</v>
      </c>
      <c r="O103" s="2322" t="s">
        <v>169</v>
      </c>
      <c r="P103" s="2325"/>
      <c r="Q103" s="2325"/>
      <c r="R103" s="2390">
        <v>1</v>
      </c>
    </row>
    <row r="104" spans="1:18" x14ac:dyDescent="0.2">
      <c r="A104" s="1304"/>
      <c r="B104" s="1297"/>
      <c r="C104" s="517"/>
      <c r="D104" s="2293"/>
      <c r="E104" s="522"/>
      <c r="F104" s="262"/>
      <c r="G104" s="392" t="s">
        <v>23</v>
      </c>
      <c r="H104" s="1255"/>
      <c r="I104" s="397"/>
      <c r="J104" s="398"/>
      <c r="K104" s="394"/>
      <c r="L104" s="396"/>
      <c r="M104" s="416">
        <f>SUM(M103)</f>
        <v>60</v>
      </c>
      <c r="N104" s="413">
        <f>SUM(N103)</f>
        <v>150</v>
      </c>
      <c r="O104" s="2323"/>
      <c r="P104" s="2326"/>
      <c r="Q104" s="2326"/>
      <c r="R104" s="2391"/>
    </row>
    <row r="105" spans="1:18" ht="13.5" thickBot="1" x14ac:dyDescent="0.25">
      <c r="A105" s="1303"/>
      <c r="B105" s="1311"/>
      <c r="C105" s="1351"/>
      <c r="D105" s="2321"/>
      <c r="E105" s="2327" t="s">
        <v>225</v>
      </c>
      <c r="F105" s="2328"/>
      <c r="G105" s="2329"/>
      <c r="H105" s="1246">
        <f>H104+H102+H100</f>
        <v>414156.6265060241</v>
      </c>
      <c r="I105" s="369">
        <f>J105+L105</f>
        <v>1429.8</v>
      </c>
      <c r="J105" s="404"/>
      <c r="K105" s="370"/>
      <c r="L105" s="368">
        <f>L104+L102+L100</f>
        <v>1429.8</v>
      </c>
      <c r="M105" s="365">
        <f>M104+M102+M100</f>
        <v>60</v>
      </c>
      <c r="N105" s="368">
        <f>N104+N102+N100</f>
        <v>150</v>
      </c>
      <c r="O105" s="2324"/>
      <c r="P105" s="2012"/>
      <c r="Q105" s="2012"/>
      <c r="R105" s="2392"/>
    </row>
    <row r="106" spans="1:18" x14ac:dyDescent="0.2">
      <c r="A106" s="1308" t="s">
        <v>24</v>
      </c>
      <c r="B106" s="1310" t="s">
        <v>20</v>
      </c>
      <c r="C106" s="1188" t="s">
        <v>28</v>
      </c>
      <c r="D106" s="1964" t="s">
        <v>283</v>
      </c>
      <c r="E106" s="2382" t="s">
        <v>130</v>
      </c>
      <c r="F106" s="2384">
        <v>2</v>
      </c>
      <c r="G106" s="1353" t="s">
        <v>22</v>
      </c>
      <c r="H106" s="1244">
        <f>50/3.4528*1000</f>
        <v>14481.00092678406</v>
      </c>
      <c r="I106" s="422">
        <f>J106+L106</f>
        <v>50</v>
      </c>
      <c r="J106" s="990">
        <v>50</v>
      </c>
      <c r="K106" s="1048"/>
      <c r="L106" s="1049"/>
      <c r="M106" s="75"/>
      <c r="N106" s="75"/>
      <c r="O106" s="2387" t="s">
        <v>66</v>
      </c>
      <c r="P106" s="975">
        <v>3</v>
      </c>
      <c r="Q106" s="976"/>
      <c r="R106" s="743"/>
    </row>
    <row r="107" spans="1:18" ht="21" customHeight="1" x14ac:dyDescent="0.2">
      <c r="A107" s="1323"/>
      <c r="B107" s="1297"/>
      <c r="C107" s="215"/>
      <c r="D107" s="2282"/>
      <c r="E107" s="2383"/>
      <c r="F107" s="2385"/>
      <c r="G107" s="1354"/>
      <c r="H107" s="1259"/>
      <c r="I107" s="717"/>
      <c r="J107" s="1045"/>
      <c r="K107" s="1046"/>
      <c r="L107" s="1047"/>
      <c r="M107" s="718"/>
      <c r="N107" s="718"/>
      <c r="O107" s="2388"/>
      <c r="P107" s="1350"/>
      <c r="Q107" s="93"/>
      <c r="R107" s="688"/>
    </row>
    <row r="108" spans="1:18" ht="13.5" thickBot="1" x14ac:dyDescent="0.25">
      <c r="A108" s="1323"/>
      <c r="B108" s="1297"/>
      <c r="C108" s="215"/>
      <c r="D108" s="1965"/>
      <c r="E108" s="986" t="s">
        <v>344</v>
      </c>
      <c r="F108" s="2386"/>
      <c r="G108" s="348" t="s">
        <v>23</v>
      </c>
      <c r="H108" s="1242">
        <f>H106</f>
        <v>14481.00092678406</v>
      </c>
      <c r="I108" s="369">
        <f>I106</f>
        <v>50</v>
      </c>
      <c r="J108" s="404">
        <f>J106</f>
        <v>50</v>
      </c>
      <c r="K108" s="370"/>
      <c r="L108" s="368"/>
      <c r="M108" s="365"/>
      <c r="N108" s="365"/>
      <c r="O108" s="2389"/>
      <c r="P108" s="90"/>
      <c r="Q108" s="1364"/>
      <c r="R108" s="714"/>
    </row>
    <row r="109" spans="1:18" x14ac:dyDescent="0.2">
      <c r="A109" s="1308" t="s">
        <v>24</v>
      </c>
      <c r="B109" s="1310" t="s">
        <v>20</v>
      </c>
      <c r="C109" s="1188" t="s">
        <v>29</v>
      </c>
      <c r="D109" s="1964" t="s">
        <v>333</v>
      </c>
      <c r="E109" s="2128"/>
      <c r="F109" s="2384">
        <v>2</v>
      </c>
      <c r="G109" s="1353" t="s">
        <v>22</v>
      </c>
      <c r="H109" s="1244">
        <f>100/3.4528*1000</f>
        <v>28962.001853568119</v>
      </c>
      <c r="I109" s="422">
        <f>J109+L109</f>
        <v>100</v>
      </c>
      <c r="J109" s="990"/>
      <c r="K109" s="1048"/>
      <c r="L109" s="1049">
        <v>100</v>
      </c>
      <c r="M109" s="541">
        <f>100</f>
        <v>100</v>
      </c>
      <c r="N109" s="75"/>
      <c r="O109" s="2387" t="s">
        <v>282</v>
      </c>
      <c r="P109" s="975"/>
      <c r="Q109" s="976">
        <v>152</v>
      </c>
      <c r="R109" s="743"/>
    </row>
    <row r="110" spans="1:18" x14ac:dyDescent="0.2">
      <c r="A110" s="1323"/>
      <c r="B110" s="1297"/>
      <c r="C110" s="215"/>
      <c r="D110" s="2282"/>
      <c r="E110" s="2207"/>
      <c r="F110" s="2385"/>
      <c r="G110" s="1354"/>
      <c r="H110" s="1259"/>
      <c r="I110" s="717"/>
      <c r="J110" s="1045"/>
      <c r="K110" s="1046"/>
      <c r="L110" s="1047"/>
      <c r="M110" s="718"/>
      <c r="N110" s="718"/>
      <c r="O110" s="2388"/>
      <c r="P110" s="1350"/>
      <c r="Q110" s="93"/>
      <c r="R110" s="688"/>
    </row>
    <row r="111" spans="1:18" ht="38.25" customHeight="1" thickBot="1" x14ac:dyDescent="0.25">
      <c r="A111" s="1323"/>
      <c r="B111" s="1297"/>
      <c r="C111" s="215"/>
      <c r="D111" s="2282"/>
      <c r="E111" s="2207"/>
      <c r="F111" s="2385"/>
      <c r="G111" s="392" t="s">
        <v>23</v>
      </c>
      <c r="H111" s="1255">
        <f>SUM(H109:H110)</f>
        <v>28962.001853568119</v>
      </c>
      <c r="I111" s="397">
        <f>I109</f>
        <v>100</v>
      </c>
      <c r="J111" s="398"/>
      <c r="K111" s="394"/>
      <c r="L111" s="396">
        <f>SUM(L109:L110)</f>
        <v>100</v>
      </c>
      <c r="M111" s="400">
        <f>SUM(M109:M110)</f>
        <v>100</v>
      </c>
      <c r="N111" s="400"/>
      <c r="O111" s="2388"/>
      <c r="P111" s="978"/>
      <c r="Q111" s="979"/>
      <c r="R111" s="688"/>
    </row>
    <row r="112" spans="1:18" ht="25.5" x14ac:dyDescent="0.2">
      <c r="A112" s="1308" t="s">
        <v>24</v>
      </c>
      <c r="B112" s="1310" t="s">
        <v>20</v>
      </c>
      <c r="C112" s="1328" t="s">
        <v>30</v>
      </c>
      <c r="D112" s="1221" t="s">
        <v>199</v>
      </c>
      <c r="E112" s="1222" t="s">
        <v>4</v>
      </c>
      <c r="F112" s="1223"/>
      <c r="G112" s="13"/>
      <c r="H112" s="1260"/>
      <c r="I112" s="421"/>
      <c r="J112" s="1648"/>
      <c r="K112" s="43"/>
      <c r="L112" s="1649"/>
      <c r="M112" s="871"/>
      <c r="N112" s="871"/>
      <c r="O112" s="1224"/>
      <c r="P112" s="1225"/>
      <c r="Q112" s="1226"/>
      <c r="R112" s="1227"/>
    </row>
    <row r="113" spans="1:18" ht="38.25" x14ac:dyDescent="0.2">
      <c r="A113" s="1323"/>
      <c r="B113" s="1297"/>
      <c r="C113" s="1329"/>
      <c r="D113" s="2400" t="s">
        <v>280</v>
      </c>
      <c r="E113" s="2401" t="s">
        <v>131</v>
      </c>
      <c r="F113" s="2399">
        <v>6</v>
      </c>
      <c r="G113" s="1361" t="s">
        <v>296</v>
      </c>
      <c r="H113" s="1254">
        <f>3515/3.4528*1000</f>
        <v>1018014.3651529193</v>
      </c>
      <c r="I113" s="337">
        <f>+J113+L113</f>
        <v>3515</v>
      </c>
      <c r="J113" s="253">
        <v>15</v>
      </c>
      <c r="K113" s="253"/>
      <c r="L113" s="255">
        <v>3500</v>
      </c>
      <c r="M113" s="1050">
        <f>3000</f>
        <v>3000</v>
      </c>
      <c r="N113" s="1050"/>
      <c r="O113" s="586" t="s">
        <v>169</v>
      </c>
      <c r="P113" s="1007">
        <v>100</v>
      </c>
      <c r="Q113" s="1007"/>
      <c r="R113" s="587"/>
    </row>
    <row r="114" spans="1:18" x14ac:dyDescent="0.2">
      <c r="A114" s="1323"/>
      <c r="B114" s="1297"/>
      <c r="C114" s="1329"/>
      <c r="D114" s="2282"/>
      <c r="E114" s="2358"/>
      <c r="F114" s="2399"/>
      <c r="G114" s="1360"/>
      <c r="H114" s="1259"/>
      <c r="I114" s="559"/>
      <c r="J114" s="265"/>
      <c r="K114" s="265"/>
      <c r="L114" s="267"/>
      <c r="M114" s="1650"/>
      <c r="N114" s="565"/>
      <c r="O114" s="2256" t="s">
        <v>177</v>
      </c>
      <c r="P114" s="1315">
        <v>50</v>
      </c>
      <c r="Q114" s="1315">
        <v>50</v>
      </c>
      <c r="R114" s="1343"/>
    </row>
    <row r="115" spans="1:18" ht="13.5" thickBot="1" x14ac:dyDescent="0.25">
      <c r="A115" s="1303"/>
      <c r="B115" s="1311"/>
      <c r="C115" s="1351"/>
      <c r="D115" s="1965"/>
      <c r="E115" s="2359"/>
      <c r="F115" s="1228"/>
      <c r="G115" s="362" t="s">
        <v>23</v>
      </c>
      <c r="H115" s="1242">
        <f>SUM(H113:H114)</f>
        <v>1018014.3651529193</v>
      </c>
      <c r="I115" s="361">
        <f t="shared" ref="I115:L115" si="10">SUM(I113:I114)</f>
        <v>3515</v>
      </c>
      <c r="J115" s="341">
        <f t="shared" si="10"/>
        <v>15</v>
      </c>
      <c r="K115" s="342">
        <f t="shared" si="10"/>
        <v>0</v>
      </c>
      <c r="L115" s="351">
        <f t="shared" si="10"/>
        <v>3500</v>
      </c>
      <c r="M115" s="350">
        <f>SUM(M113:M114)</f>
        <v>3000</v>
      </c>
      <c r="N115" s="350"/>
      <c r="O115" s="1973"/>
      <c r="P115" s="685"/>
      <c r="Q115" s="92"/>
      <c r="R115" s="1344"/>
    </row>
    <row r="116" spans="1:18" x14ac:dyDescent="0.2">
      <c r="A116" s="1323" t="s">
        <v>24</v>
      </c>
      <c r="B116" s="1297" t="s">
        <v>20</v>
      </c>
      <c r="C116" s="1329" t="s">
        <v>30</v>
      </c>
      <c r="D116" s="2282" t="s">
        <v>287</v>
      </c>
      <c r="E116" s="2207"/>
      <c r="F116" s="1330">
        <v>6</v>
      </c>
      <c r="G116" s="1360" t="s">
        <v>22</v>
      </c>
      <c r="H116" s="1261">
        <f>350/3.4528*1000</f>
        <v>101367.00648748843</v>
      </c>
      <c r="I116" s="313">
        <f>J116+L116</f>
        <v>350</v>
      </c>
      <c r="J116" s="1017"/>
      <c r="K116" s="57"/>
      <c r="L116" s="249">
        <v>350</v>
      </c>
      <c r="M116" s="121"/>
      <c r="N116" s="121"/>
      <c r="O116" s="977" t="s">
        <v>286</v>
      </c>
      <c r="P116" s="744">
        <v>100</v>
      </c>
      <c r="Q116" s="100"/>
      <c r="R116" s="688"/>
    </row>
    <row r="117" spans="1:18" ht="13.5" thickBot="1" x14ac:dyDescent="0.25">
      <c r="A117" s="1309"/>
      <c r="B117" s="1311"/>
      <c r="C117" s="1300"/>
      <c r="D117" s="1965"/>
      <c r="E117" s="2129"/>
      <c r="F117" s="1010"/>
      <c r="G117" s="698" t="s">
        <v>23</v>
      </c>
      <c r="H117" s="1262">
        <f>H116</f>
        <v>101367.00648748843</v>
      </c>
      <c r="I117" s="388">
        <f>J117+L117</f>
        <v>350</v>
      </c>
      <c r="J117" s="389"/>
      <c r="K117" s="390"/>
      <c r="L117" s="391">
        <f>L116</f>
        <v>350</v>
      </c>
      <c r="M117" s="1014"/>
      <c r="N117" s="1014"/>
      <c r="O117" s="81"/>
      <c r="P117" s="90"/>
      <c r="Q117" s="1364"/>
      <c r="R117" s="714"/>
    </row>
    <row r="118" spans="1:18" ht="13.5" thickBot="1" x14ac:dyDescent="0.25">
      <c r="A118" s="1303" t="s">
        <v>24</v>
      </c>
      <c r="B118" s="14" t="s">
        <v>20</v>
      </c>
      <c r="C118" s="2139" t="s">
        <v>27</v>
      </c>
      <c r="D118" s="2154"/>
      <c r="E118" s="2154"/>
      <c r="F118" s="2154"/>
      <c r="G118" s="2154"/>
      <c r="H118" s="1276">
        <f>H117+H115+H111+H108+H105+H94+H75</f>
        <v>2171860.5189990727</v>
      </c>
      <c r="I118" s="1561">
        <f>I117+I111+I105+I108+I115+I94+I75</f>
        <v>7499.1</v>
      </c>
      <c r="J118" s="608">
        <f t="shared" ref="J118:N118" si="11">J117+J111+J105+J108+J115+J94+J75</f>
        <v>82.4</v>
      </c>
      <c r="K118" s="1562">
        <f t="shared" si="11"/>
        <v>13.3</v>
      </c>
      <c r="L118" s="1651">
        <f t="shared" si="11"/>
        <v>7416.7000000000007</v>
      </c>
      <c r="M118" s="1643">
        <f t="shared" si="11"/>
        <v>4344.8</v>
      </c>
      <c r="N118" s="30">
        <f t="shared" si="11"/>
        <v>10916.3</v>
      </c>
      <c r="O118" s="2239"/>
      <c r="P118" s="2240"/>
      <c r="Q118" s="2240"/>
      <c r="R118" s="2241"/>
    </row>
    <row r="119" spans="1:18" ht="13.5" thickBot="1" x14ac:dyDescent="0.25">
      <c r="A119" s="1304" t="s">
        <v>24</v>
      </c>
      <c r="B119" s="14" t="s">
        <v>24</v>
      </c>
      <c r="C119" s="2152" t="s">
        <v>49</v>
      </c>
      <c r="D119" s="2153"/>
      <c r="E119" s="2153"/>
      <c r="F119" s="1312"/>
      <c r="G119" s="124"/>
      <c r="H119" s="1277"/>
      <c r="I119" s="1652"/>
      <c r="J119" s="1652"/>
      <c r="K119" s="1652"/>
      <c r="L119" s="1652"/>
      <c r="M119" s="1652"/>
      <c r="N119" s="1652"/>
      <c r="O119" s="73"/>
      <c r="P119" s="73"/>
      <c r="Q119" s="2286"/>
      <c r="R119" s="2287"/>
    </row>
    <row r="120" spans="1:18" ht="26.25" customHeight="1" x14ac:dyDescent="0.2">
      <c r="A120" s="2201" t="s">
        <v>24</v>
      </c>
      <c r="B120" s="2208" t="s">
        <v>24</v>
      </c>
      <c r="C120" s="1299" t="s">
        <v>20</v>
      </c>
      <c r="D120" s="1975" t="s">
        <v>299</v>
      </c>
      <c r="E120" s="2357" t="s">
        <v>135</v>
      </c>
      <c r="F120" s="2273">
        <v>2</v>
      </c>
      <c r="G120" s="123" t="s">
        <v>22</v>
      </c>
      <c r="H120" s="1285">
        <v>0</v>
      </c>
      <c r="I120" s="358">
        <f>J120+L120</f>
        <v>0</v>
      </c>
      <c r="J120" s="51">
        <f>100-100</f>
        <v>0</v>
      </c>
      <c r="K120" s="51"/>
      <c r="L120" s="52"/>
      <c r="M120" s="42">
        <f>100</f>
        <v>100</v>
      </c>
      <c r="N120" s="42">
        <f>100</f>
        <v>100</v>
      </c>
      <c r="O120" s="2126" t="s">
        <v>91</v>
      </c>
      <c r="P120" s="874"/>
      <c r="Q120" s="874">
        <v>320</v>
      </c>
      <c r="R120" s="885">
        <v>320</v>
      </c>
    </row>
    <row r="121" spans="1:18" ht="13.5" thickBot="1" x14ac:dyDescent="0.25">
      <c r="A121" s="2203"/>
      <c r="B121" s="2210"/>
      <c r="C121" s="1300"/>
      <c r="D121" s="2133"/>
      <c r="E121" s="2359"/>
      <c r="F121" s="2274"/>
      <c r="G121" s="362" t="s">
        <v>23</v>
      </c>
      <c r="H121" s="1289">
        <f>H120</f>
        <v>0</v>
      </c>
      <c r="I121" s="349">
        <f>J121+L121</f>
        <v>0</v>
      </c>
      <c r="J121" s="342">
        <f>SUM(J120)</f>
        <v>0</v>
      </c>
      <c r="K121" s="342"/>
      <c r="L121" s="345"/>
      <c r="M121" s="350">
        <f>SUM(M120)</f>
        <v>100</v>
      </c>
      <c r="N121" s="351">
        <f>SUM(N120)</f>
        <v>100</v>
      </c>
      <c r="O121" s="2127"/>
      <c r="P121" s="143"/>
      <c r="Q121" s="143"/>
      <c r="R121" s="233"/>
    </row>
    <row r="122" spans="1:18" x14ac:dyDescent="0.2">
      <c r="A122" s="1302" t="s">
        <v>24</v>
      </c>
      <c r="B122" s="1310" t="s">
        <v>24</v>
      </c>
      <c r="C122" s="1299" t="s">
        <v>24</v>
      </c>
      <c r="D122" s="2373" t="s">
        <v>290</v>
      </c>
      <c r="E122" s="2376"/>
      <c r="F122" s="2379">
        <v>2</v>
      </c>
      <c r="G122" s="1229" t="s">
        <v>22</v>
      </c>
      <c r="H122" s="1290">
        <f>1060/3.4528*1000</f>
        <v>306997.21964782209</v>
      </c>
      <c r="I122" s="372">
        <f>J122+L122</f>
        <v>1060</v>
      </c>
      <c r="J122" s="778">
        <v>1060</v>
      </c>
      <c r="K122" s="882"/>
      <c r="L122" s="1060"/>
      <c r="M122" s="541">
        <f>900</f>
        <v>900</v>
      </c>
      <c r="N122" s="542">
        <f>900</f>
        <v>900</v>
      </c>
      <c r="O122" s="1061" t="s">
        <v>291</v>
      </c>
      <c r="P122" s="1062">
        <v>315</v>
      </c>
      <c r="Q122" s="1062">
        <v>250</v>
      </c>
      <c r="R122" s="1063">
        <v>250</v>
      </c>
    </row>
    <row r="123" spans="1:18" ht="25.5" x14ac:dyDescent="0.2">
      <c r="A123" s="1304"/>
      <c r="B123" s="1297"/>
      <c r="C123" s="1305"/>
      <c r="D123" s="2374"/>
      <c r="E123" s="2377"/>
      <c r="F123" s="2380"/>
      <c r="G123" s="1288"/>
      <c r="H123" s="1284"/>
      <c r="I123" s="375"/>
      <c r="J123" s="780"/>
      <c r="K123" s="927"/>
      <c r="L123" s="287"/>
      <c r="M123" s="1040"/>
      <c r="N123" s="287"/>
      <c r="O123" s="1376" t="s">
        <v>292</v>
      </c>
      <c r="P123" s="1065">
        <v>15</v>
      </c>
      <c r="Q123" s="1065">
        <v>3</v>
      </c>
      <c r="R123" s="1066">
        <v>3</v>
      </c>
    </row>
    <row r="124" spans="1:18" ht="13.5" thickBot="1" x14ac:dyDescent="0.25">
      <c r="A124" s="1303"/>
      <c r="B124" s="1067"/>
      <c r="C124" s="1300"/>
      <c r="D124" s="2375"/>
      <c r="E124" s="2378"/>
      <c r="F124" s="2381"/>
      <c r="G124" s="1230" t="s">
        <v>23</v>
      </c>
      <c r="H124" s="1291">
        <f>SUM(H122:H123)</f>
        <v>306997.21964782209</v>
      </c>
      <c r="I124" s="371">
        <f>SUM(I122:I122)</f>
        <v>1060</v>
      </c>
      <c r="J124" s="370">
        <f>SUM(J122:J122)</f>
        <v>1060</v>
      </c>
      <c r="K124" s="404"/>
      <c r="L124" s="366"/>
      <c r="M124" s="365">
        <f>SUM(M122:M122)</f>
        <v>900</v>
      </c>
      <c r="N124" s="366">
        <f>SUM(N122:N122)</f>
        <v>900</v>
      </c>
      <c r="O124" s="1068" t="s">
        <v>133</v>
      </c>
      <c r="P124" s="1069">
        <v>285</v>
      </c>
      <c r="Q124" s="1069">
        <v>60</v>
      </c>
      <c r="R124" s="1070">
        <v>60</v>
      </c>
    </row>
    <row r="125" spans="1:18" ht="13.5" thickBot="1" x14ac:dyDescent="0.25">
      <c r="A125" s="15" t="s">
        <v>24</v>
      </c>
      <c r="B125" s="14" t="s">
        <v>24</v>
      </c>
      <c r="C125" s="2139" t="s">
        <v>27</v>
      </c>
      <c r="D125" s="2154"/>
      <c r="E125" s="2154"/>
      <c r="F125" s="2154"/>
      <c r="G125" s="2154"/>
      <c r="H125" s="1292">
        <f>H124+H121</f>
        <v>306997.21964782209</v>
      </c>
      <c r="I125" s="1">
        <f t="shared" ref="I125:N125" si="12">I124+I121</f>
        <v>1060</v>
      </c>
      <c r="J125" s="1512">
        <f>J124+J121</f>
        <v>1060</v>
      </c>
      <c r="K125" s="290">
        <f t="shared" si="12"/>
        <v>0</v>
      </c>
      <c r="L125" s="289">
        <f t="shared" si="12"/>
        <v>0</v>
      </c>
      <c r="M125" s="1">
        <f t="shared" si="12"/>
        <v>1000</v>
      </c>
      <c r="N125" s="1">
        <f t="shared" si="12"/>
        <v>1000</v>
      </c>
      <c r="O125" s="1985"/>
      <c r="P125" s="1986"/>
      <c r="Q125" s="1986"/>
      <c r="R125" s="1987"/>
    </row>
    <row r="126" spans="1:18" ht="13.5" thickBot="1" x14ac:dyDescent="0.25">
      <c r="A126" s="1302" t="s">
        <v>24</v>
      </c>
      <c r="B126" s="148" t="s">
        <v>26</v>
      </c>
      <c r="C126" s="2372" t="s">
        <v>48</v>
      </c>
      <c r="D126" s="2237"/>
      <c r="E126" s="2237"/>
      <c r="F126" s="2237"/>
      <c r="G126" s="2237"/>
      <c r="H126" s="2237"/>
      <c r="I126" s="2237"/>
      <c r="J126" s="2237"/>
      <c r="K126" s="2237"/>
      <c r="L126" s="2237"/>
      <c r="M126" s="2237"/>
      <c r="N126" s="2237"/>
      <c r="O126" s="2237"/>
      <c r="P126" s="2237"/>
      <c r="Q126" s="2237"/>
      <c r="R126" s="2238"/>
    </row>
    <row r="127" spans="1:18" ht="25.5" x14ac:dyDescent="0.2">
      <c r="A127" s="1308" t="s">
        <v>24</v>
      </c>
      <c r="B127" s="1310" t="s">
        <v>26</v>
      </c>
      <c r="C127" s="1299" t="s">
        <v>20</v>
      </c>
      <c r="D127" s="1072" t="s">
        <v>50</v>
      </c>
      <c r="E127" s="1373"/>
      <c r="F127" s="1074">
        <v>6</v>
      </c>
      <c r="G127" s="1352" t="s">
        <v>22</v>
      </c>
      <c r="H127" s="1266">
        <f>4348/3.4528*1000</f>
        <v>1259267.840593142</v>
      </c>
      <c r="I127" s="372">
        <f>J127+L127</f>
        <v>4348.2</v>
      </c>
      <c r="J127" s="1076">
        <v>4268.2</v>
      </c>
      <c r="K127" s="1077"/>
      <c r="L127" s="1049">
        <v>80</v>
      </c>
      <c r="M127" s="75">
        <f>4896</f>
        <v>4896</v>
      </c>
      <c r="N127" s="74">
        <f>4863</f>
        <v>4863</v>
      </c>
      <c r="O127" s="1078"/>
      <c r="P127" s="1079"/>
      <c r="Q127" s="1080"/>
      <c r="R127" s="743"/>
    </row>
    <row r="128" spans="1:18" ht="25.5" x14ac:dyDescent="0.2">
      <c r="A128" s="1323"/>
      <c r="B128" s="1297"/>
      <c r="C128" s="1305"/>
      <c r="D128" s="1082" t="s">
        <v>93</v>
      </c>
      <c r="E128" s="1363"/>
      <c r="F128" s="1375"/>
      <c r="G128" s="1083"/>
      <c r="H128" s="1267"/>
      <c r="I128" s="1610"/>
      <c r="J128" s="281"/>
      <c r="K128" s="1086"/>
      <c r="L128" s="527"/>
      <c r="M128" s="1036"/>
      <c r="N128" s="1036"/>
      <c r="O128" s="1320" t="s">
        <v>316</v>
      </c>
      <c r="P128" s="1087">
        <v>13</v>
      </c>
      <c r="Q128" s="1087">
        <v>14</v>
      </c>
      <c r="R128" s="1088">
        <v>14</v>
      </c>
    </row>
    <row r="129" spans="1:21" ht="25.5" x14ac:dyDescent="0.2">
      <c r="A129" s="1323"/>
      <c r="B129" s="1297"/>
      <c r="C129" s="161"/>
      <c r="D129" s="1082" t="s">
        <v>61</v>
      </c>
      <c r="E129" s="1298"/>
      <c r="F129" s="1375"/>
      <c r="G129" s="1090"/>
      <c r="H129" s="1268"/>
      <c r="I129" s="1610"/>
      <c r="J129" s="1091"/>
      <c r="K129" s="1022"/>
      <c r="L129" s="1047"/>
      <c r="M129" s="1036"/>
      <c r="N129" s="1036"/>
      <c r="O129" s="1320" t="s">
        <v>317</v>
      </c>
      <c r="P129" s="1092">
        <v>95</v>
      </c>
      <c r="Q129" s="1092">
        <v>95</v>
      </c>
      <c r="R129" s="1093">
        <v>95</v>
      </c>
    </row>
    <row r="130" spans="1:21" s="4" customFormat="1" ht="25.5" x14ac:dyDescent="0.2">
      <c r="A130" s="1323"/>
      <c r="B130" s="1297"/>
      <c r="C130" s="1305"/>
      <c r="D130" s="1094" t="s">
        <v>63</v>
      </c>
      <c r="E130" s="1298"/>
      <c r="F130" s="1313"/>
      <c r="G130" s="1365"/>
      <c r="H130" s="1269"/>
      <c r="I130" s="717"/>
      <c r="J130" s="1095"/>
      <c r="K130" s="1045"/>
      <c r="L130" s="1096"/>
      <c r="M130" s="1034"/>
      <c r="N130" s="1034"/>
      <c r="O130" s="1319" t="s">
        <v>324</v>
      </c>
      <c r="P130" s="1097">
        <v>30</v>
      </c>
      <c r="Q130" s="1097">
        <v>30</v>
      </c>
      <c r="R130" s="1098">
        <v>30</v>
      </c>
    </row>
    <row r="131" spans="1:21" ht="25.5" x14ac:dyDescent="0.2">
      <c r="A131" s="1323"/>
      <c r="B131" s="1297"/>
      <c r="C131" s="161"/>
      <c r="D131" s="1082" t="s">
        <v>73</v>
      </c>
      <c r="E131" s="1298"/>
      <c r="F131" s="1375"/>
      <c r="G131" s="1083"/>
      <c r="H131" s="1267"/>
      <c r="I131" s="1610"/>
      <c r="J131" s="1091"/>
      <c r="K131" s="1086"/>
      <c r="L131" s="527"/>
      <c r="M131" s="1036"/>
      <c r="N131" s="1036"/>
      <c r="O131" s="1320" t="s">
        <v>318</v>
      </c>
      <c r="P131" s="1092">
        <v>6</v>
      </c>
      <c r="Q131" s="1092">
        <v>5</v>
      </c>
      <c r="R131" s="1093">
        <v>5</v>
      </c>
    </row>
    <row r="132" spans="1:21" s="4" customFormat="1" x14ac:dyDescent="0.2">
      <c r="A132" s="1323"/>
      <c r="B132" s="1297"/>
      <c r="C132" s="161"/>
      <c r="D132" s="1082" t="s">
        <v>62</v>
      </c>
      <c r="E132" s="1374"/>
      <c r="F132" s="1375"/>
      <c r="G132" s="1083"/>
      <c r="H132" s="1267"/>
      <c r="I132" s="1610"/>
      <c r="J132" s="1091"/>
      <c r="K132" s="1086"/>
      <c r="L132" s="527"/>
      <c r="M132" s="1036"/>
      <c r="N132" s="1036"/>
      <c r="O132" s="1320" t="s">
        <v>83</v>
      </c>
      <c r="P132" s="281">
        <v>40.1</v>
      </c>
      <c r="Q132" s="281">
        <v>40.1</v>
      </c>
      <c r="R132" s="776">
        <v>40.1</v>
      </c>
    </row>
    <row r="133" spans="1:21" x14ac:dyDescent="0.2">
      <c r="A133" s="1323"/>
      <c r="B133" s="1297"/>
      <c r="C133" s="1305"/>
      <c r="D133" s="1094" t="s">
        <v>64</v>
      </c>
      <c r="E133" s="1374"/>
      <c r="F133" s="1375"/>
      <c r="G133" s="1090"/>
      <c r="H133" s="1268"/>
      <c r="I133" s="425"/>
      <c r="J133" s="780"/>
      <c r="K133" s="1101"/>
      <c r="L133" s="1102"/>
      <c r="M133" s="1034"/>
      <c r="N133" s="1034"/>
      <c r="O133" s="1366" t="s">
        <v>319</v>
      </c>
      <c r="P133" s="1367">
        <v>100</v>
      </c>
      <c r="Q133" s="1367">
        <v>100</v>
      </c>
      <c r="R133" s="1368">
        <v>100</v>
      </c>
    </row>
    <row r="134" spans="1:21" s="796" customFormat="1" ht="25.5" x14ac:dyDescent="0.2">
      <c r="A134" s="1323"/>
      <c r="B134" s="1297"/>
      <c r="C134" s="1305"/>
      <c r="D134" s="1144" t="s">
        <v>142</v>
      </c>
      <c r="E134" s="1108"/>
      <c r="F134" s="1381"/>
      <c r="G134" s="1103"/>
      <c r="H134" s="1270"/>
      <c r="I134" s="1610"/>
      <c r="J134" s="281"/>
      <c r="K134" s="281"/>
      <c r="L134" s="987"/>
      <c r="M134" s="1034"/>
      <c r="N134" s="1034"/>
      <c r="O134" s="1140" t="s">
        <v>320</v>
      </c>
      <c r="P134" s="1112">
        <v>11</v>
      </c>
      <c r="Q134" s="1112">
        <v>13</v>
      </c>
      <c r="R134" s="1113">
        <v>16</v>
      </c>
      <c r="S134" s="795"/>
      <c r="U134" s="797"/>
    </row>
    <row r="135" spans="1:21" s="796" customFormat="1" ht="30" customHeight="1" x14ac:dyDescent="0.2">
      <c r="A135" s="1323"/>
      <c r="B135" s="1297"/>
      <c r="C135" s="1305"/>
      <c r="D135" s="2402" t="s">
        <v>334</v>
      </c>
      <c r="E135" s="2395"/>
      <c r="F135" s="2397"/>
      <c r="G135" s="1111"/>
      <c r="H135" s="1271"/>
      <c r="I135" s="1610"/>
      <c r="J135" s="780"/>
      <c r="K135" s="281"/>
      <c r="L135" s="776"/>
      <c r="M135" s="1034"/>
      <c r="N135" s="1034"/>
      <c r="O135" s="1379" t="s">
        <v>321</v>
      </c>
      <c r="P135" s="1112">
        <v>1</v>
      </c>
      <c r="Q135" s="1112">
        <v>1</v>
      </c>
      <c r="R135" s="1113">
        <v>1</v>
      </c>
      <c r="S135" s="795"/>
      <c r="U135" s="797"/>
    </row>
    <row r="136" spans="1:21" ht="13.5" thickBot="1" x14ac:dyDescent="0.25">
      <c r="A136" s="1323"/>
      <c r="B136" s="1297"/>
      <c r="C136" s="1305"/>
      <c r="D136" s="2403"/>
      <c r="E136" s="2396"/>
      <c r="F136" s="2398"/>
      <c r="G136" s="420" t="s">
        <v>23</v>
      </c>
      <c r="H136" s="1265">
        <f>SUM(H127:H135)</f>
        <v>1259267.840593142</v>
      </c>
      <c r="I136" s="371">
        <f>SUM(I127:I135)</f>
        <v>4348.2</v>
      </c>
      <c r="J136" s="371">
        <f t="shared" ref="J136:N136" si="13">SUM(J127:J135)</f>
        <v>4268.2</v>
      </c>
      <c r="K136" s="371">
        <f t="shared" si="13"/>
        <v>0</v>
      </c>
      <c r="L136" s="371">
        <f t="shared" si="13"/>
        <v>80</v>
      </c>
      <c r="M136" s="371">
        <f t="shared" si="13"/>
        <v>4896</v>
      </c>
      <c r="N136" s="371">
        <f t="shared" si="13"/>
        <v>4863</v>
      </c>
      <c r="O136" s="1141"/>
      <c r="P136" s="90"/>
      <c r="Q136" s="1364"/>
      <c r="R136" s="714"/>
    </row>
    <row r="137" spans="1:21" ht="28.5" customHeight="1" x14ac:dyDescent="0.2">
      <c r="A137" s="1308" t="s">
        <v>24</v>
      </c>
      <c r="B137" s="1310" t="s">
        <v>26</v>
      </c>
      <c r="C137" s="1299" t="s">
        <v>24</v>
      </c>
      <c r="D137" s="2367" t="s">
        <v>276</v>
      </c>
      <c r="E137" s="2365" t="s">
        <v>139</v>
      </c>
      <c r="F137" s="2369">
        <v>6</v>
      </c>
      <c r="G137" s="1118" t="s">
        <v>22</v>
      </c>
      <c r="H137" s="1266">
        <f>73/3.4528*1000</f>
        <v>21142.261353104728</v>
      </c>
      <c r="I137" s="372">
        <f>J137+L137</f>
        <v>73</v>
      </c>
      <c r="J137" s="1076"/>
      <c r="K137" s="990"/>
      <c r="L137" s="1049">
        <v>73</v>
      </c>
      <c r="M137" s="75">
        <f>210</f>
        <v>210</v>
      </c>
      <c r="N137" s="74">
        <f>320</f>
        <v>320</v>
      </c>
      <c r="O137" s="2370" t="s">
        <v>140</v>
      </c>
      <c r="P137" s="975">
        <v>1</v>
      </c>
      <c r="Q137" s="976">
        <v>4</v>
      </c>
      <c r="R137" s="743">
        <v>6</v>
      </c>
    </row>
    <row r="138" spans="1:21" ht="13.5" thickBot="1" x14ac:dyDescent="0.25">
      <c r="A138" s="1309"/>
      <c r="B138" s="1311"/>
      <c r="C138" s="1300"/>
      <c r="D138" s="2368"/>
      <c r="E138" s="2366"/>
      <c r="F138" s="2319"/>
      <c r="G138" s="420" t="s">
        <v>23</v>
      </c>
      <c r="H138" s="1265">
        <f>SUM(H137)</f>
        <v>21142.261353104728</v>
      </c>
      <c r="I138" s="371">
        <f>J138+L138</f>
        <v>73</v>
      </c>
      <c r="J138" s="370"/>
      <c r="K138" s="370"/>
      <c r="L138" s="368">
        <f>L137</f>
        <v>73</v>
      </c>
      <c r="M138" s="365">
        <f>SUM(M137)</f>
        <v>210</v>
      </c>
      <c r="N138" s="366">
        <f>SUM(N137)</f>
        <v>320</v>
      </c>
      <c r="O138" s="2371"/>
      <c r="P138" s="90"/>
      <c r="Q138" s="1364"/>
      <c r="R138" s="714"/>
    </row>
    <row r="139" spans="1:21" x14ac:dyDescent="0.2">
      <c r="A139" s="2204" t="s">
        <v>24</v>
      </c>
      <c r="B139" s="2167" t="s">
        <v>26</v>
      </c>
      <c r="C139" s="147" t="s">
        <v>26</v>
      </c>
      <c r="D139" s="2364" t="s">
        <v>59</v>
      </c>
      <c r="E139" s="2365"/>
      <c r="F139" s="2360">
        <v>2</v>
      </c>
      <c r="G139" s="1120" t="s">
        <v>22</v>
      </c>
      <c r="H139" s="1272">
        <f>108/3.4528*1000</f>
        <v>31278.962001853568</v>
      </c>
      <c r="I139" s="1653">
        <f>J139+L139</f>
        <v>108</v>
      </c>
      <c r="J139" s="1121">
        <v>108</v>
      </c>
      <c r="K139" s="43"/>
      <c r="L139" s="44"/>
      <c r="M139" s="75">
        <f>100</f>
        <v>100</v>
      </c>
      <c r="N139" s="75">
        <f>100</f>
        <v>100</v>
      </c>
      <c r="O139" s="1996" t="s">
        <v>322</v>
      </c>
      <c r="P139" s="1122">
        <v>320</v>
      </c>
      <c r="Q139" s="1123">
        <v>300</v>
      </c>
      <c r="R139" s="743">
        <v>300</v>
      </c>
    </row>
    <row r="140" spans="1:21" ht="26.25" customHeight="1" thickBot="1" x14ac:dyDescent="0.25">
      <c r="A140" s="2206"/>
      <c r="B140" s="2168"/>
      <c r="C140" s="145"/>
      <c r="D140" s="2356"/>
      <c r="E140" s="2366"/>
      <c r="F140" s="2362"/>
      <c r="G140" s="420" t="s">
        <v>23</v>
      </c>
      <c r="H140" s="1273">
        <f>H139</f>
        <v>31278.962001853568</v>
      </c>
      <c r="I140" s="365">
        <f>J140+L140</f>
        <v>108</v>
      </c>
      <c r="J140" s="398">
        <f>SUM(J139)</f>
        <v>108</v>
      </c>
      <c r="K140" s="394"/>
      <c r="L140" s="396"/>
      <c r="M140" s="365">
        <f>SUM(M139)</f>
        <v>100</v>
      </c>
      <c r="N140" s="399">
        <f>SUM(N139)</f>
        <v>100</v>
      </c>
      <c r="O140" s="1998"/>
      <c r="P140" s="90"/>
      <c r="Q140" s="1364"/>
      <c r="R140" s="714"/>
    </row>
    <row r="141" spans="1:21" x14ac:dyDescent="0.2">
      <c r="A141" s="1308" t="s">
        <v>24</v>
      </c>
      <c r="B141" s="1310" t="s">
        <v>26</v>
      </c>
      <c r="C141" s="147" t="s">
        <v>28</v>
      </c>
      <c r="D141" s="1369" t="s">
        <v>281</v>
      </c>
      <c r="E141" s="1383"/>
      <c r="F141" s="1370">
        <v>2</v>
      </c>
      <c r="G141" s="1127" t="s">
        <v>22</v>
      </c>
      <c r="H141" s="1263"/>
      <c r="I141" s="422"/>
      <c r="J141" s="778"/>
      <c r="K141" s="778"/>
      <c r="L141" s="1060"/>
      <c r="M141" s="75">
        <f>250</f>
        <v>250</v>
      </c>
      <c r="N141" s="74"/>
      <c r="O141" s="1162" t="s">
        <v>323</v>
      </c>
      <c r="P141" s="1163"/>
      <c r="Q141" s="1124">
        <v>10</v>
      </c>
      <c r="R141" s="743"/>
    </row>
    <row r="142" spans="1:21" x14ac:dyDescent="0.2">
      <c r="A142" s="1323"/>
      <c r="B142" s="1297"/>
      <c r="C142" s="146"/>
      <c r="D142" s="2363" t="s">
        <v>335</v>
      </c>
      <c r="E142" s="1380"/>
      <c r="F142" s="1371"/>
      <c r="G142" s="1127"/>
      <c r="H142" s="1264"/>
      <c r="I142" s="717"/>
      <c r="J142" s="286"/>
      <c r="K142" s="286"/>
      <c r="L142" s="786"/>
      <c r="M142" s="718"/>
      <c r="N142" s="41"/>
      <c r="O142" s="1162"/>
      <c r="P142" s="1163"/>
      <c r="Q142" s="1124"/>
      <c r="R142" s="688"/>
    </row>
    <row r="143" spans="1:21" ht="13.5" thickBot="1" x14ac:dyDescent="0.25">
      <c r="A143" s="1309"/>
      <c r="B143" s="1311"/>
      <c r="C143" s="145"/>
      <c r="D143" s="2356"/>
      <c r="E143" s="1382"/>
      <c r="F143" s="1372"/>
      <c r="G143" s="420" t="s">
        <v>23</v>
      </c>
      <c r="H143" s="1265"/>
      <c r="I143" s="369">
        <f t="shared" ref="I143:L143" si="14">SUM(I142:I142)</f>
        <v>0</v>
      </c>
      <c r="J143" s="404">
        <f t="shared" si="14"/>
        <v>0</v>
      </c>
      <c r="K143" s="404">
        <f t="shared" si="14"/>
        <v>0</v>
      </c>
      <c r="L143" s="366">
        <f t="shared" si="14"/>
        <v>0</v>
      </c>
      <c r="M143" s="365">
        <f>SUM(M141:M142)</f>
        <v>250</v>
      </c>
      <c r="N143" s="366"/>
      <c r="O143" s="1340"/>
      <c r="P143" s="90"/>
      <c r="Q143" s="1364"/>
      <c r="R143" s="714"/>
    </row>
    <row r="144" spans="1:21" ht="45.75" customHeight="1" x14ac:dyDescent="0.2">
      <c r="A144" s="2201" t="s">
        <v>24</v>
      </c>
      <c r="B144" s="2208" t="s">
        <v>26</v>
      </c>
      <c r="C144" s="147" t="s">
        <v>29</v>
      </c>
      <c r="D144" s="2354" t="s">
        <v>306</v>
      </c>
      <c r="E144" s="2357" t="s">
        <v>135</v>
      </c>
      <c r="F144" s="2360">
        <v>2</v>
      </c>
      <c r="G144" s="609" t="s">
        <v>22</v>
      </c>
      <c r="H144" s="1263">
        <f>64/3.4528*1000</f>
        <v>18535.681186283597</v>
      </c>
      <c r="I144" s="422">
        <f>J144+L144</f>
        <v>64</v>
      </c>
      <c r="J144" s="778"/>
      <c r="K144" s="778"/>
      <c r="L144" s="1060">
        <v>64</v>
      </c>
      <c r="M144" s="75">
        <f>74</f>
        <v>74</v>
      </c>
      <c r="N144" s="74">
        <f>67</f>
        <v>67</v>
      </c>
      <c r="O144" s="1125" t="s">
        <v>90</v>
      </c>
      <c r="P144" s="1126">
        <v>9</v>
      </c>
      <c r="Q144" s="1123">
        <v>10</v>
      </c>
      <c r="R144" s="743">
        <v>10</v>
      </c>
    </row>
    <row r="145" spans="1:21" ht="45.75" customHeight="1" x14ac:dyDescent="0.2">
      <c r="A145" s="2202"/>
      <c r="B145" s="2209"/>
      <c r="C145" s="146"/>
      <c r="D145" s="2355"/>
      <c r="E145" s="2358"/>
      <c r="F145" s="2361"/>
      <c r="G145" s="1127"/>
      <c r="H145" s="1264"/>
      <c r="I145" s="717"/>
      <c r="J145" s="286"/>
      <c r="K145" s="286"/>
      <c r="L145" s="786"/>
      <c r="M145" s="121"/>
      <c r="N145" s="122"/>
      <c r="O145" s="1128"/>
      <c r="P145" s="531"/>
      <c r="Q145" s="1124"/>
      <c r="R145" s="688"/>
    </row>
    <row r="146" spans="1:21" ht="13.5" thickBot="1" x14ac:dyDescent="0.25">
      <c r="A146" s="2203"/>
      <c r="B146" s="2210"/>
      <c r="C146" s="145"/>
      <c r="D146" s="2356"/>
      <c r="E146" s="2359"/>
      <c r="F146" s="2362"/>
      <c r="G146" s="420" t="s">
        <v>23</v>
      </c>
      <c r="H146" s="1265">
        <f>SUM(H144:H145)</f>
        <v>18535.681186283597</v>
      </c>
      <c r="I146" s="369">
        <f>J146+L146</f>
        <v>64</v>
      </c>
      <c r="J146" s="370"/>
      <c r="K146" s="370"/>
      <c r="L146" s="368">
        <f>SUM(L144)</f>
        <v>64</v>
      </c>
      <c r="M146" s="365">
        <f>SUM(M144)</f>
        <v>74</v>
      </c>
      <c r="N146" s="366">
        <f>SUM(N144)</f>
        <v>67</v>
      </c>
      <c r="O146" s="1129"/>
      <c r="P146" s="90"/>
      <c r="Q146" s="1364"/>
      <c r="R146" s="714"/>
    </row>
    <row r="147" spans="1:21" ht="13.5" thickBot="1" x14ac:dyDescent="0.25">
      <c r="A147" s="31" t="s">
        <v>24</v>
      </c>
      <c r="B147" s="33" t="s">
        <v>26</v>
      </c>
      <c r="C147" s="2139" t="s">
        <v>27</v>
      </c>
      <c r="D147" s="2154"/>
      <c r="E147" s="2154"/>
      <c r="F147" s="2154"/>
      <c r="G147" s="2353"/>
      <c r="H147" s="1276">
        <f>H146+H143+H140+H138+H136</f>
        <v>1330224.7451343839</v>
      </c>
      <c r="I147" s="1511">
        <f t="shared" ref="I147:N147" si="15">I146+I140+I138+I136+I143</f>
        <v>4593.2</v>
      </c>
      <c r="J147" s="290">
        <f t="shared" si="15"/>
        <v>4376.2</v>
      </c>
      <c r="K147" s="1512">
        <f t="shared" si="15"/>
        <v>0</v>
      </c>
      <c r="L147" s="288">
        <f t="shared" si="15"/>
        <v>217</v>
      </c>
      <c r="M147" s="1">
        <f t="shared" si="15"/>
        <v>5530</v>
      </c>
      <c r="N147" s="1">
        <f t="shared" si="15"/>
        <v>5350</v>
      </c>
      <c r="O147" s="1985"/>
      <c r="P147" s="1986"/>
      <c r="Q147" s="1986"/>
      <c r="R147" s="1987"/>
    </row>
    <row r="148" spans="1:21" ht="13.5" thickBot="1" x14ac:dyDescent="0.25">
      <c r="A148" s="31" t="s">
        <v>24</v>
      </c>
      <c r="B148" s="2199" t="s">
        <v>10</v>
      </c>
      <c r="C148" s="2199"/>
      <c r="D148" s="2199"/>
      <c r="E148" s="2199"/>
      <c r="F148" s="2199"/>
      <c r="G148" s="2199"/>
      <c r="H148" s="1286">
        <f>H147+H125+H118</f>
        <v>3809082.4837812786</v>
      </c>
      <c r="I148" s="301">
        <f>J148+L148</f>
        <v>13152.3</v>
      </c>
      <c r="J148" s="302">
        <f>J147+J125+J118</f>
        <v>5518.5999999999995</v>
      </c>
      <c r="K148" s="302">
        <f>K147+K125+K118</f>
        <v>13.3</v>
      </c>
      <c r="L148" s="303">
        <f>L147+L125+L118</f>
        <v>7633.7000000000007</v>
      </c>
      <c r="M148" s="304">
        <f>M147+M125+M118</f>
        <v>10874.8</v>
      </c>
      <c r="N148" s="1542">
        <f>N147+N125+N118</f>
        <v>17266.3</v>
      </c>
      <c r="O148" s="2159"/>
      <c r="P148" s="2160"/>
      <c r="Q148" s="2160"/>
      <c r="R148" s="2161"/>
    </row>
    <row r="149" spans="1:21" ht="13.5" thickBot="1" x14ac:dyDescent="0.25">
      <c r="A149" s="34" t="s">
        <v>9</v>
      </c>
      <c r="B149" s="2200" t="s">
        <v>11</v>
      </c>
      <c r="C149" s="2200"/>
      <c r="D149" s="2200"/>
      <c r="E149" s="2200"/>
      <c r="F149" s="2200"/>
      <c r="G149" s="2200"/>
      <c r="H149" s="1287">
        <f>H148+H68</f>
        <v>59435125.115848012</v>
      </c>
      <c r="I149" s="305">
        <f>J149+L149</f>
        <v>205245.09999999998</v>
      </c>
      <c r="J149" s="306">
        <f>J148+J68</f>
        <v>197311.19999999998</v>
      </c>
      <c r="K149" s="306">
        <f>K148+K68</f>
        <v>128507.10000000002</v>
      </c>
      <c r="L149" s="307">
        <f>L148+L68</f>
        <v>7933.9000000000005</v>
      </c>
      <c r="M149" s="308">
        <f>M148+M68</f>
        <v>202848.5</v>
      </c>
      <c r="N149" s="1543">
        <f>N148+N68</f>
        <v>208842</v>
      </c>
      <c r="O149" s="2163"/>
      <c r="P149" s="2164"/>
      <c r="Q149" s="2164"/>
      <c r="R149" s="2165"/>
    </row>
    <row r="150" spans="1:21" s="241" customFormat="1" x14ac:dyDescent="0.2">
      <c r="A150" s="1929"/>
      <c r="B150" s="1391"/>
      <c r="C150" s="1391"/>
      <c r="D150" s="1391"/>
      <c r="E150" s="1930"/>
      <c r="F150" s="1930"/>
      <c r="G150" s="1930"/>
      <c r="H150" s="1931"/>
      <c r="I150" s="1389"/>
      <c r="J150" s="1389"/>
      <c r="K150" s="1389"/>
      <c r="L150" s="1389"/>
      <c r="M150" s="1389"/>
      <c r="N150" s="1389"/>
      <c r="O150" s="1389"/>
      <c r="P150" s="1389"/>
      <c r="Q150" s="1389"/>
      <c r="R150" s="1389"/>
    </row>
    <row r="151" spans="1:21" s="5" customFormat="1" ht="13.5" thickBot="1" x14ac:dyDescent="0.25">
      <c r="A151" s="2166" t="s">
        <v>2</v>
      </c>
      <c r="B151" s="2166"/>
      <c r="C151" s="2166"/>
      <c r="D151" s="2166"/>
      <c r="E151" s="2166"/>
      <c r="F151" s="2166"/>
      <c r="G151" s="2166"/>
      <c r="H151" s="2166"/>
      <c r="I151" s="2166"/>
      <c r="J151" s="2166"/>
      <c r="K151" s="2166"/>
      <c r="L151" s="2166"/>
      <c r="M151" s="2166"/>
      <c r="N151" s="2166"/>
      <c r="O151" s="309"/>
      <c r="P151" s="309"/>
      <c r="Q151" s="309"/>
      <c r="R151" s="107"/>
    </row>
    <row r="152" spans="1:21" s="6" customFormat="1" ht="39" thickBot="1" x14ac:dyDescent="0.25">
      <c r="A152" s="2196" t="s">
        <v>3</v>
      </c>
      <c r="B152" s="2197"/>
      <c r="C152" s="2197"/>
      <c r="D152" s="2197"/>
      <c r="E152" s="2197"/>
      <c r="F152" s="2197"/>
      <c r="G152" s="2198"/>
      <c r="H152" s="1384" t="s">
        <v>304</v>
      </c>
      <c r="I152" s="2612" t="s">
        <v>304</v>
      </c>
      <c r="J152" s="2613"/>
      <c r="K152" s="2613"/>
      <c r="L152" s="2614"/>
      <c r="M152" s="1654" t="s">
        <v>305</v>
      </c>
      <c r="N152" s="1654" t="s">
        <v>305</v>
      </c>
      <c r="O152" s="83"/>
      <c r="P152" s="2162"/>
      <c r="Q152" s="2162"/>
      <c r="R152" s="72"/>
      <c r="T152" s="2"/>
      <c r="U152" s="2"/>
    </row>
    <row r="153" spans="1:21" s="6" customFormat="1" x14ac:dyDescent="0.2">
      <c r="A153" s="2186" t="s">
        <v>33</v>
      </c>
      <c r="B153" s="2187"/>
      <c r="C153" s="2187"/>
      <c r="D153" s="2187"/>
      <c r="E153" s="2187"/>
      <c r="F153" s="2187"/>
      <c r="G153" s="2188"/>
      <c r="H153" s="1278">
        <f>SUM(H154:H157)</f>
        <v>58097659.870250233</v>
      </c>
      <c r="I153" s="2184">
        <f>SUM(I154:L157)</f>
        <v>200627.19999999995</v>
      </c>
      <c r="J153" s="2185"/>
      <c r="K153" s="2185"/>
      <c r="L153" s="2521"/>
      <c r="M153" s="86">
        <f>SUM(M154:M157)</f>
        <v>199459.59999999998</v>
      </c>
      <c r="N153" s="86">
        <f>SUM(N154:N157)</f>
        <v>198075.7</v>
      </c>
      <c r="O153" s="84"/>
      <c r="P153" s="2178"/>
      <c r="Q153" s="2178"/>
      <c r="R153" s="72"/>
    </row>
    <row r="154" spans="1:21" s="6" customFormat="1" x14ac:dyDescent="0.2">
      <c r="A154" s="2181" t="s">
        <v>36</v>
      </c>
      <c r="B154" s="2182"/>
      <c r="C154" s="2182"/>
      <c r="D154" s="2182"/>
      <c r="E154" s="2182"/>
      <c r="F154" s="2182"/>
      <c r="G154" s="2183"/>
      <c r="H154" s="1279">
        <f>SUMIF(G12:G144,"sb",H12:H144)</f>
        <v>22897677.247451346</v>
      </c>
      <c r="I154" s="2174">
        <f>SUMIF(G12:G145,"sb",I12:I145)</f>
        <v>79089.999999999971</v>
      </c>
      <c r="J154" s="2175"/>
      <c r="K154" s="2175"/>
      <c r="L154" s="2510"/>
      <c r="M154" s="68">
        <f>SUMIF(G12:G146,"sb",M12:M146)</f>
        <v>77751.699999999968</v>
      </c>
      <c r="N154" s="68">
        <f>SUMIF(G12:G146,"sb",N12:N146)</f>
        <v>76620.299999999988</v>
      </c>
      <c r="O154" s="82"/>
      <c r="P154" s="2169"/>
      <c r="Q154" s="2169"/>
      <c r="R154" s="72"/>
    </row>
    <row r="155" spans="1:21" s="6" customFormat="1" x14ac:dyDescent="0.2">
      <c r="A155" s="2181" t="s">
        <v>44</v>
      </c>
      <c r="B155" s="2182"/>
      <c r="C155" s="2182"/>
      <c r="D155" s="2182"/>
      <c r="E155" s="2182"/>
      <c r="F155" s="2182"/>
      <c r="G155" s="2183"/>
      <c r="H155" s="1279">
        <f>SUMIF(G12:G144,"sb(sp)",H12:H144)</f>
        <v>5008398.9805375347</v>
      </c>
      <c r="I155" s="2514">
        <f>SUMIF(G12:G146,"sb(sp)",I12:I146)</f>
        <v>17292.599999999999</v>
      </c>
      <c r="J155" s="2515"/>
      <c r="K155" s="2515"/>
      <c r="L155" s="2516"/>
      <c r="M155" s="68">
        <f>SUMIF(G12:G146,"sb(sp)",M12:M146)</f>
        <v>17293</v>
      </c>
      <c r="N155" s="68">
        <f>SUMIF(G12:G146,"sb(sp)",N12:N146)</f>
        <v>17293</v>
      </c>
      <c r="O155" s="82"/>
      <c r="P155" s="2169"/>
      <c r="Q155" s="2169"/>
      <c r="R155" s="72"/>
    </row>
    <row r="156" spans="1:21" s="6" customFormat="1" x14ac:dyDescent="0.2">
      <c r="A156" s="2181" t="s">
        <v>37</v>
      </c>
      <c r="B156" s="2182"/>
      <c r="C156" s="2182"/>
      <c r="D156" s="2182"/>
      <c r="E156" s="2182"/>
      <c r="F156" s="2182"/>
      <c r="G156" s="2183"/>
      <c r="H156" s="1279">
        <f>SUMIF(G12:G144,"sb(vb)",H12:H144)</f>
        <v>30191583.642261352</v>
      </c>
      <c r="I156" s="2174">
        <f>SUMIF(G12:G146,"sb(vb)",I12:I146)</f>
        <v>104244.59999999999</v>
      </c>
      <c r="J156" s="2175"/>
      <c r="K156" s="2175"/>
      <c r="L156" s="2510"/>
      <c r="M156" s="69">
        <f>SUMIF(G12:G144,G13,M12:M144)</f>
        <v>104264.90000000001</v>
      </c>
      <c r="N156" s="69">
        <f>SUMIF(G12:G144,G13,N12:N144)</f>
        <v>104162.40000000001</v>
      </c>
      <c r="O156" s="82"/>
      <c r="P156" s="2169"/>
      <c r="Q156" s="2169"/>
      <c r="R156" s="72"/>
    </row>
    <row r="157" spans="1:21" s="6" customFormat="1" ht="13.5" thickBot="1" x14ac:dyDescent="0.25">
      <c r="A157" s="2181" t="s">
        <v>54</v>
      </c>
      <c r="B157" s="2182"/>
      <c r="C157" s="2182"/>
      <c r="D157" s="2182"/>
      <c r="E157" s="2182"/>
      <c r="F157" s="2182"/>
      <c r="G157" s="2183"/>
      <c r="H157" s="1279">
        <f>SUMIF(G12:G144,"sb(p)",H12:H144)</f>
        <v>0</v>
      </c>
      <c r="I157" s="2157">
        <f>SUMIF(G15:G146,"sb(p)",I15:I146)</f>
        <v>0</v>
      </c>
      <c r="J157" s="2158"/>
      <c r="K157" s="2158"/>
      <c r="L157" s="2509"/>
      <c r="M157" s="40">
        <f>SUMIF(G15:G146,"sb(p)",M15:M146)</f>
        <v>150</v>
      </c>
      <c r="N157" s="40">
        <f>SUMIF(G15:G146,#REF!,N15:N146)</f>
        <v>0</v>
      </c>
      <c r="O157" s="82"/>
      <c r="P157" s="2169"/>
      <c r="Q157" s="2169"/>
      <c r="R157" s="72"/>
    </row>
    <row r="158" spans="1:21" s="6" customFormat="1" ht="13.5" thickBot="1" x14ac:dyDescent="0.25">
      <c r="A158" s="2217" t="s">
        <v>34</v>
      </c>
      <c r="B158" s="2218"/>
      <c r="C158" s="2218"/>
      <c r="D158" s="2218"/>
      <c r="E158" s="2218"/>
      <c r="F158" s="2218"/>
      <c r="G158" s="2219"/>
      <c r="H158" s="1280">
        <f>SUM(H159:H160)</f>
        <v>1337465.2455977756</v>
      </c>
      <c r="I158" s="2171">
        <f>SUM(I159:L160)</f>
        <v>4617.8999999999996</v>
      </c>
      <c r="J158" s="2172"/>
      <c r="K158" s="2172"/>
      <c r="L158" s="2507"/>
      <c r="M158" s="35">
        <f>SUM(M159:M160)</f>
        <v>3388.9</v>
      </c>
      <c r="N158" s="35">
        <f>SUM(N159:N159)</f>
        <v>10766.3</v>
      </c>
      <c r="O158" s="60"/>
      <c r="P158" s="2179"/>
      <c r="Q158" s="2179"/>
      <c r="R158" s="72"/>
      <c r="S158" s="1945"/>
      <c r="T158" s="1945"/>
    </row>
    <row r="159" spans="1:21" s="6" customFormat="1" x14ac:dyDescent="0.2">
      <c r="A159" s="2220" t="s">
        <v>38</v>
      </c>
      <c r="B159" s="2221"/>
      <c r="C159" s="2221"/>
      <c r="D159" s="2221"/>
      <c r="E159" s="2221"/>
      <c r="F159" s="2221"/>
      <c r="G159" s="2222"/>
      <c r="H159" s="1281">
        <f>SUMIF(G12:G144,"es",H12:H144)</f>
        <v>319450.88044485636</v>
      </c>
      <c r="I159" s="2157">
        <f>SUMIF(G15:G146,"es",I15:I146)</f>
        <v>1102.9000000000001</v>
      </c>
      <c r="J159" s="2158"/>
      <c r="K159" s="2158"/>
      <c r="L159" s="2158"/>
      <c r="M159" s="9">
        <f>SUMIF(G15:G144,"es",M15:M144)</f>
        <v>388.9</v>
      </c>
      <c r="N159" s="9">
        <f>SUMIF(G15:G146,"es",N15:N146)</f>
        <v>10766.3</v>
      </c>
      <c r="O159" s="45"/>
      <c r="P159" s="2173"/>
      <c r="Q159" s="2173"/>
      <c r="R159" s="72"/>
    </row>
    <row r="160" spans="1:21" s="6" customFormat="1" ht="13.5" thickBot="1" x14ac:dyDescent="0.25">
      <c r="A160" s="2332" t="s">
        <v>297</v>
      </c>
      <c r="B160" s="2333"/>
      <c r="C160" s="2333"/>
      <c r="D160" s="2333"/>
      <c r="E160" s="2333"/>
      <c r="F160" s="2333"/>
      <c r="G160" s="2334"/>
      <c r="H160" s="1282">
        <f>SUMIF(G12:G144,"KVJUD ",H12:H144)</f>
        <v>1018014.3651529193</v>
      </c>
      <c r="I160" s="2174">
        <f>SUMIF(G12:G144,G113,I12:I144)</f>
        <v>3515</v>
      </c>
      <c r="J160" s="2175"/>
      <c r="K160" s="2175"/>
      <c r="L160" s="2510"/>
      <c r="M160" s="70">
        <f>SUMIF(G12:G144,"KVJUD ",M12:M144)</f>
        <v>3000</v>
      </c>
      <c r="N160" s="70"/>
      <c r="O160" s="45"/>
      <c r="P160" s="1324"/>
      <c r="Q160" s="1324"/>
      <c r="R160" s="72"/>
    </row>
    <row r="161" spans="1:18" ht="13.5" thickBot="1" x14ac:dyDescent="0.25">
      <c r="A161" s="2214" t="s">
        <v>35</v>
      </c>
      <c r="B161" s="2215"/>
      <c r="C161" s="2215"/>
      <c r="D161" s="2215"/>
      <c r="E161" s="2215"/>
      <c r="F161" s="2215"/>
      <c r="G161" s="2216"/>
      <c r="H161" s="1283">
        <f>H158+H153</f>
        <v>59435125.115848005</v>
      </c>
      <c r="I161" s="2155">
        <f>I158+I153</f>
        <v>205245.09999999995</v>
      </c>
      <c r="J161" s="2156"/>
      <c r="K161" s="2156"/>
      <c r="L161" s="2156"/>
      <c r="M161" s="426">
        <f>M153+M158</f>
        <v>202848.49999999997</v>
      </c>
      <c r="N161" s="426">
        <f>N158+N153</f>
        <v>208842</v>
      </c>
      <c r="O161" s="84"/>
      <c r="P161" s="2178"/>
      <c r="Q161" s="2178"/>
    </row>
    <row r="163" spans="1:18" x14ac:dyDescent="0.2">
      <c r="D163" s="2"/>
      <c r="E163" s="251"/>
      <c r="F163" s="1346"/>
      <c r="G163" s="125"/>
      <c r="H163" s="1275"/>
      <c r="I163" s="1042"/>
      <c r="J163" s="1043"/>
      <c r="K163" s="1655"/>
      <c r="L163" s="175"/>
      <c r="M163" s="175"/>
      <c r="N163" s="175"/>
    </row>
    <row r="164" spans="1:18" x14ac:dyDescent="0.2">
      <c r="D164" s="2"/>
      <c r="E164" s="251"/>
      <c r="F164" s="1346"/>
      <c r="G164" s="125"/>
      <c r="H164" s="1275"/>
      <c r="I164" s="175"/>
      <c r="J164" s="1655"/>
      <c r="K164" s="1655"/>
      <c r="L164" s="175"/>
      <c r="M164" s="175"/>
      <c r="N164" s="175"/>
      <c r="P164" s="825"/>
    </row>
    <row r="165" spans="1:18" x14ac:dyDescent="0.2">
      <c r="D165" s="2"/>
      <c r="E165" s="251"/>
      <c r="F165" s="1346"/>
      <c r="G165" s="125"/>
      <c r="H165" s="1275"/>
      <c r="I165" s="175"/>
      <c r="J165" s="826"/>
      <c r="K165" s="1655"/>
      <c r="L165" s="175"/>
      <c r="M165" s="175"/>
      <c r="N165" s="175"/>
    </row>
    <row r="166" spans="1:18" x14ac:dyDescent="0.2">
      <c r="D166" s="2"/>
      <c r="E166" s="251"/>
      <c r="F166" s="1346"/>
      <c r="G166" s="125"/>
      <c r="H166" s="1275"/>
      <c r="I166" s="175"/>
      <c r="J166" s="175"/>
      <c r="K166" s="175"/>
      <c r="L166" s="175"/>
      <c r="M166" s="175"/>
      <c r="N166" s="175"/>
    </row>
    <row r="167" spans="1:18" x14ac:dyDescent="0.2">
      <c r="D167" s="2"/>
      <c r="E167" s="251"/>
      <c r="F167" s="1346"/>
      <c r="G167" s="125"/>
      <c r="H167" s="1275"/>
      <c r="I167" s="175"/>
      <c r="J167" s="175"/>
      <c r="K167" s="175"/>
      <c r="L167" s="175"/>
      <c r="M167" s="175"/>
      <c r="N167" s="175"/>
    </row>
    <row r="168" spans="1:18" x14ac:dyDescent="0.2">
      <c r="D168" s="2"/>
      <c r="E168" s="251"/>
      <c r="F168" s="1346"/>
      <c r="G168" s="125"/>
      <c r="H168" s="1275"/>
      <c r="I168" s="175"/>
      <c r="J168" s="175"/>
      <c r="K168" s="175"/>
      <c r="L168" s="175"/>
      <c r="M168" s="175"/>
      <c r="N168" s="175"/>
    </row>
    <row r="169" spans="1:18" x14ac:dyDescent="0.2">
      <c r="D169" s="2"/>
      <c r="E169" s="251"/>
      <c r="F169" s="1346"/>
      <c r="G169" s="125"/>
      <c r="H169" s="1275"/>
      <c r="I169" s="175"/>
      <c r="J169" s="175"/>
      <c r="K169" s="175"/>
      <c r="L169" s="175"/>
      <c r="M169" s="175"/>
      <c r="N169" s="175"/>
    </row>
    <row r="170" spans="1:18" x14ac:dyDescent="0.2">
      <c r="D170" s="2"/>
      <c r="E170" s="251"/>
      <c r="F170" s="1346"/>
      <c r="G170" s="125"/>
      <c r="H170" s="1275"/>
      <c r="I170" s="175"/>
      <c r="J170" s="175"/>
      <c r="K170" s="175"/>
      <c r="L170" s="175"/>
      <c r="M170" s="175"/>
      <c r="N170" s="175"/>
    </row>
    <row r="171" spans="1:18" x14ac:dyDescent="0.2">
      <c r="D171" s="2"/>
      <c r="E171" s="251"/>
      <c r="F171" s="1346"/>
      <c r="G171" s="125"/>
      <c r="H171" s="1275"/>
      <c r="I171" s="175"/>
      <c r="J171" s="175"/>
      <c r="K171" s="175"/>
      <c r="L171" s="175"/>
      <c r="M171" s="175"/>
      <c r="N171" s="175"/>
    </row>
    <row r="172" spans="1:18" x14ac:dyDescent="0.2">
      <c r="D172" s="2"/>
      <c r="E172" s="251"/>
      <c r="F172" s="1346"/>
      <c r="G172" s="125"/>
      <c r="H172" s="1275"/>
      <c r="I172" s="175"/>
      <c r="J172" s="175"/>
      <c r="K172" s="175"/>
      <c r="L172" s="175"/>
      <c r="M172" s="175"/>
      <c r="N172" s="175"/>
    </row>
    <row r="173" spans="1:18" x14ac:dyDescent="0.2">
      <c r="D173" s="2"/>
      <c r="E173" s="251"/>
      <c r="F173" s="1346"/>
      <c r="G173" s="125"/>
      <c r="H173" s="1275"/>
      <c r="I173" s="175"/>
      <c r="J173" s="175"/>
      <c r="K173" s="175"/>
      <c r="L173" s="175"/>
      <c r="M173" s="175"/>
      <c r="N173" s="175"/>
    </row>
    <row r="174" spans="1:18" x14ac:dyDescent="0.2">
      <c r="A174" s="2"/>
      <c r="B174" s="2"/>
      <c r="C174" s="2"/>
      <c r="D174" s="2"/>
      <c r="E174" s="251"/>
      <c r="F174" s="1346"/>
      <c r="G174" s="125"/>
      <c r="H174" s="1275"/>
      <c r="I174" s="175"/>
      <c r="J174" s="175"/>
      <c r="K174" s="175"/>
      <c r="L174" s="175"/>
      <c r="M174" s="175"/>
      <c r="N174" s="175"/>
      <c r="O174" s="2"/>
      <c r="P174" s="2"/>
      <c r="Q174" s="2"/>
      <c r="R174" s="2"/>
    </row>
    <row r="175" spans="1:18" x14ac:dyDescent="0.2">
      <c r="A175" s="2"/>
      <c r="B175" s="2"/>
      <c r="C175" s="2"/>
      <c r="D175" s="2"/>
      <c r="E175" s="251"/>
      <c r="F175" s="1346"/>
      <c r="G175" s="125"/>
      <c r="H175" s="1275"/>
      <c r="I175" s="175"/>
      <c r="J175" s="175"/>
      <c r="K175" s="175"/>
      <c r="L175" s="175"/>
      <c r="M175" s="175"/>
      <c r="N175" s="175"/>
      <c r="O175" s="2"/>
      <c r="P175" s="2"/>
      <c r="Q175" s="2"/>
      <c r="R175" s="2"/>
    </row>
    <row r="176" spans="1:18" x14ac:dyDescent="0.2">
      <c r="A176" s="2"/>
      <c r="B176" s="2"/>
      <c r="C176" s="2"/>
      <c r="D176" s="2"/>
      <c r="E176" s="251"/>
      <c r="F176" s="1346"/>
      <c r="G176" s="125"/>
      <c r="H176" s="1275"/>
      <c r="I176" s="175"/>
      <c r="J176" s="175"/>
      <c r="K176" s="175"/>
      <c r="L176" s="175"/>
      <c r="M176" s="175"/>
      <c r="N176" s="175"/>
      <c r="O176" s="2"/>
      <c r="P176" s="2"/>
      <c r="Q176" s="2"/>
      <c r="R176" s="2"/>
    </row>
    <row r="177" spans="1:18" x14ac:dyDescent="0.2">
      <c r="A177" s="2"/>
      <c r="B177" s="2"/>
      <c r="C177" s="2"/>
      <c r="D177" s="2"/>
      <c r="E177" s="251"/>
      <c r="F177" s="1346"/>
      <c r="G177" s="125"/>
      <c r="H177" s="1275"/>
      <c r="I177" s="175"/>
      <c r="J177" s="175"/>
      <c r="K177" s="175"/>
      <c r="L177" s="175"/>
      <c r="M177" s="175"/>
      <c r="N177" s="175"/>
      <c r="O177" s="2"/>
      <c r="P177" s="2"/>
      <c r="Q177" s="2"/>
      <c r="R177" s="2"/>
    </row>
    <row r="178" spans="1:18" x14ac:dyDescent="0.2">
      <c r="A178" s="2"/>
      <c r="B178" s="2"/>
      <c r="C178" s="2"/>
      <c r="D178" s="2"/>
      <c r="E178" s="251"/>
      <c r="F178" s="1346"/>
      <c r="G178" s="125"/>
      <c r="H178" s="1275"/>
      <c r="I178" s="175"/>
      <c r="J178" s="175"/>
      <c r="K178" s="175"/>
      <c r="L178" s="175"/>
      <c r="M178" s="175"/>
      <c r="N178" s="175"/>
      <c r="O178" s="2"/>
      <c r="P178" s="2"/>
      <c r="Q178" s="2"/>
      <c r="R178" s="2"/>
    </row>
    <row r="179" spans="1:18" x14ac:dyDescent="0.2">
      <c r="A179" s="2"/>
      <c r="B179" s="2"/>
      <c r="C179" s="2"/>
      <c r="D179" s="2"/>
      <c r="E179" s="251"/>
      <c r="F179" s="1346"/>
      <c r="G179" s="125"/>
      <c r="H179" s="1275"/>
      <c r="I179" s="175"/>
      <c r="J179" s="175"/>
      <c r="K179" s="175"/>
      <c r="L179" s="175"/>
      <c r="M179" s="175"/>
      <c r="N179" s="175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251"/>
      <c r="F180" s="1346"/>
      <c r="G180" s="125"/>
      <c r="H180" s="1275"/>
      <c r="I180" s="175"/>
      <c r="J180" s="175"/>
      <c r="K180" s="175"/>
      <c r="L180" s="175"/>
      <c r="M180" s="175"/>
      <c r="N180" s="175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251"/>
      <c r="F181" s="1346"/>
      <c r="G181" s="125"/>
      <c r="H181" s="1275"/>
      <c r="I181" s="175"/>
      <c r="J181" s="175"/>
      <c r="K181" s="175"/>
      <c r="L181" s="175"/>
      <c r="M181" s="175"/>
      <c r="N181" s="175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251"/>
      <c r="F182" s="1346"/>
      <c r="G182" s="125"/>
      <c r="H182" s="1275"/>
      <c r="I182" s="175"/>
      <c r="J182" s="175"/>
      <c r="K182" s="175"/>
      <c r="L182" s="175"/>
      <c r="M182" s="175"/>
      <c r="N182" s="175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251"/>
      <c r="F183" s="1346"/>
      <c r="G183" s="125"/>
      <c r="H183" s="1275"/>
      <c r="I183" s="175"/>
      <c r="J183" s="175"/>
      <c r="K183" s="175"/>
      <c r="L183" s="175"/>
      <c r="M183" s="175"/>
      <c r="N183" s="175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251"/>
      <c r="F184" s="1346"/>
      <c r="G184" s="125"/>
      <c r="H184" s="1275"/>
      <c r="I184" s="175"/>
      <c r="J184" s="175"/>
      <c r="K184" s="175"/>
      <c r="L184" s="175"/>
      <c r="M184" s="175"/>
      <c r="N184" s="175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251"/>
      <c r="F185" s="1346"/>
      <c r="G185" s="125"/>
      <c r="H185" s="1275"/>
      <c r="I185" s="175"/>
      <c r="J185" s="175"/>
      <c r="K185" s="175"/>
      <c r="L185" s="175"/>
      <c r="M185" s="175"/>
      <c r="N185" s="175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251"/>
      <c r="F186" s="1346"/>
      <c r="G186" s="125"/>
      <c r="H186" s="1275"/>
      <c r="I186" s="175"/>
      <c r="J186" s="175"/>
      <c r="K186" s="175"/>
      <c r="L186" s="175"/>
      <c r="M186" s="175"/>
      <c r="N186" s="175"/>
      <c r="O186" s="2"/>
      <c r="P186" s="2"/>
      <c r="Q186" s="2"/>
      <c r="R186" s="2"/>
    </row>
  </sheetData>
  <mergeCells count="251">
    <mergeCell ref="A160:G160"/>
    <mergeCell ref="I160:L160"/>
    <mergeCell ref="A161:G161"/>
    <mergeCell ref="I161:L161"/>
    <mergeCell ref="P161:Q161"/>
    <mergeCell ref="A158:G158"/>
    <mergeCell ref="I158:L158"/>
    <mergeCell ref="P158:Q158"/>
    <mergeCell ref="A159:G159"/>
    <mergeCell ref="I159:L159"/>
    <mergeCell ref="P159:Q159"/>
    <mergeCell ref="A156:G156"/>
    <mergeCell ref="I156:L156"/>
    <mergeCell ref="P156:Q156"/>
    <mergeCell ref="A157:G157"/>
    <mergeCell ref="I157:L157"/>
    <mergeCell ref="P157:Q157"/>
    <mergeCell ref="A154:G154"/>
    <mergeCell ref="I154:L154"/>
    <mergeCell ref="P154:Q154"/>
    <mergeCell ref="A155:G155"/>
    <mergeCell ref="I155:L155"/>
    <mergeCell ref="P155:Q155"/>
    <mergeCell ref="A151:N151"/>
    <mergeCell ref="A152:G152"/>
    <mergeCell ref="I152:L152"/>
    <mergeCell ref="P152:Q152"/>
    <mergeCell ref="A153:G153"/>
    <mergeCell ref="I153:L153"/>
    <mergeCell ref="P153:Q153"/>
    <mergeCell ref="C147:G147"/>
    <mergeCell ref="O147:R147"/>
    <mergeCell ref="B148:G148"/>
    <mergeCell ref="O148:R148"/>
    <mergeCell ref="B149:G149"/>
    <mergeCell ref="O149:R149"/>
    <mergeCell ref="D142:D143"/>
    <mergeCell ref="A144:A146"/>
    <mergeCell ref="B144:B146"/>
    <mergeCell ref="D144:D146"/>
    <mergeCell ref="E144:E146"/>
    <mergeCell ref="F144:F146"/>
    <mergeCell ref="O137:O138"/>
    <mergeCell ref="A139:A140"/>
    <mergeCell ref="B139:B140"/>
    <mergeCell ref="D139:D140"/>
    <mergeCell ref="E139:E140"/>
    <mergeCell ref="F139:F140"/>
    <mergeCell ref="O139:O140"/>
    <mergeCell ref="D135:D136"/>
    <mergeCell ref="E135:E136"/>
    <mergeCell ref="F135:F136"/>
    <mergeCell ref="D137:D138"/>
    <mergeCell ref="E137:E138"/>
    <mergeCell ref="F137:F138"/>
    <mergeCell ref="D122:D124"/>
    <mergeCell ref="E122:E124"/>
    <mergeCell ref="F122:F124"/>
    <mergeCell ref="C125:G125"/>
    <mergeCell ref="O125:R125"/>
    <mergeCell ref="C126:R126"/>
    <mergeCell ref="A120:A121"/>
    <mergeCell ref="B120:B121"/>
    <mergeCell ref="D120:D121"/>
    <mergeCell ref="E120:E121"/>
    <mergeCell ref="F120:F121"/>
    <mergeCell ref="O120:O121"/>
    <mergeCell ref="D116:D117"/>
    <mergeCell ref="E116:E117"/>
    <mergeCell ref="C118:G118"/>
    <mergeCell ref="O118:R118"/>
    <mergeCell ref="C119:E119"/>
    <mergeCell ref="Q119:R119"/>
    <mergeCell ref="D109:D111"/>
    <mergeCell ref="E109:E111"/>
    <mergeCell ref="F109:F111"/>
    <mergeCell ref="O109:O111"/>
    <mergeCell ref="D113:D115"/>
    <mergeCell ref="E113:E115"/>
    <mergeCell ref="F113:F114"/>
    <mergeCell ref="O114:O115"/>
    <mergeCell ref="P103:P105"/>
    <mergeCell ref="Q103:Q105"/>
    <mergeCell ref="R103:R105"/>
    <mergeCell ref="E105:G105"/>
    <mergeCell ref="D106:D108"/>
    <mergeCell ref="E106:E107"/>
    <mergeCell ref="F106:F108"/>
    <mergeCell ref="O106:O108"/>
    <mergeCell ref="F92:F94"/>
    <mergeCell ref="D96:D99"/>
    <mergeCell ref="O96:O100"/>
    <mergeCell ref="D101:D102"/>
    <mergeCell ref="D103:D105"/>
    <mergeCell ref="O103:O105"/>
    <mergeCell ref="D86:D88"/>
    <mergeCell ref="E87:E88"/>
    <mergeCell ref="D89:D91"/>
    <mergeCell ref="E90:E91"/>
    <mergeCell ref="C92:C94"/>
    <mergeCell ref="D92:D94"/>
    <mergeCell ref="C70:R70"/>
    <mergeCell ref="D72:D75"/>
    <mergeCell ref="O72:O74"/>
    <mergeCell ref="D77:D79"/>
    <mergeCell ref="D80:D82"/>
    <mergeCell ref="D83:D85"/>
    <mergeCell ref="O65:O66"/>
    <mergeCell ref="C67:G67"/>
    <mergeCell ref="P67:R67"/>
    <mergeCell ref="B68:G68"/>
    <mergeCell ref="O68:R68"/>
    <mergeCell ref="B69:R69"/>
    <mergeCell ref="A63:A64"/>
    <mergeCell ref="C63:C64"/>
    <mergeCell ref="D63:D64"/>
    <mergeCell ref="E63:E64"/>
    <mergeCell ref="F63:F64"/>
    <mergeCell ref="A65:A66"/>
    <mergeCell ref="C65:C66"/>
    <mergeCell ref="D65:D66"/>
    <mergeCell ref="E65:E66"/>
    <mergeCell ref="F65:F66"/>
    <mergeCell ref="A61:A62"/>
    <mergeCell ref="B61:B62"/>
    <mergeCell ref="C61:C62"/>
    <mergeCell ref="D61:D62"/>
    <mergeCell ref="E61:E62"/>
    <mergeCell ref="F61:F62"/>
    <mergeCell ref="A58:A60"/>
    <mergeCell ref="B58:B60"/>
    <mergeCell ref="C58:C60"/>
    <mergeCell ref="D58:D60"/>
    <mergeCell ref="E58:E60"/>
    <mergeCell ref="F58:F60"/>
    <mergeCell ref="O54:O55"/>
    <mergeCell ref="A56:A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R48:R49"/>
    <mergeCell ref="C50:G50"/>
    <mergeCell ref="O50:R50"/>
    <mergeCell ref="C51:R51"/>
    <mergeCell ref="B52:B53"/>
    <mergeCell ref="C52:C53"/>
    <mergeCell ref="D52:D53"/>
    <mergeCell ref="E52:E53"/>
    <mergeCell ref="F52:F53"/>
    <mergeCell ref="D48:D49"/>
    <mergeCell ref="E48:E49"/>
    <mergeCell ref="F48:F49"/>
    <mergeCell ref="O48:O49"/>
    <mergeCell ref="P48:P49"/>
    <mergeCell ref="Q48:Q49"/>
    <mergeCell ref="R42:R43"/>
    <mergeCell ref="D44:D45"/>
    <mergeCell ref="E44:E45"/>
    <mergeCell ref="F44:F45"/>
    <mergeCell ref="O44:O45"/>
    <mergeCell ref="D46:D47"/>
    <mergeCell ref="E46:E47"/>
    <mergeCell ref="F46:F47"/>
    <mergeCell ref="O40:O41"/>
    <mergeCell ref="P40:P41"/>
    <mergeCell ref="Q40:Q41"/>
    <mergeCell ref="R40:R41"/>
    <mergeCell ref="D42:D43"/>
    <mergeCell ref="E42:E43"/>
    <mergeCell ref="F42:F43"/>
    <mergeCell ref="O42:O43"/>
    <mergeCell ref="P42:P43"/>
    <mergeCell ref="Q42:Q43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O34:O35"/>
    <mergeCell ref="D36:D37"/>
    <mergeCell ref="O29:O31"/>
    <mergeCell ref="P29:P31"/>
    <mergeCell ref="Q29:Q31"/>
    <mergeCell ref="R29:R31"/>
    <mergeCell ref="D32:D33"/>
    <mergeCell ref="E32:E33"/>
    <mergeCell ref="F32:F33"/>
    <mergeCell ref="A29:A31"/>
    <mergeCell ref="B29:B31"/>
    <mergeCell ref="C29:C31"/>
    <mergeCell ref="D29:D31"/>
    <mergeCell ref="E29:E31"/>
    <mergeCell ref="F29:F31"/>
    <mergeCell ref="A27:A28"/>
    <mergeCell ref="B27:B28"/>
    <mergeCell ref="C27:C28"/>
    <mergeCell ref="D27:D28"/>
    <mergeCell ref="E27:E28"/>
    <mergeCell ref="F27:F28"/>
    <mergeCell ref="P20:P21"/>
    <mergeCell ref="Q20:Q21"/>
    <mergeCell ref="R20:R21"/>
    <mergeCell ref="A24:A26"/>
    <mergeCell ref="C24:C26"/>
    <mergeCell ref="D24:D26"/>
    <mergeCell ref="E24:E26"/>
    <mergeCell ref="F24:F26"/>
    <mergeCell ref="D15:D16"/>
    <mergeCell ref="O17:O18"/>
    <mergeCell ref="A20:A22"/>
    <mergeCell ref="C20:C22"/>
    <mergeCell ref="D20:D22"/>
    <mergeCell ref="E20:E22"/>
    <mergeCell ref="F20:F22"/>
    <mergeCell ref="O20:O21"/>
    <mergeCell ref="A8:R8"/>
    <mergeCell ref="A9:R9"/>
    <mergeCell ref="B10:R10"/>
    <mergeCell ref="C11:R11"/>
    <mergeCell ref="C12:C13"/>
    <mergeCell ref="D12:D13"/>
    <mergeCell ref="E12:E13"/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C4:R4"/>
    <mergeCell ref="A5:A7"/>
    <mergeCell ref="B5:B7"/>
    <mergeCell ref="C5:C7"/>
    <mergeCell ref="D5:D7"/>
    <mergeCell ref="E5:E7"/>
    <mergeCell ref="F5:F7"/>
  </mergeCells>
  <printOptions horizontalCentered="1"/>
  <pageMargins left="0.78740157480314965" right="0.19685039370078741" top="0.39370078740157483" bottom="0.39370078740157483" header="0.31496062992125984" footer="0"/>
  <pageSetup paperSize="9" scale="73" orientation="portrait" r:id="rId1"/>
  <rowBreaks count="2" manualBreakCount="2">
    <brk id="68" max="17" man="1"/>
    <brk id="1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8</vt:i4>
      </vt:variant>
    </vt:vector>
  </HeadingPairs>
  <TitlesOfParts>
    <vt:vector size="13" baseType="lpstr">
      <vt:lpstr>2014-2016 SVP</vt:lpstr>
      <vt:lpstr>Asignavimu valdytojų kodai</vt:lpstr>
      <vt:lpstr>10 programa </vt:lpstr>
      <vt:lpstr>Aiškinamoji lentelė</vt:lpstr>
      <vt:lpstr>10 pr. Lt</vt:lpstr>
      <vt:lpstr>'10 pr. Lt'!Print_Area</vt:lpstr>
      <vt:lpstr>'10 programa '!Print_Area</vt:lpstr>
      <vt:lpstr>'2014-2016 SVP'!Print_Area</vt:lpstr>
      <vt:lpstr>'Aiškinamoji lentelė'!Print_Area</vt:lpstr>
      <vt:lpstr>'10 pr. Lt'!Print_Titles</vt:lpstr>
      <vt:lpstr>'10 programa '!Print_Titles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Snieguole Kacerauskaite</cp:lastModifiedBy>
  <cp:lastPrinted>2014-12-18T06:39:07Z</cp:lastPrinted>
  <dcterms:created xsi:type="dcterms:W3CDTF">2006-05-12T05:50:12Z</dcterms:created>
  <dcterms:modified xsi:type="dcterms:W3CDTF">2014-12-18T06:39:24Z</dcterms:modified>
</cp:coreProperties>
</file>