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320" windowHeight="11280" firstSheet="2" activeTab="2"/>
  </bookViews>
  <sheets>
    <sheet name="SVP 2014-2016" sheetId="3" state="hidden" r:id="rId1"/>
    <sheet name="Asignavimu valdytoju kodai" sheetId="2" state="hidden" r:id="rId2"/>
    <sheet name="11 programa" sheetId="7" r:id="rId3"/>
    <sheet name="Lyginamasis" sheetId="6" state="hidden" r:id="rId4"/>
    <sheet name="11 pr. Lt" sheetId="8" state="hidden" r:id="rId5"/>
  </sheets>
  <definedNames>
    <definedName name="_xlnm.Print_Area" localSheetId="2">'11 programa'!$A$1:$R$98</definedName>
    <definedName name="_xlnm.Print_Area" localSheetId="3">Lyginamasis!$A$1:$R$120</definedName>
    <definedName name="_xlnm.Print_Area" localSheetId="0">'SVP 2014-2016'!$A$1:$R$87</definedName>
    <definedName name="_xlnm.Print_Titles" localSheetId="2">'11 programa'!$5:$7</definedName>
    <definedName name="_xlnm.Print_Titles" localSheetId="3">Lyginamasis!$5:$7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I41" i="7" l="1"/>
  <c r="J41" i="7"/>
  <c r="K41" i="7"/>
  <c r="L41" i="7"/>
  <c r="M41" i="7"/>
  <c r="N41" i="7"/>
  <c r="H41" i="7"/>
  <c r="N31" i="7"/>
  <c r="M31" i="7"/>
  <c r="I31" i="7"/>
  <c r="H31" i="7"/>
  <c r="N96" i="6" l="1"/>
  <c r="M96" i="6"/>
  <c r="H96" i="6"/>
  <c r="H81" i="6"/>
  <c r="I46" i="6"/>
  <c r="J46" i="6"/>
  <c r="K46" i="6"/>
  <c r="L46" i="6"/>
  <c r="M46" i="6"/>
  <c r="N46" i="6"/>
  <c r="H46" i="6"/>
  <c r="H43" i="6"/>
  <c r="N36" i="6"/>
  <c r="M36" i="6"/>
  <c r="H36" i="6"/>
  <c r="H35" i="6" l="1"/>
  <c r="M35" i="6"/>
  <c r="N35" i="6"/>
  <c r="I34" i="6" l="1"/>
  <c r="J34" i="6"/>
  <c r="K34" i="6"/>
  <c r="L34" i="6"/>
  <c r="M34" i="6"/>
  <c r="N34" i="6"/>
  <c r="H34" i="6"/>
  <c r="I33" i="6"/>
  <c r="J33" i="6"/>
  <c r="K33" i="6"/>
  <c r="L33" i="6"/>
  <c r="M33" i="6"/>
  <c r="N33" i="6"/>
  <c r="H33" i="6"/>
  <c r="N89" i="6" l="1"/>
  <c r="H89" i="6"/>
  <c r="M89" i="6"/>
  <c r="N81" i="6"/>
  <c r="N80" i="6"/>
  <c r="M80" i="6"/>
  <c r="L80" i="6"/>
  <c r="N79" i="6"/>
  <c r="I79" i="6"/>
  <c r="I80" i="6" s="1"/>
  <c r="H79" i="6"/>
  <c r="H80" i="6" s="1"/>
  <c r="N104" i="6"/>
  <c r="H103" i="6"/>
  <c r="N99" i="6"/>
  <c r="M98" i="6"/>
  <c r="I98" i="6"/>
  <c r="H98" i="6"/>
  <c r="K89" i="6"/>
  <c r="N88" i="6"/>
  <c r="M88" i="6"/>
  <c r="J88" i="6"/>
  <c r="N87" i="6"/>
  <c r="M87" i="6"/>
  <c r="I87" i="6"/>
  <c r="I88" i="6" s="1"/>
  <c r="H87" i="6"/>
  <c r="H88" i="6" s="1"/>
  <c r="N86" i="6"/>
  <c r="M86" i="6"/>
  <c r="L86" i="6"/>
  <c r="L89" i="6" s="1"/>
  <c r="N85" i="6"/>
  <c r="I85" i="6"/>
  <c r="I86" i="6" s="1"/>
  <c r="H85" i="6"/>
  <c r="H86" i="6" s="1"/>
  <c r="N84" i="6"/>
  <c r="H84" i="6"/>
  <c r="N83" i="6"/>
  <c r="M83" i="6"/>
  <c r="M84" i="6" s="1"/>
  <c r="J83" i="6"/>
  <c r="J84" i="6" s="1"/>
  <c r="J89" i="6" s="1"/>
  <c r="H83" i="6"/>
  <c r="N78" i="6"/>
  <c r="M78" i="6"/>
  <c r="J78" i="6"/>
  <c r="I78" i="6" s="1"/>
  <c r="I74" i="6"/>
  <c r="H74" i="6"/>
  <c r="H78" i="6" s="1"/>
  <c r="J73" i="6"/>
  <c r="I73" i="6"/>
  <c r="M72" i="6"/>
  <c r="M73" i="6" s="1"/>
  <c r="I72" i="6"/>
  <c r="H72" i="6"/>
  <c r="H73" i="6" s="1"/>
  <c r="M71" i="6"/>
  <c r="L71" i="6"/>
  <c r="K71" i="6"/>
  <c r="J71" i="6"/>
  <c r="N70" i="6"/>
  <c r="N69" i="6"/>
  <c r="N71" i="6" s="1"/>
  <c r="N68" i="6"/>
  <c r="M67" i="6"/>
  <c r="I67" i="6"/>
  <c r="I71" i="6" s="1"/>
  <c r="H67" i="6"/>
  <c r="H71" i="6" s="1"/>
  <c r="L66" i="6"/>
  <c r="K66" i="6"/>
  <c r="K81" i="6" s="1"/>
  <c r="J66" i="6"/>
  <c r="H66" i="6"/>
  <c r="N65" i="6"/>
  <c r="N98" i="6" s="1"/>
  <c r="N64" i="6"/>
  <c r="N103" i="6" s="1"/>
  <c r="N63" i="6"/>
  <c r="N102" i="6" s="1"/>
  <c r="M62" i="6"/>
  <c r="M66" i="6" s="1"/>
  <c r="I62" i="6"/>
  <c r="I66" i="6" s="1"/>
  <c r="H62" i="6"/>
  <c r="L61" i="6"/>
  <c r="K61" i="6"/>
  <c r="J61" i="6"/>
  <c r="M60" i="6"/>
  <c r="M104" i="6" s="1"/>
  <c r="I60" i="6"/>
  <c r="H60" i="6"/>
  <c r="I59" i="6"/>
  <c r="I100" i="6" s="1"/>
  <c r="H59" i="6"/>
  <c r="H100" i="6" s="1"/>
  <c r="M58" i="6"/>
  <c r="M102" i="6" s="1"/>
  <c r="I58" i="6"/>
  <c r="I102" i="6" s="1"/>
  <c r="H58" i="6"/>
  <c r="H61" i="6" s="1"/>
  <c r="M57" i="6"/>
  <c r="M99" i="6" s="1"/>
  <c r="I57" i="6"/>
  <c r="I99" i="6" s="1"/>
  <c r="H57" i="6"/>
  <c r="H99" i="6" s="1"/>
  <c r="M56" i="6"/>
  <c r="M61" i="6" s="1"/>
  <c r="M54" i="6"/>
  <c r="M55" i="6" s="1"/>
  <c r="L54" i="6"/>
  <c r="L55" i="6" s="1"/>
  <c r="K54" i="6"/>
  <c r="J54" i="6"/>
  <c r="I54" i="6"/>
  <c r="I55" i="6" s="1"/>
  <c r="M53" i="6"/>
  <c r="I53" i="6"/>
  <c r="H53" i="6"/>
  <c r="H54" i="6" s="1"/>
  <c r="N52" i="6"/>
  <c r="N55" i="6" s="1"/>
  <c r="M52" i="6"/>
  <c r="L52" i="6"/>
  <c r="K52" i="6"/>
  <c r="K55" i="6" s="1"/>
  <c r="J52" i="6"/>
  <c r="J55" i="6" s="1"/>
  <c r="I50" i="6"/>
  <c r="I104" i="6" s="1"/>
  <c r="H50" i="6"/>
  <c r="H104" i="6" s="1"/>
  <c r="N49" i="6"/>
  <c r="M49" i="6"/>
  <c r="I49" i="6"/>
  <c r="I52" i="6" s="1"/>
  <c r="H49" i="6"/>
  <c r="H52" i="6" s="1"/>
  <c r="N45" i="6"/>
  <c r="M45" i="6"/>
  <c r="J45" i="6"/>
  <c r="I45" i="6"/>
  <c r="N44" i="6"/>
  <c r="M44" i="6"/>
  <c r="I44" i="6"/>
  <c r="H44" i="6"/>
  <c r="H45" i="6" s="1"/>
  <c r="N43" i="6"/>
  <c r="J43" i="6"/>
  <c r="I43" i="6"/>
  <c r="M43" i="6"/>
  <c r="I36" i="6"/>
  <c r="J35" i="6"/>
  <c r="I35" i="6"/>
  <c r="N31" i="6"/>
  <c r="M31" i="6"/>
  <c r="L31" i="6"/>
  <c r="K31" i="6"/>
  <c r="J31" i="6"/>
  <c r="I31" i="6"/>
  <c r="H31" i="6"/>
  <c r="M30" i="6"/>
  <c r="L30" i="6"/>
  <c r="K30" i="6"/>
  <c r="J30" i="6"/>
  <c r="N22" i="6"/>
  <c r="M22" i="6"/>
  <c r="I22" i="6"/>
  <c r="H22" i="6"/>
  <c r="N21" i="6"/>
  <c r="N97" i="6" s="1"/>
  <c r="M21" i="6"/>
  <c r="M97" i="6" s="1"/>
  <c r="I21" i="6"/>
  <c r="I30" i="6" s="1"/>
  <c r="H21" i="6"/>
  <c r="H30" i="6" s="1"/>
  <c r="L18" i="6"/>
  <c r="K18" i="6"/>
  <c r="K90" i="6" s="1"/>
  <c r="K91" i="6" s="1"/>
  <c r="N17" i="6"/>
  <c r="M17" i="6"/>
  <c r="J17" i="6"/>
  <c r="I17" i="6"/>
  <c r="N16" i="6"/>
  <c r="M16" i="6"/>
  <c r="I16" i="6"/>
  <c r="H16" i="6"/>
  <c r="H17" i="6" s="1"/>
  <c r="N15" i="6"/>
  <c r="J15" i="6"/>
  <c r="J18" i="6" s="1"/>
  <c r="N14" i="6"/>
  <c r="M14" i="6"/>
  <c r="M15" i="6" s="1"/>
  <c r="I14" i="6"/>
  <c r="I15" i="6" s="1"/>
  <c r="H14" i="6"/>
  <c r="H15" i="6" s="1"/>
  <c r="J13" i="6"/>
  <c r="N12" i="6"/>
  <c r="M12" i="6"/>
  <c r="I12" i="6"/>
  <c r="H12" i="6"/>
  <c r="M95" i="6" l="1"/>
  <c r="I101" i="6"/>
  <c r="J81" i="6"/>
  <c r="M81" i="6"/>
  <c r="J90" i="6"/>
  <c r="H55" i="6"/>
  <c r="L81" i="6"/>
  <c r="L90" i="6" s="1"/>
  <c r="L91" i="6" s="1"/>
  <c r="N95" i="6"/>
  <c r="I18" i="6"/>
  <c r="M101" i="6"/>
  <c r="N101" i="6"/>
  <c r="I81" i="6"/>
  <c r="M13" i="6"/>
  <c r="M18" i="6" s="1"/>
  <c r="H13" i="6"/>
  <c r="H18" i="6" s="1"/>
  <c r="N13" i="6"/>
  <c r="N18" i="6" s="1"/>
  <c r="N30" i="6"/>
  <c r="I61" i="6"/>
  <c r="H97" i="6"/>
  <c r="I13" i="6"/>
  <c r="N66" i="6"/>
  <c r="I83" i="6"/>
  <c r="I84" i="6" s="1"/>
  <c r="I89" i="6" s="1"/>
  <c r="I97" i="6"/>
  <c r="H102" i="6"/>
  <c r="H101" i="6" s="1"/>
  <c r="M105" i="6" l="1"/>
  <c r="M90" i="6"/>
  <c r="M91" i="6" s="1"/>
  <c r="H95" i="6"/>
  <c r="H105" i="6" s="1"/>
  <c r="N90" i="6"/>
  <c r="N91" i="6" s="1"/>
  <c r="H90" i="6"/>
  <c r="H91" i="6" s="1"/>
  <c r="J91" i="6"/>
  <c r="I90" i="6"/>
  <c r="I91" i="6" s="1"/>
  <c r="I96" i="6"/>
  <c r="I95" i="6" s="1"/>
  <c r="I105" i="6" s="1"/>
  <c r="N105" i="6"/>
  <c r="H69" i="7"/>
  <c r="H78" i="7" l="1"/>
  <c r="H22" i="7"/>
  <c r="H39" i="7" l="1"/>
  <c r="N39" i="7" l="1"/>
  <c r="M39" i="7"/>
  <c r="N65" i="7" l="1"/>
  <c r="M22" i="7"/>
  <c r="M67" i="7"/>
  <c r="N80" i="7"/>
  <c r="M80" i="7"/>
  <c r="H80" i="7"/>
  <c r="N74" i="7"/>
  <c r="H74" i="7"/>
  <c r="N78" i="7"/>
  <c r="M78" i="7"/>
  <c r="H67" i="7"/>
  <c r="N64" i="7"/>
  <c r="N63" i="7"/>
  <c r="M62" i="7"/>
  <c r="H62" i="7"/>
  <c r="N60" i="7"/>
  <c r="N59" i="7"/>
  <c r="N58" i="7"/>
  <c r="M57" i="7"/>
  <c r="H57" i="7"/>
  <c r="M55" i="7"/>
  <c r="H55" i="7"/>
  <c r="H54" i="7"/>
  <c r="M53" i="7"/>
  <c r="H53" i="7"/>
  <c r="M52" i="7"/>
  <c r="H52" i="7"/>
  <c r="M51" i="7"/>
  <c r="M48" i="7"/>
  <c r="H48" i="7"/>
  <c r="H45" i="7"/>
  <c r="N44" i="7"/>
  <c r="M44" i="7"/>
  <c r="H44" i="7"/>
  <c r="N22" i="7"/>
  <c r="N21" i="7"/>
  <c r="M21" i="7"/>
  <c r="H21" i="7"/>
  <c r="N16" i="7" l="1"/>
  <c r="N17" i="7" s="1"/>
  <c r="M16" i="7"/>
  <c r="H16" i="7"/>
  <c r="N14" i="7"/>
  <c r="M14" i="7"/>
  <c r="H14" i="7"/>
  <c r="N12" i="7"/>
  <c r="M12" i="7"/>
  <c r="H12" i="7"/>
  <c r="J100" i="8"/>
  <c r="I100" i="8"/>
  <c r="H100" i="8"/>
  <c r="J99" i="8"/>
  <c r="H99" i="8"/>
  <c r="J98" i="8"/>
  <c r="I98" i="8"/>
  <c r="H98" i="8"/>
  <c r="I97" i="8"/>
  <c r="H96" i="8"/>
  <c r="J95" i="8"/>
  <c r="I95" i="8"/>
  <c r="H95" i="8"/>
  <c r="J94" i="8"/>
  <c r="I94" i="8"/>
  <c r="H94" i="8"/>
  <c r="J93" i="8"/>
  <c r="I93" i="8"/>
  <c r="H93" i="8"/>
  <c r="J84" i="8"/>
  <c r="I84" i="8"/>
  <c r="H84" i="8"/>
  <c r="J82" i="8"/>
  <c r="I82" i="8"/>
  <c r="H82" i="8"/>
  <c r="J80" i="8"/>
  <c r="I80" i="8"/>
  <c r="H80" i="8"/>
  <c r="J76" i="8"/>
  <c r="I76" i="8"/>
  <c r="H76" i="8"/>
  <c r="I71" i="8"/>
  <c r="H71" i="8"/>
  <c r="J69" i="8"/>
  <c r="I69" i="8"/>
  <c r="H69" i="8"/>
  <c r="J64" i="8"/>
  <c r="I64" i="8"/>
  <c r="H64" i="8"/>
  <c r="I59" i="8"/>
  <c r="H59" i="8"/>
  <c r="I52" i="8"/>
  <c r="H52" i="8"/>
  <c r="H53" i="8" s="1"/>
  <c r="J50" i="8"/>
  <c r="J53" i="8" s="1"/>
  <c r="J77" i="8" s="1"/>
  <c r="I50" i="8"/>
  <c r="I53" i="8" s="1"/>
  <c r="H50" i="8"/>
  <c r="J43" i="8"/>
  <c r="I43" i="8"/>
  <c r="H43" i="8"/>
  <c r="J41" i="8"/>
  <c r="I41" i="8"/>
  <c r="H41" i="8"/>
  <c r="I34" i="8"/>
  <c r="H34" i="8"/>
  <c r="J32" i="8"/>
  <c r="J92" i="8" s="1"/>
  <c r="J91" i="8" s="1"/>
  <c r="J30" i="8"/>
  <c r="H30" i="8"/>
  <c r="I22" i="8"/>
  <c r="I92" i="8" s="1"/>
  <c r="I91" i="8" s="1"/>
  <c r="J17" i="8"/>
  <c r="I17" i="8"/>
  <c r="H17" i="8"/>
  <c r="H18" i="8" s="1"/>
  <c r="J15" i="8"/>
  <c r="I15" i="8"/>
  <c r="I18" i="8" s="1"/>
  <c r="H15" i="8"/>
  <c r="J13" i="8"/>
  <c r="I13" i="8"/>
  <c r="H13" i="8"/>
  <c r="H97" i="7"/>
  <c r="H96" i="7"/>
  <c r="H95" i="7"/>
  <c r="H93" i="7"/>
  <c r="H92" i="7"/>
  <c r="H91" i="7"/>
  <c r="H90" i="7"/>
  <c r="H81" i="7"/>
  <c r="H75" i="7"/>
  <c r="H79" i="7"/>
  <c r="H73" i="7"/>
  <c r="H68" i="7"/>
  <c r="H66" i="7"/>
  <c r="H61" i="7"/>
  <c r="H56" i="7"/>
  <c r="H49" i="7"/>
  <c r="H47" i="7"/>
  <c r="H50" i="7" s="1"/>
  <c r="H40" i="7"/>
  <c r="H38" i="7"/>
  <c r="H30" i="7"/>
  <c r="H17" i="7"/>
  <c r="H15" i="7"/>
  <c r="H13" i="7"/>
  <c r="H82" i="7" l="1"/>
  <c r="H76" i="7"/>
  <c r="H18" i="7"/>
  <c r="H94" i="7"/>
  <c r="H97" i="8"/>
  <c r="H44" i="8"/>
  <c r="J97" i="8"/>
  <c r="J18" i="8"/>
  <c r="I77" i="8"/>
  <c r="J85" i="8"/>
  <c r="I85" i="8"/>
  <c r="H85" i="8"/>
  <c r="H77" i="8"/>
  <c r="J101" i="8"/>
  <c r="H86" i="8"/>
  <c r="H87" i="8" s="1"/>
  <c r="H92" i="8"/>
  <c r="H91" i="8" s="1"/>
  <c r="H101" i="8" s="1"/>
  <c r="I101" i="8"/>
  <c r="I30" i="8"/>
  <c r="I44" i="8" s="1"/>
  <c r="I86" i="8" s="1"/>
  <c r="I87" i="8" s="1"/>
  <c r="J34" i="8"/>
  <c r="J44" i="8" s="1"/>
  <c r="J86" i="8" s="1"/>
  <c r="J87" i="8" s="1"/>
  <c r="N97" i="7"/>
  <c r="M97" i="7"/>
  <c r="N96" i="7"/>
  <c r="N95" i="7"/>
  <c r="M95" i="7"/>
  <c r="N92" i="7"/>
  <c r="M92" i="7"/>
  <c r="N91" i="7"/>
  <c r="M91" i="7"/>
  <c r="I91" i="7"/>
  <c r="N90" i="7"/>
  <c r="M90" i="7"/>
  <c r="K82" i="7"/>
  <c r="N81" i="7"/>
  <c r="M81" i="7"/>
  <c r="J81" i="7"/>
  <c r="I80" i="7"/>
  <c r="I81" i="7" s="1"/>
  <c r="N75" i="7"/>
  <c r="M75" i="7"/>
  <c r="L75" i="7"/>
  <c r="L82" i="7" s="1"/>
  <c r="I75" i="7"/>
  <c r="I74" i="7"/>
  <c r="N79" i="7"/>
  <c r="M79" i="7"/>
  <c r="J78" i="7"/>
  <c r="I78" i="7" s="1"/>
  <c r="I79" i="7" s="1"/>
  <c r="I82" i="7" s="1"/>
  <c r="N73" i="7"/>
  <c r="M73" i="7"/>
  <c r="J73" i="7"/>
  <c r="I73" i="7" s="1"/>
  <c r="I69" i="7"/>
  <c r="M68" i="7"/>
  <c r="J68" i="7"/>
  <c r="I67" i="7"/>
  <c r="I68" i="7" s="1"/>
  <c r="N66" i="7"/>
  <c r="M66" i="7"/>
  <c r="L66" i="7"/>
  <c r="K66" i="7"/>
  <c r="J66" i="7"/>
  <c r="I62" i="7"/>
  <c r="I66" i="7" s="1"/>
  <c r="N61" i="7"/>
  <c r="M61" i="7"/>
  <c r="L61" i="7"/>
  <c r="K61" i="7"/>
  <c r="J61" i="7"/>
  <c r="I57" i="7"/>
  <c r="I61" i="7" s="1"/>
  <c r="M56" i="7"/>
  <c r="L56" i="7"/>
  <c r="K56" i="7"/>
  <c r="J56" i="7"/>
  <c r="I55" i="7"/>
  <c r="I54" i="7"/>
  <c r="I93" i="7" s="1"/>
  <c r="I53" i="7"/>
  <c r="I95" i="7" s="1"/>
  <c r="I52" i="7"/>
  <c r="I92" i="7" s="1"/>
  <c r="M49" i="7"/>
  <c r="L49" i="7"/>
  <c r="K49" i="7"/>
  <c r="K50" i="7" s="1"/>
  <c r="J49" i="7"/>
  <c r="I48" i="7"/>
  <c r="I49" i="7" s="1"/>
  <c r="N47" i="7"/>
  <c r="N50" i="7" s="1"/>
  <c r="M47" i="7"/>
  <c r="L47" i="7"/>
  <c r="K47" i="7"/>
  <c r="J47" i="7"/>
  <c r="I45" i="7"/>
  <c r="I97" i="7" s="1"/>
  <c r="I44" i="7"/>
  <c r="N40" i="7"/>
  <c r="M40" i="7"/>
  <c r="J40" i="7"/>
  <c r="I39" i="7"/>
  <c r="N38" i="7"/>
  <c r="M38" i="7"/>
  <c r="J38" i="7"/>
  <c r="I38" i="7" s="1"/>
  <c r="N89" i="7"/>
  <c r="N30" i="7"/>
  <c r="L30" i="7"/>
  <c r="K30" i="7"/>
  <c r="J30" i="7"/>
  <c r="M89" i="7"/>
  <c r="I22" i="7"/>
  <c r="I21" i="7"/>
  <c r="L18" i="7"/>
  <c r="K18" i="7"/>
  <c r="M17" i="7"/>
  <c r="J17" i="7"/>
  <c r="I17" i="7" s="1"/>
  <c r="I16" i="7"/>
  <c r="N15" i="7"/>
  <c r="M15" i="7"/>
  <c r="J15" i="7"/>
  <c r="I14" i="7"/>
  <c r="I15" i="7" s="1"/>
  <c r="N13" i="7"/>
  <c r="M13" i="7"/>
  <c r="J13" i="7"/>
  <c r="I12" i="7"/>
  <c r="I89" i="7" s="1"/>
  <c r="L50" i="7" l="1"/>
  <c r="M82" i="7"/>
  <c r="N82" i="7"/>
  <c r="N76" i="7"/>
  <c r="H89" i="7"/>
  <c r="H88" i="7" s="1"/>
  <c r="H98" i="7" s="1"/>
  <c r="J50" i="7"/>
  <c r="J76" i="7" s="1"/>
  <c r="L76" i="7"/>
  <c r="L83" i="7" s="1"/>
  <c r="L84" i="7" s="1"/>
  <c r="M18" i="7"/>
  <c r="J18" i="7"/>
  <c r="I30" i="7"/>
  <c r="I47" i="7"/>
  <c r="I50" i="7" s="1"/>
  <c r="M50" i="7"/>
  <c r="M76" i="7" s="1"/>
  <c r="I13" i="7"/>
  <c r="K83" i="7"/>
  <c r="K84" i="7" s="1"/>
  <c r="H83" i="7"/>
  <c r="H84" i="7" s="1"/>
  <c r="M94" i="7"/>
  <c r="M88" i="7"/>
  <c r="N18" i="7"/>
  <c r="N88" i="7"/>
  <c r="N94" i="7"/>
  <c r="I18" i="7"/>
  <c r="I94" i="7"/>
  <c r="K76" i="7"/>
  <c r="J79" i="7"/>
  <c r="J82" i="7" s="1"/>
  <c r="I40" i="7"/>
  <c r="I90" i="7"/>
  <c r="I88" i="7" s="1"/>
  <c r="M30" i="7"/>
  <c r="I56" i="7"/>
  <c r="I98" i="7" l="1"/>
  <c r="J83" i="7"/>
  <c r="I83" i="7" s="1"/>
  <c r="I84" i="7" s="1"/>
  <c r="I76" i="7"/>
  <c r="M83" i="7"/>
  <c r="M84" i="7" s="1"/>
  <c r="N98" i="7"/>
  <c r="M98" i="7"/>
  <c r="N83" i="7"/>
  <c r="N84" i="7" s="1"/>
  <c r="J84" i="7" l="1"/>
  <c r="N77" i="3"/>
  <c r="M77" i="3"/>
  <c r="I77" i="3"/>
  <c r="I84" i="3"/>
  <c r="I78" i="3"/>
  <c r="J63" i="3" l="1"/>
  <c r="I58" i="3"/>
  <c r="N86" i="3" l="1"/>
  <c r="I66" i="3"/>
  <c r="N63" i="3"/>
  <c r="M63" i="3"/>
  <c r="I57" i="3"/>
  <c r="N38" i="3"/>
  <c r="M38" i="3"/>
  <c r="J38" i="3"/>
  <c r="I32" i="3"/>
  <c r="J27" i="3"/>
  <c r="K27" i="3"/>
  <c r="K44" i="3" s="1"/>
  <c r="L27" i="3"/>
  <c r="L44" i="3" s="1"/>
  <c r="M27" i="3"/>
  <c r="I20" i="3" l="1"/>
  <c r="M86" i="3" l="1"/>
  <c r="N85" i="3"/>
  <c r="N84" i="3" s="1"/>
  <c r="M85" i="3"/>
  <c r="N83" i="3"/>
  <c r="M83" i="3"/>
  <c r="N81" i="3"/>
  <c r="M81" i="3"/>
  <c r="I81" i="3"/>
  <c r="N80" i="3"/>
  <c r="M80" i="3"/>
  <c r="J71" i="3"/>
  <c r="N70" i="3"/>
  <c r="N71" i="3" s="1"/>
  <c r="M70" i="3"/>
  <c r="M71" i="3" s="1"/>
  <c r="I70" i="3"/>
  <c r="N69" i="3"/>
  <c r="M69" i="3"/>
  <c r="J69" i="3"/>
  <c r="I69" i="3" s="1"/>
  <c r="I68" i="3"/>
  <c r="J67" i="3"/>
  <c r="I67" i="3" s="1"/>
  <c r="I63" i="3"/>
  <c r="N56" i="3"/>
  <c r="M56" i="3"/>
  <c r="L56" i="3"/>
  <c r="K56" i="3"/>
  <c r="J56" i="3"/>
  <c r="I55" i="3"/>
  <c r="I52" i="3"/>
  <c r="I83" i="3" s="1"/>
  <c r="I51" i="3"/>
  <c r="N48" i="3"/>
  <c r="M48" i="3"/>
  <c r="L48" i="3"/>
  <c r="K48" i="3"/>
  <c r="J48" i="3"/>
  <c r="I47" i="3"/>
  <c r="I86" i="3" s="1"/>
  <c r="J43" i="3"/>
  <c r="I42" i="3"/>
  <c r="I85" i="3" s="1"/>
  <c r="I41" i="3"/>
  <c r="N40" i="3"/>
  <c r="M40" i="3"/>
  <c r="J40" i="3"/>
  <c r="I40" i="3" s="1"/>
  <c r="I39" i="3"/>
  <c r="I38" i="3"/>
  <c r="M79" i="3"/>
  <c r="M31" i="3"/>
  <c r="J31" i="3"/>
  <c r="I31" i="3" s="1"/>
  <c r="I30" i="3"/>
  <c r="N29" i="3"/>
  <c r="N31" i="3" s="1"/>
  <c r="I29" i="3"/>
  <c r="I21" i="3"/>
  <c r="I27" i="3" s="1"/>
  <c r="N20" i="3"/>
  <c r="N17" i="3"/>
  <c r="M17" i="3"/>
  <c r="J17" i="3"/>
  <c r="I17" i="3" s="1"/>
  <c r="I16" i="3"/>
  <c r="N15" i="3"/>
  <c r="M15" i="3"/>
  <c r="J15" i="3"/>
  <c r="I15" i="3" s="1"/>
  <c r="I14" i="3"/>
  <c r="N13" i="3"/>
  <c r="N18" i="3" s="1"/>
  <c r="M13" i="3"/>
  <c r="J13" i="3"/>
  <c r="I13" i="3" s="1"/>
  <c r="I12" i="3"/>
  <c r="N72" i="3" l="1"/>
  <c r="N27" i="3"/>
  <c r="N79" i="3"/>
  <c r="M78" i="3"/>
  <c r="M72" i="3"/>
  <c r="I71" i="3"/>
  <c r="J72" i="3"/>
  <c r="I72" i="3" s="1"/>
  <c r="M44" i="3"/>
  <c r="N44" i="3"/>
  <c r="I43" i="3"/>
  <c r="J44" i="3"/>
  <c r="I44" i="3" s="1"/>
  <c r="M18" i="3"/>
  <c r="J18" i="3"/>
  <c r="I18" i="3" s="1"/>
  <c r="M84" i="3"/>
  <c r="L64" i="3"/>
  <c r="L73" i="3" s="1"/>
  <c r="L74" i="3" s="1"/>
  <c r="J64" i="3"/>
  <c r="M64" i="3"/>
  <c r="I79" i="3"/>
  <c r="N64" i="3"/>
  <c r="I48" i="3"/>
  <c r="I56" i="3"/>
  <c r="K64" i="3"/>
  <c r="K73" i="3" s="1"/>
  <c r="K74" i="3" s="1"/>
  <c r="I80" i="3"/>
  <c r="M87" i="3" l="1"/>
  <c r="I87" i="3"/>
  <c r="I64" i="3"/>
  <c r="N78" i="3"/>
  <c r="N87" i="3" s="1"/>
  <c r="J73" i="3"/>
  <c r="I73" i="3" l="1"/>
  <c r="J74" i="3"/>
  <c r="I74" i="3" s="1"/>
  <c r="M73" i="3" l="1"/>
  <c r="M74" i="3" s="1"/>
  <c r="N73" i="3"/>
  <c r="N74" i="3" s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67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comments2.xml><?xml version="1.0" encoding="utf-8"?>
<comments xmlns="http://schemas.openxmlformats.org/spreadsheetml/2006/main">
  <authors>
    <author>Sniega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</commentList>
</comments>
</file>

<file path=xl/comments3.xml><?xml version="1.0" encoding="utf-8"?>
<comments xmlns="http://schemas.openxmlformats.org/spreadsheetml/2006/main">
  <authors>
    <author>Sniega</author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70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sharedStrings.xml><?xml version="1.0" encoding="utf-8"?>
<sst xmlns="http://schemas.openxmlformats.org/spreadsheetml/2006/main" count="1018" uniqueCount="205">
  <si>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</si>
  <si>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</si>
  <si>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</si>
  <si>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</si>
  <si>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</si>
  <si>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</si>
  <si>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</si>
  <si>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</si>
  <si>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</si>
  <si>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</si>
  <si>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</si>
  <si>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</si>
  <si>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</si>
  <si>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</si>
  <si>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</si>
  <si>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</si>
  <si>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</si>
  <si>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</si>
  <si>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</si>
  <si>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08</t>
  </si>
  <si>
    <t>2</t>
  </si>
  <si>
    <t>SB</t>
  </si>
  <si>
    <t>Iš viso:</t>
  </si>
  <si>
    <t>02</t>
  </si>
  <si>
    <t>6</t>
  </si>
  <si>
    <t>Kt</t>
  </si>
  <si>
    <t>03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</si>
  <si>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</si>
  <si>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</si>
  <si>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</si>
  <si>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</si>
  <si>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</si>
  <si>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</si>
  <si>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</si>
  <si>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</si>
  <si>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</si>
  <si>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</si>
  <si>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</si>
  <si>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</si>
  <si>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</si>
  <si>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</si>
  <si>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</si>
  <si>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</si>
  <si>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</si>
  <si>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</si>
  <si>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</si>
  <si>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</si>
  <si>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</si>
  <si>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</si>
  <si>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</si>
  <si>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</si>
  <si>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</si>
  <si>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</si>
  <si>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</si>
  <si>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</si>
  <si>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</si>
  <si>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</si>
  <si>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</si>
  <si>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</si>
  <si>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</si>
  <si>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</si>
  <si>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</si>
  <si>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</si>
  <si>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</si>
  <si>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</si>
  <si>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</si>
  <si>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</si>
  <si>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</si>
  <si>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</si>
  <si>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</si>
  <si>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</si>
  <si>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</si>
  <si>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</si>
  <si>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</si>
  <si>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</si>
  <si>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</si>
  <si>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</si>
  <si>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</si>
  <si>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</si>
  <si>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</si>
  <si>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</si>
  <si>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KŪNO KULTŪROS IR SPORTO PLĖTROS PROGRAMOS NR. 11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</si>
  <si>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</si>
  <si>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</si>
  <si>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</si>
  <si>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</si>
  <si>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</si>
  <si>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2016-ųjų metų lėšų projektas</t>
  </si>
  <si>
    <t>Pritraukti didesnį dalyvių skaičių, užtikrinant sporto renginių organizavimo kokybę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</si>
  <si>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</si>
  <si>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Vidutinis sportininkų, dalyvavusių programose, skaičius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</si>
  <si>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</si>
  <si>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</si>
  <si>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</si>
  <si>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</si>
  <si>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</si>
  <si>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</si>
  <si>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</si>
  <si>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</si>
  <si>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</si>
  <si>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</si>
  <si>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</si>
  <si>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</si>
  <si>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</si>
  <si>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</si>
  <si>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</si>
  <si>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Nugriauta VIP tribūna ir įrengta nauja, įrengta vaizdo stebėjimo kamera.
Užbaigtumas, proc.</t>
  </si>
  <si>
    <t>Finansuota programų, vnt.</t>
  </si>
  <si>
    <t>Parengtas techninis projektas</t>
  </si>
  <si>
    <t>P1.6.3.2</t>
  </si>
  <si>
    <t>P1.6.1.5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</si>
  <si>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</si>
  <si>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</si>
  <si>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</si>
  <si>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</si>
  <si>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</si>
  <si>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</si>
  <si>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Finansuota programų, sk.</t>
  </si>
  <si>
    <t>Suremontuota sporto objektų, sk.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</si>
  <si>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</si>
  <si>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</si>
  <si>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</si>
  <si>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</si>
  <si>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</si>
  <si>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</si>
  <si>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Sporto salės stogo dangos remontas (Taikos pr. 61a);</t>
  </si>
  <si>
    <t xml:space="preserve">2014–2016 M. KLAIPĖDOS MIESTO SAVIVALDYBĖS 
</t>
  </si>
  <si>
    <t>2015-ųjų metų lėšų planas</t>
  </si>
  <si>
    <t>2016-ųjų metų lėšų planas</t>
  </si>
  <si>
    <t>2015 m. planas</t>
  </si>
  <si>
    <t>2016 m. planas</t>
  </si>
  <si>
    <t xml:space="preserve">2014–2017 M. KLAIPĖDOS MIESTO SAVIVALDYBĖS 
</t>
  </si>
  <si>
    <t>2017-ųjų metų lėšų projektas</t>
  </si>
  <si>
    <t>2017-ieji metai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</si>
  <si>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</si>
  <si>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</si>
  <si>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 xml:space="preserve">Irklavimo bazės (Gluosnių g. 8) modernizavimas </t>
  </si>
  <si>
    <t>I</t>
  </si>
  <si>
    <t>LRVB</t>
  </si>
  <si>
    <t>P1.6.3.6</t>
  </si>
  <si>
    <t>1.6.3.3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</si>
  <si>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</si>
  <si>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Parengtas techninis projektas, vnt.
</t>
  </si>
  <si>
    <t>Atlikta statybos darbų, proc.</t>
  </si>
  <si>
    <t>Atlikta modernizavimo darbų, proc.</t>
  </si>
  <si>
    <t>Atlikta darbų, proc.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</si>
  <si>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</si>
  <si>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BĮ Klaipėdos miesto lengvosios atletikos mokykloje</t>
  </si>
  <si>
    <t>Atlikti centrinio stadiono vakarinės pusės dengtų tribūnų įrengimo darbai, proc.</t>
  </si>
  <si>
    <t xml:space="preserve">Atlikti stadiono naujų bėgimo takų įrengimo darbai, proc. </t>
  </si>
  <si>
    <t>Atlikti įėjimo vartų į centrinį stadioną įrengimo darbai, proc.</t>
  </si>
  <si>
    <t>sporto klubų, dalyvaujančių regioniniuose, šalies ar tarptautiniuose mėgėjiško sporto renginiuose</t>
  </si>
  <si>
    <t>Sporto salės stogo dangos remontas (Taikos pr. 61a)</t>
  </si>
  <si>
    <t xml:space="preserve">Klaipėdos centrinio stadiono Sportininkų g. 46 rekonstrukcija (II–IV etapai) </t>
  </si>
  <si>
    <t>06</t>
  </si>
  <si>
    <t>1.6.3.4</t>
  </si>
  <si>
    <t>Klaipėdos sporto sveikatingumo bazės komplekso (Smiltynės g. 13) panaudojimo galimybių studijos parengimas</t>
  </si>
  <si>
    <t>Parengta galimybių studija, vnt.</t>
  </si>
  <si>
    <t>Atlikti centrinio stadiono rytinės pusės dengtų tribūnų įrengimo darbai, proc.</t>
  </si>
  <si>
    <t>Sporto pratybų vykdymo švietimo įstaigų patalpose paslaugos finansavimas</t>
  </si>
  <si>
    <t>Atliktas smulkus patalpų remontas, įstaigų sk.</t>
  </si>
  <si>
    <t>Apmokėta paslauga, valandų sk.</t>
  </si>
  <si>
    <t>Biudžetinių įstaigų patalpų būklės gerinimas</t>
  </si>
  <si>
    <t>Įsigytas autobusas, vnt.</t>
  </si>
  <si>
    <t>Futbolo aikštė paruošta dirbtinės dangos paklojimui, proc.</t>
  </si>
  <si>
    <t>Futbolo aikštės dangos atnaujinimas prie „Pajūrio“ pagrindinės mokyklos</t>
  </si>
  <si>
    <t>07</t>
  </si>
  <si>
    <t>Miesto stadionų atnaujinimas: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</si>
  <si>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</si>
  <si>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</si>
  <si>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(P. Komunos g. 16 a)</t>
    </r>
  </si>
  <si>
    <t>Klaipėdos miesto savivaldybės jachtos „Lietuva“ remontas</t>
  </si>
  <si>
    <t>Atlikti kasmetiniai laivo priežiūros darbai, įsigyta gelbėjimosi įranga, parengtumas dalyvauti regatoje, %</t>
  </si>
  <si>
    <t>Suorganizuota renginių, sk. (2015 m. -  Europos jaunimo sunkiosios atletikos čempionatas)</t>
  </si>
  <si>
    <t>Atlikta dirbtinės aikštės tvarkymo darbų, proc.</t>
  </si>
  <si>
    <t>Atlikta sporto salės nuotekų vamzdyno remonto darbų, proc.</t>
  </si>
  <si>
    <t>Atlikta  sporto salės stogo remonto darbų, proc.</t>
  </si>
  <si>
    <t>Atliktas Lengvosios atletikos mokyklos pastato vamzdyno remontas, proc.</t>
  </si>
  <si>
    <t>Atlikti Centrinio stadiono sportavimo sąlygų gerinimo darbai, proc.</t>
  </si>
  <si>
    <t>Iš viso priemonei:</t>
  </si>
  <si>
    <t>2015-ųjų m. asignavimų planas</t>
  </si>
  <si>
    <t>2015 m. asignavimų planas</t>
  </si>
  <si>
    <t>2016 m. lėšų projektas</t>
  </si>
  <si>
    <t>2017 m. lėšų projektas</t>
  </si>
  <si>
    <t>Futbolo aikštės dangos įrengimas prie „Pajūrio“ pagrindinės mokyklos</t>
  </si>
  <si>
    <t>Suorganizuota pagerbimo ir viešinimo renginių, skaičius</t>
  </si>
  <si>
    <t>Suorganizuota renginių, skaičius</t>
  </si>
  <si>
    <t>Atliktas smulkus patalpų remontas, įstaigų skaičius</t>
  </si>
  <si>
    <t>Iš dalies finansuota programų, skaičius</t>
  </si>
  <si>
    <t>Skirta stipendijų sportininkams, skaičius</t>
  </si>
  <si>
    <t>Planas</t>
  </si>
  <si>
    <t>Suorganizuota renginių, skaičius (2015 m. –  Europos jaunimo sunkiosios atletikos čempionatas)</t>
  </si>
  <si>
    <t>Apmokėta paslauga, valandų skaičius</t>
  </si>
  <si>
    <t>Eur</t>
  </si>
  <si>
    <t xml:space="preserve">Dalyvavusiųjų sporto ir sveikatingumo renginiuose skaičius, tūkst. žmonių </t>
  </si>
  <si>
    <t>Renginių „Sportas visiems“ (festivalių, akcijų, miesto sporto švenčių) programų sukūrimas ir įgyvendinimas</t>
  </si>
  <si>
    <t>sporto klubų, dalyvaujančių judėjime „Sportas visiems“</t>
  </si>
  <si>
    <t>neįgaliųjų sporto klubų</t>
  </si>
  <si>
    <t>tradicinių, tarptautinių sporto renginių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</si>
  <si>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(Paryžiaus Komunos g. 16A)</t>
    </r>
  </si>
  <si>
    <t>Sporto salės stogo dangos remontas (Taikos pr. 61A)</t>
  </si>
  <si>
    <t>Sąlygų ugdytis viešosiose sporto įstaigose sudarymas</t>
  </si>
  <si>
    <t>"SB"</t>
  </si>
  <si>
    <t xml:space="preserve">2015–2017 M. KLAIPĖDOS MIESTO SAVIVALDYBĖS 
</t>
  </si>
  <si>
    <t xml:space="preserve">buriavimo, irklavimo, baidarių ir kanojų irklavimo sporto šakų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</si>
</sst>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</font>
    <font>
      <b/>
      <sz val="1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trike/>
      <sz val="10"/>
      <color rgb="FFFF0000"/>
      <name val="Cambria"/>
      <family val="1"/>
      <charset val="186"/>
    </font>
    <font>
      <strike/>
      <sz val="10"/>
      <color rgb="FFFF0000"/>
      <name val="Cambria"/>
      <family val="1"/>
      <charset val="186"/>
    </font>
    <font>
      <strike/>
      <sz val="9"/>
      <color rgb="FFFF0000"/>
      <name val="Cambria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54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49" fontId="4" fillId="4" borderId="7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6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60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2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64" fontId="2" fillId="0" borderId="0" xfId="0" applyNumberFormat="1" applyFont="1"/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164" fontId="3" fillId="3" borderId="31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5" fillId="4" borderId="6" xfId="0" applyNumberFormat="1" applyFont="1" applyFill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4" borderId="27" xfId="0" applyNumberFormat="1" applyFont="1" applyFill="1" applyBorder="1" applyAlignment="1">
      <alignment horizontal="right" vertical="top"/>
    </xf>
    <xf numFmtId="0" fontId="1" fillId="0" borderId="72" xfId="0" applyFont="1" applyBorder="1" applyAlignment="1">
      <alignment vertical="top"/>
    </xf>
    <xf numFmtId="164" fontId="5" fillId="4" borderId="73" xfId="0" applyNumberFormat="1" applyFont="1" applyFill="1" applyBorder="1" applyAlignment="1">
      <alignment horizontal="center" vertical="top" wrapText="1"/>
    </xf>
    <xf numFmtId="164" fontId="1" fillId="4" borderId="60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7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7" xfId="0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7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6" xfId="0" applyNumberFormat="1" applyFont="1" applyFill="1" applyBorder="1" applyAlignment="1">
      <alignment horizontal="center" vertical="top" wrapText="1"/>
    </xf>
    <xf numFmtId="164" fontId="4" fillId="8" borderId="67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0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6" xfId="0" applyNumberFormat="1" applyFont="1" applyFill="1" applyBorder="1" applyAlignment="1">
      <alignment horizontal="center" vertical="top"/>
    </xf>
    <xf numFmtId="49" fontId="3" fillId="8" borderId="66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3" fillId="8" borderId="67" xfId="0" applyNumberFormat="1" applyFont="1" applyFill="1" applyBorder="1" applyAlignment="1">
      <alignment vertical="top"/>
    </xf>
    <xf numFmtId="164" fontId="3" fillId="8" borderId="66" xfId="0" applyNumberFormat="1" applyFont="1" applyFill="1" applyBorder="1" applyAlignment="1">
      <alignment vertical="top"/>
    </xf>
    <xf numFmtId="1" fontId="5" fillId="0" borderId="15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7" fillId="0" borderId="0" xfId="0" applyFont="1"/>
    <xf numFmtId="0" fontId="17" fillId="0" borderId="45" xfId="0" applyFont="1" applyBorder="1" applyAlignment="1">
      <alignment horizontal="center" vertical="top" wrapText="1"/>
    </xf>
    <xf numFmtId="0" fontId="17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6" xfId="0" applyFont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164" fontId="1" fillId="4" borderId="7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4" borderId="16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164" fontId="3" fillId="8" borderId="70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 wrapText="1"/>
    </xf>
    <xf numFmtId="49" fontId="1" fillId="0" borderId="72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7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5" fillId="8" borderId="52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64" fontId="5" fillId="8" borderId="4" xfId="0" applyNumberFormat="1" applyFont="1" applyFill="1" applyBorder="1" applyAlignment="1">
      <alignment vertical="top"/>
    </xf>
    <xf numFmtId="164" fontId="5" fillId="8" borderId="34" xfId="0" applyNumberFormat="1" applyFont="1" applyFill="1" applyBorder="1" applyAlignment="1">
      <alignment horizontal="center" vertical="top"/>
    </xf>
    <xf numFmtId="0" fontId="5" fillId="8" borderId="34" xfId="0" applyFont="1" applyFill="1" applyBorder="1" applyAlignment="1">
      <alignment horizontal="center" vertical="top"/>
    </xf>
    <xf numFmtId="0" fontId="5" fillId="8" borderId="16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164" fontId="5" fillId="4" borderId="77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top"/>
    </xf>
    <xf numFmtId="0" fontId="10" fillId="4" borderId="15" xfId="0" applyFont="1" applyFill="1" applyBorder="1" applyAlignment="1">
      <alignment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/>
    </xf>
    <xf numFmtId="0" fontId="5" fillId="8" borderId="28" xfId="0" applyFont="1" applyFill="1" applyBorder="1" applyAlignment="1">
      <alignment horizontal="center" vertical="top"/>
    </xf>
    <xf numFmtId="0" fontId="5" fillId="8" borderId="29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left" vertical="top" wrapText="1"/>
    </xf>
    <xf numFmtId="0" fontId="18" fillId="0" borderId="15" xfId="0" applyNumberFormat="1" applyFont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3" fillId="8" borderId="67" xfId="0" applyFont="1" applyFill="1" applyBorder="1" applyAlignment="1">
      <alignment horizontal="right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8" borderId="70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6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0" borderId="58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center"/>
    </xf>
    <xf numFmtId="164" fontId="3" fillId="8" borderId="68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left" vertical="top" wrapText="1"/>
    </xf>
    <xf numFmtId="0" fontId="1" fillId="0" borderId="45" xfId="0" applyNumberFormat="1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5" fillId="0" borderId="45" xfId="0" applyNumberFormat="1" applyFont="1" applyBorder="1" applyAlignment="1">
      <alignment horizontal="center" vertical="top"/>
    </xf>
    <xf numFmtId="49" fontId="4" fillId="0" borderId="23" xfId="0" applyNumberFormat="1" applyFont="1" applyFill="1" applyBorder="1" applyAlignment="1">
      <alignment vertical="center" textRotation="90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164" fontId="1" fillId="4" borderId="41" xfId="0" applyNumberFormat="1" applyFont="1" applyFill="1" applyBorder="1" applyAlignment="1">
      <alignment horizontal="center" vertical="top" wrapText="1"/>
    </xf>
    <xf numFmtId="164" fontId="4" fillId="8" borderId="24" xfId="0" applyNumberFormat="1" applyFont="1" applyFill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10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left" vertical="top" wrapText="1"/>
    </xf>
    <xf numFmtId="164" fontId="4" fillId="3" borderId="3" xfId="0" applyNumberFormat="1" applyFont="1" applyFill="1" applyBorder="1" applyAlignment="1">
      <alignment horizontal="center" vertical="top"/>
    </xf>
    <xf numFmtId="164" fontId="3" fillId="8" borderId="66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49" fontId="1" fillId="0" borderId="45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56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44" xfId="0" applyNumberFormat="1" applyFont="1" applyBorder="1" applyAlignment="1">
      <alignment horizontal="left" vertical="top" wrapText="1"/>
    </xf>
    <xf numFmtId="164" fontId="5" fillId="0" borderId="4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 wrapText="1"/>
    </xf>
    <xf numFmtId="0" fontId="1" fillId="0" borderId="61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left" vertical="top"/>
    </xf>
    <xf numFmtId="0" fontId="4" fillId="0" borderId="38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6" xfId="0" applyNumberFormat="1" applyFont="1" applyFill="1" applyBorder="1" applyAlignment="1">
      <alignment horizontal="center" vertical="top" wrapText="1"/>
    </xf>
    <xf numFmtId="164" fontId="4" fillId="2" borderId="62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164" fontId="3" fillId="0" borderId="73" xfId="0" applyNumberFormat="1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center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0" fontId="1" fillId="0" borderId="5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0" fontId="1" fillId="0" borderId="53" xfId="0" applyNumberFormat="1" applyFont="1" applyBorder="1" applyAlignment="1">
      <alignment horizontal="center" vertical="top" wrapText="1"/>
    </xf>
    <xf numFmtId="164" fontId="4" fillId="3" borderId="19" xfId="0" applyNumberFormat="1" applyFont="1" applyFill="1" applyBorder="1" applyAlignment="1">
      <alignment horizontal="left" vertical="top"/>
    </xf>
    <xf numFmtId="0" fontId="4" fillId="3" borderId="39" xfId="0" applyNumberFormat="1" applyFont="1" applyFill="1" applyBorder="1" applyAlignment="1">
      <alignment horizontal="center" vertical="top"/>
    </xf>
    <xf numFmtId="0" fontId="4" fillId="3" borderId="40" xfId="0" applyNumberFormat="1" applyFont="1" applyFill="1" applyBorder="1" applyAlignment="1">
      <alignment horizontal="center" vertical="top"/>
    </xf>
    <xf numFmtId="164" fontId="4" fillId="2" borderId="39" xfId="0" applyNumberFormat="1" applyFont="1" applyFill="1" applyBorder="1" applyAlignment="1">
      <alignment horizontal="left" vertical="top"/>
    </xf>
    <xf numFmtId="0" fontId="4" fillId="2" borderId="39" xfId="0" applyNumberFormat="1" applyFont="1" applyFill="1" applyBorder="1" applyAlignment="1">
      <alignment horizontal="center" vertical="top"/>
    </xf>
    <xf numFmtId="0" fontId="4" fillId="2" borderId="4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left" vertical="top"/>
    </xf>
    <xf numFmtId="0" fontId="4" fillId="5" borderId="32" xfId="0" applyNumberFormat="1" applyFont="1" applyFill="1" applyBorder="1" applyAlignment="1">
      <alignment horizontal="center" vertical="top"/>
    </xf>
    <xf numFmtId="0" fontId="4" fillId="5" borderId="24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164" fontId="1" fillId="4" borderId="73" xfId="0" applyNumberFormat="1" applyFont="1" applyFill="1" applyBorder="1" applyAlignment="1">
      <alignment horizontal="center" vertical="top"/>
    </xf>
    <xf numFmtId="164" fontId="1" fillId="4" borderId="77" xfId="0" applyNumberFormat="1" applyFont="1" applyFill="1" applyBorder="1" applyAlignment="1">
      <alignment horizontal="center" vertical="top"/>
    </xf>
    <xf numFmtId="164" fontId="5" fillId="0" borderId="73" xfId="0" applyNumberFormat="1" applyFont="1" applyBorder="1" applyAlignment="1">
      <alignment horizontal="center" vertical="top"/>
    </xf>
    <xf numFmtId="164" fontId="5" fillId="0" borderId="7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top"/>
    </xf>
    <xf numFmtId="0" fontId="1" fillId="0" borderId="59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Fill="1" applyBorder="1" applyAlignment="1">
      <alignment vertical="center" textRotation="90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/>
    </xf>
    <xf numFmtId="164" fontId="1" fillId="0" borderId="75" xfId="0" applyNumberFormat="1" applyFont="1" applyFill="1" applyBorder="1" applyAlignment="1">
      <alignment horizontal="left" vertical="top" wrapText="1"/>
    </xf>
    <xf numFmtId="0" fontId="1" fillId="0" borderId="49" xfId="0" applyNumberFormat="1" applyFont="1" applyFill="1" applyBorder="1" applyAlignment="1">
      <alignment horizontal="center" vertical="top" wrapText="1"/>
    </xf>
    <xf numFmtId="0" fontId="1" fillId="0" borderId="75" xfId="0" applyNumberFormat="1" applyFont="1" applyFill="1" applyBorder="1" applyAlignment="1">
      <alignment horizontal="center" vertical="top" wrapText="1"/>
    </xf>
    <xf numFmtId="0" fontId="5" fillId="0" borderId="50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vertical="top"/>
    </xf>
    <xf numFmtId="49" fontId="4" fillId="2" borderId="19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vertical="top"/>
    </xf>
    <xf numFmtId="49" fontId="4" fillId="3" borderId="5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vertical="top"/>
    </xf>
    <xf numFmtId="49" fontId="4" fillId="3" borderId="15" xfId="0" applyNumberFormat="1" applyFont="1" applyFill="1" applyBorder="1" applyAlignment="1">
      <alignment vertical="top"/>
    </xf>
    <xf numFmtId="49" fontId="4" fillId="4" borderId="34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9" fontId="4" fillId="3" borderId="9" xfId="0" applyNumberFormat="1" applyFont="1" applyFill="1" applyBorder="1" applyAlignment="1">
      <alignment vertical="top"/>
    </xf>
    <xf numFmtId="49" fontId="4" fillId="4" borderId="38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4" borderId="0" xfId="0" applyNumberFormat="1" applyFont="1" applyFill="1" applyBorder="1" applyAlignment="1">
      <alignment vertical="top"/>
    </xf>
    <xf numFmtId="49" fontId="14" fillId="2" borderId="18" xfId="0" applyNumberFormat="1" applyFont="1" applyFill="1" applyBorder="1" applyAlignment="1">
      <alignment vertical="top"/>
    </xf>
    <xf numFmtId="49" fontId="14" fillId="3" borderId="5" xfId="0" applyNumberFormat="1" applyFont="1" applyFill="1" applyBorder="1" applyAlignment="1">
      <alignment vertical="top"/>
    </xf>
    <xf numFmtId="49" fontId="14" fillId="2" borderId="4" xfId="0" applyNumberFormat="1" applyFont="1" applyFill="1" applyBorder="1" applyAlignment="1">
      <alignment vertical="top"/>
    </xf>
    <xf numFmtId="49" fontId="14" fillId="3" borderId="15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vertical="top"/>
    </xf>
    <xf numFmtId="49" fontId="14" fillId="3" borderId="9" xfId="0" applyNumberFormat="1" applyFont="1" applyFill="1" applyBorder="1" applyAlignment="1">
      <alignment vertical="top"/>
    </xf>
    <xf numFmtId="49" fontId="4" fillId="3" borderId="31" xfId="0" applyNumberFormat="1" applyFont="1" applyFill="1" applyBorder="1" applyAlignment="1">
      <alignment horizontal="center" vertical="top"/>
    </xf>
    <xf numFmtId="49" fontId="14" fillId="2" borderId="19" xfId="0" applyNumberFormat="1" applyFont="1" applyFill="1" applyBorder="1" applyAlignment="1">
      <alignment horizontal="center" vertical="top" wrapText="1"/>
    </xf>
    <xf numFmtId="49" fontId="14" fillId="3" borderId="31" xfId="0" applyNumberFormat="1" applyFont="1" applyFill="1" applyBorder="1" applyAlignment="1">
      <alignment horizontal="center" vertical="top" wrapText="1"/>
    </xf>
    <xf numFmtId="49" fontId="14" fillId="2" borderId="18" xfId="0" applyNumberFormat="1" applyFont="1" applyFill="1" applyBorder="1" applyAlignment="1">
      <alignment vertical="top" wrapText="1"/>
    </xf>
    <xf numFmtId="49" fontId="14" fillId="3" borderId="5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6" fillId="4" borderId="34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49" fontId="14" fillId="2" borderId="4" xfId="0" applyNumberFormat="1" applyFont="1" applyFill="1" applyBorder="1" applyAlignment="1">
      <alignment vertical="top" wrapText="1"/>
    </xf>
    <xf numFmtId="49" fontId="14" fillId="3" borderId="15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/>
    </xf>
    <xf numFmtId="49" fontId="4" fillId="3" borderId="31" xfId="0" applyNumberFormat="1" applyFont="1" applyFill="1" applyBorder="1" applyAlignment="1">
      <alignment vertical="top"/>
    </xf>
    <xf numFmtId="49" fontId="4" fillId="5" borderId="1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/>
    </xf>
    <xf numFmtId="0" fontId="5" fillId="0" borderId="29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vertical="top" wrapText="1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1" fillId="0" borderId="29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/>
    </xf>
    <xf numFmtId="0" fontId="1" fillId="0" borderId="57" xfId="0" applyNumberFormat="1" applyFont="1" applyFill="1" applyBorder="1" applyAlignment="1">
      <alignment horizontal="center" vertical="top" wrapText="1"/>
    </xf>
    <xf numFmtId="0" fontId="5" fillId="0" borderId="37" xfId="0" applyNumberFormat="1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/>
    </xf>
    <xf numFmtId="0" fontId="5" fillId="0" borderId="56" xfId="0" applyFont="1" applyBorder="1" applyAlignment="1">
      <alignment horizontal="center"/>
    </xf>
    <xf numFmtId="0" fontId="6" fillId="0" borderId="29" xfId="0" applyNumberFormat="1" applyFont="1" applyFill="1" applyBorder="1" applyAlignment="1">
      <alignment vertical="top"/>
    </xf>
    <xf numFmtId="0" fontId="6" fillId="0" borderId="56" xfId="0" applyNumberFormat="1" applyFont="1" applyFill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4" fontId="3" fillId="8" borderId="12" xfId="0" applyNumberFormat="1" applyFont="1" applyFill="1" applyBorder="1" applyAlignment="1">
      <alignment horizontal="center" vertical="top"/>
    </xf>
    <xf numFmtId="164" fontId="5" fillId="0" borderId="14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58" xfId="0" applyNumberFormat="1" applyFont="1" applyFill="1" applyBorder="1" applyAlignment="1">
      <alignment horizontal="center" vertical="top"/>
    </xf>
    <xf numFmtId="0" fontId="1" fillId="0" borderId="56" xfId="0" applyNumberFormat="1" applyFont="1" applyFill="1" applyBorder="1" applyAlignment="1">
      <alignment horizontal="center" vertical="top" wrapText="1"/>
    </xf>
    <xf numFmtId="0" fontId="2" fillId="0" borderId="26" xfId="0" applyFont="1" applyBorder="1"/>
    <xf numFmtId="0" fontId="6" fillId="7" borderId="38" xfId="0" applyFont="1" applyFill="1" applyBorder="1" applyAlignment="1">
      <alignment vertical="top" wrapText="1"/>
    </xf>
    <xf numFmtId="0" fontId="1" fillId="7" borderId="35" xfId="0" applyFont="1" applyFill="1" applyBorder="1" applyAlignment="1">
      <alignment horizontal="center" vertical="top"/>
    </xf>
    <xf numFmtId="164" fontId="1" fillId="7" borderId="13" xfId="0" applyNumberFormat="1" applyFont="1" applyFill="1" applyBorder="1" applyAlignment="1">
      <alignment horizontal="center" vertical="top"/>
    </xf>
    <xf numFmtId="164" fontId="1" fillId="7" borderId="13" xfId="0" applyNumberFormat="1" applyFont="1" applyFill="1" applyBorder="1" applyAlignment="1">
      <alignment horizontal="center" vertical="top" wrapText="1"/>
    </xf>
    <xf numFmtId="49" fontId="4" fillId="4" borderId="3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6" fillId="7" borderId="5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3" fontId="5" fillId="7" borderId="9" xfId="0" applyNumberFormat="1" applyFont="1" applyFill="1" applyBorder="1" applyAlignment="1">
      <alignment horizontal="center" vertical="top"/>
    </xf>
    <xf numFmtId="3" fontId="5" fillId="7" borderId="33" xfId="0" applyNumberFormat="1" applyFont="1" applyFill="1" applyBorder="1" applyAlignment="1">
      <alignment horizontal="center" vertical="top"/>
    </xf>
    <xf numFmtId="164" fontId="5" fillId="7" borderId="25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" fontId="6" fillId="7" borderId="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49" fontId="1" fillId="7" borderId="13" xfId="0" applyNumberFormat="1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49" fontId="4" fillId="7" borderId="6" xfId="0" applyNumberFormat="1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1" fontId="5" fillId="0" borderId="37" xfId="0" applyNumberFormat="1" applyFont="1" applyFill="1" applyBorder="1" applyAlignment="1">
      <alignment horizontal="center" vertical="top"/>
    </xf>
    <xf numFmtId="1" fontId="1" fillId="0" borderId="56" xfId="0" applyNumberFormat="1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left" vertical="top" wrapText="1"/>
    </xf>
    <xf numFmtId="0" fontId="2" fillId="0" borderId="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7" borderId="13" xfId="0" applyNumberFormat="1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right" vertical="top"/>
    </xf>
    <xf numFmtId="0" fontId="4" fillId="8" borderId="12" xfId="0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vertical="top" wrapText="1"/>
    </xf>
    <xf numFmtId="164" fontId="1" fillId="7" borderId="54" xfId="0" applyNumberFormat="1" applyFont="1" applyFill="1" applyBorder="1" applyAlignment="1">
      <alignment vertical="top" wrapText="1"/>
    </xf>
    <xf numFmtId="164" fontId="1" fillId="7" borderId="24" xfId="0" applyNumberFormat="1" applyFont="1" applyFill="1" applyBorder="1" applyAlignment="1">
      <alignment vertical="top" wrapText="1"/>
    </xf>
    <xf numFmtId="164" fontId="1" fillId="7" borderId="8" xfId="0" applyNumberFormat="1" applyFont="1" applyFill="1" applyBorder="1" applyAlignment="1">
      <alignment vertical="top" wrapText="1"/>
    </xf>
    <xf numFmtId="0" fontId="5" fillId="7" borderId="41" xfId="0" applyFont="1" applyFill="1" applyBorder="1" applyAlignment="1">
      <alignment horizontal="left" vertical="top" wrapText="1"/>
    </xf>
    <xf numFmtId="49" fontId="4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center" vertical="top"/>
    </xf>
    <xf numFmtId="0" fontId="2" fillId="7" borderId="0" xfId="0" applyFont="1" applyFill="1"/>
    <xf numFmtId="1" fontId="1" fillId="0" borderId="45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4" fillId="8" borderId="41" xfId="0" applyNumberFormat="1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3" fillId="8" borderId="4" xfId="0" applyNumberFormat="1" applyFont="1" applyFill="1" applyBorder="1" applyAlignment="1">
      <alignment horizontal="center" vertical="top"/>
    </xf>
    <xf numFmtId="1" fontId="3" fillId="8" borderId="67" xfId="0" applyNumberFormat="1" applyFont="1" applyFill="1" applyBorder="1" applyAlignment="1">
      <alignment horizontal="center" vertical="top"/>
    </xf>
    <xf numFmtId="1" fontId="3" fillId="3" borderId="39" xfId="0" applyNumberFormat="1" applyFont="1" applyFill="1" applyBorder="1" applyAlignment="1">
      <alignment horizontal="center" vertical="top"/>
    </xf>
    <xf numFmtId="1" fontId="4" fillId="8" borderId="32" xfId="0" applyNumberFormat="1" applyFont="1" applyFill="1" applyBorder="1" applyAlignment="1">
      <alignment horizontal="center" vertical="top"/>
    </xf>
    <xf numFmtId="1" fontId="3" fillId="8" borderId="69" xfId="0" applyNumberFormat="1" applyFont="1" applyFill="1" applyBorder="1" applyAlignment="1">
      <alignment horizontal="center" vertical="top"/>
    </xf>
    <xf numFmtId="1" fontId="5" fillId="8" borderId="48" xfId="0" applyNumberFormat="1" applyFont="1" applyFill="1" applyBorder="1" applyAlignment="1">
      <alignment horizontal="center" vertical="top"/>
    </xf>
    <xf numFmtId="1" fontId="5" fillId="0" borderId="49" xfId="0" applyNumberFormat="1" applyFont="1" applyFill="1" applyBorder="1" applyAlignment="1">
      <alignment horizontal="center" vertical="top"/>
    </xf>
    <xf numFmtId="1" fontId="4" fillId="0" borderId="49" xfId="0" applyNumberFormat="1" applyFont="1" applyFill="1" applyBorder="1" applyAlignment="1">
      <alignment horizontal="center" vertical="top"/>
    </xf>
    <xf numFmtId="1" fontId="3" fillId="0" borderId="50" xfId="0" applyNumberFormat="1" applyFont="1" applyFill="1" applyBorder="1" applyAlignment="1">
      <alignment horizontal="center" vertical="top"/>
    </xf>
    <xf numFmtId="1" fontId="4" fillId="8" borderId="70" xfId="0" applyNumberFormat="1" applyFont="1" applyFill="1" applyBorder="1" applyAlignment="1">
      <alignment horizontal="center" vertical="top"/>
    </xf>
    <xf numFmtId="1" fontId="4" fillId="8" borderId="1" xfId="0" applyNumberFormat="1" applyFont="1" applyFill="1" applyBorder="1" applyAlignment="1">
      <alignment horizontal="center" vertical="top"/>
    </xf>
    <xf numFmtId="1" fontId="3" fillId="8" borderId="2" xfId="0" applyNumberFormat="1" applyFont="1" applyFill="1" applyBorder="1" applyAlignment="1">
      <alignment horizontal="center" vertical="top"/>
    </xf>
    <xf numFmtId="1" fontId="4" fillId="8" borderId="28" xfId="0" applyNumberFormat="1" applyFont="1" applyFill="1" applyBorder="1" applyAlignment="1">
      <alignment horizontal="center" vertical="top"/>
    </xf>
    <xf numFmtId="1" fontId="4" fillId="8" borderId="29" xfId="0" applyNumberFormat="1" applyFont="1" applyFill="1" applyBorder="1" applyAlignment="1">
      <alignment horizontal="center" vertical="top"/>
    </xf>
    <xf numFmtId="1" fontId="3" fillId="8" borderId="56" xfId="0" applyNumberFormat="1" applyFont="1" applyFill="1" applyBorder="1" applyAlignment="1">
      <alignment horizontal="center" vertical="top"/>
    </xf>
    <xf numFmtId="1" fontId="4" fillId="8" borderId="71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31" xfId="0" applyNumberFormat="1" applyFont="1" applyFill="1" applyBorder="1" applyAlignment="1">
      <alignment horizontal="center" vertical="top"/>
    </xf>
    <xf numFmtId="1" fontId="3" fillId="3" borderId="74" xfId="0" applyNumberFormat="1" applyFont="1" applyFill="1" applyBorder="1" applyAlignment="1">
      <alignment horizontal="center" vertical="top"/>
    </xf>
    <xf numFmtId="1" fontId="5" fillId="0" borderId="51" xfId="0" applyNumberFormat="1" applyFont="1" applyFill="1" applyBorder="1" applyAlignment="1">
      <alignment horizontal="center" vertical="top"/>
    </xf>
    <xf numFmtId="1" fontId="5" fillId="8" borderId="44" xfId="0" applyNumberFormat="1" applyFont="1" applyFill="1" applyBorder="1" applyAlignment="1">
      <alignment horizontal="center" vertical="top"/>
    </xf>
    <xf numFmtId="1" fontId="5" fillId="7" borderId="45" xfId="0" applyNumberFormat="1" applyFont="1" applyFill="1" applyBorder="1" applyAlignment="1">
      <alignment horizontal="center" vertical="top"/>
    </xf>
    <xf numFmtId="1" fontId="5" fillId="7" borderId="47" xfId="0" applyNumberFormat="1" applyFont="1" applyFill="1" applyBorder="1" applyAlignment="1">
      <alignment horizontal="center" vertical="top"/>
    </xf>
    <xf numFmtId="1" fontId="5" fillId="8" borderId="28" xfId="0" applyNumberFormat="1" applyFont="1" applyFill="1" applyBorder="1" applyAlignment="1">
      <alignment horizontal="center" vertical="top"/>
    </xf>
    <xf numFmtId="1" fontId="5" fillId="7" borderId="29" xfId="0" applyNumberFormat="1" applyFont="1" applyFill="1" applyBorder="1" applyAlignment="1">
      <alignment horizontal="center" vertical="top"/>
    </xf>
    <xf numFmtId="1" fontId="5" fillId="7" borderId="65" xfId="0" applyNumberFormat="1" applyFont="1" applyFill="1" applyBorder="1" applyAlignment="1">
      <alignment horizontal="center" vertical="top"/>
    </xf>
    <xf numFmtId="1" fontId="5" fillId="8" borderId="14" xfId="0" applyNumberFormat="1" applyFont="1" applyFill="1" applyBorder="1" applyAlignment="1">
      <alignment horizontal="center" vertical="top"/>
    </xf>
    <xf numFmtId="1" fontId="5" fillId="7" borderId="15" xfId="0" applyNumberFormat="1" applyFont="1" applyFill="1" applyBorder="1" applyAlignment="1">
      <alignment horizontal="center" vertical="top"/>
    </xf>
    <xf numFmtId="1" fontId="4" fillId="7" borderId="34" xfId="0" applyNumberFormat="1" applyFont="1" applyFill="1" applyBorder="1" applyAlignment="1">
      <alignment horizontal="center" vertical="top"/>
    </xf>
    <xf numFmtId="1" fontId="5" fillId="7" borderId="34" xfId="0" applyNumberFormat="1" applyFont="1" applyFill="1" applyBorder="1" applyAlignment="1">
      <alignment horizontal="center" vertical="top"/>
    </xf>
    <xf numFmtId="1" fontId="5" fillId="7" borderId="34" xfId="0" applyNumberFormat="1" applyFont="1" applyFill="1" applyBorder="1" applyAlignment="1">
      <alignment horizontal="center" vertical="top" wrapText="1"/>
    </xf>
    <xf numFmtId="1" fontId="5" fillId="7" borderId="15" xfId="0" applyNumberFormat="1" applyFont="1" applyFill="1" applyBorder="1" applyAlignment="1">
      <alignment vertical="top"/>
    </xf>
    <xf numFmtId="1" fontId="5" fillId="7" borderId="16" xfId="0" applyNumberFormat="1" applyFont="1" applyFill="1" applyBorder="1" applyAlignment="1">
      <alignment vertical="top"/>
    </xf>
    <xf numFmtId="1" fontId="5" fillId="8" borderId="4" xfId="0" applyNumberFormat="1" applyFont="1" applyFill="1" applyBorder="1" applyAlignment="1">
      <alignment horizontal="center" vertical="top"/>
    </xf>
    <xf numFmtId="1" fontId="5" fillId="7" borderId="37" xfId="0" applyNumberFormat="1" applyFont="1" applyFill="1" applyBorder="1" applyAlignment="1">
      <alignment horizontal="center" vertical="top"/>
    </xf>
    <xf numFmtId="1" fontId="3" fillId="8" borderId="1" xfId="0" applyNumberFormat="1" applyFont="1" applyFill="1" applyBorder="1" applyAlignment="1">
      <alignment horizontal="center" vertical="top"/>
    </xf>
    <xf numFmtId="1" fontId="3" fillId="8" borderId="66" xfId="0" applyNumberFormat="1" applyFont="1" applyFill="1" applyBorder="1" applyAlignment="1">
      <alignment horizontal="center" vertical="top"/>
    </xf>
    <xf numFmtId="1" fontId="3" fillId="0" borderId="49" xfId="0" applyNumberFormat="1" applyFont="1" applyFill="1" applyBorder="1" applyAlignment="1">
      <alignment horizontal="center" vertical="top"/>
    </xf>
    <xf numFmtId="1" fontId="3" fillId="0" borderId="75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16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5" fillId="8" borderId="43" xfId="0" applyNumberFormat="1" applyFont="1" applyFill="1" applyBorder="1" applyAlignment="1">
      <alignment horizontal="center" vertical="top"/>
    </xf>
    <xf numFmtId="1" fontId="3" fillId="0" borderId="76" xfId="0" applyNumberFormat="1" applyFont="1" applyFill="1" applyBorder="1" applyAlignment="1">
      <alignment horizontal="center" vertical="top"/>
    </xf>
    <xf numFmtId="1" fontId="3" fillId="0" borderId="53" xfId="0" applyNumberFormat="1" applyFont="1" applyFill="1" applyBorder="1" applyAlignment="1">
      <alignment horizontal="center" vertical="top"/>
    </xf>
    <xf numFmtId="1" fontId="3" fillId="8" borderId="15" xfId="0" applyNumberFormat="1" applyFont="1" applyFill="1" applyBorder="1" applyAlignment="1">
      <alignment horizontal="center" vertical="top"/>
    </xf>
    <xf numFmtId="1" fontId="3" fillId="8" borderId="0" xfId="0" applyNumberFormat="1" applyFont="1" applyFill="1" applyBorder="1" applyAlignment="1">
      <alignment horizontal="center" vertical="top"/>
    </xf>
    <xf numFmtId="1" fontId="3" fillId="8" borderId="16" xfId="0" applyNumberFormat="1" applyFont="1" applyFill="1" applyBorder="1" applyAlignment="1">
      <alignment horizontal="center" vertical="top"/>
    </xf>
    <xf numFmtId="1" fontId="1" fillId="0" borderId="36" xfId="0" applyNumberFormat="1" applyFont="1" applyFill="1" applyBorder="1" applyAlignment="1">
      <alignment horizontal="center" vertical="top" wrapText="1"/>
    </xf>
    <xf numFmtId="1" fontId="1" fillId="0" borderId="45" xfId="0" applyNumberFormat="1" applyFont="1" applyFill="1" applyBorder="1" applyAlignment="1">
      <alignment horizontal="center" vertical="top" wrapText="1"/>
    </xf>
    <xf numFmtId="1" fontId="1" fillId="0" borderId="47" xfId="0" applyNumberFormat="1" applyFont="1" applyFill="1" applyBorder="1" applyAlignment="1">
      <alignment horizontal="center" vertical="top" wrapText="1"/>
    </xf>
    <xf numFmtId="1" fontId="1" fillId="0" borderId="29" xfId="0" applyNumberFormat="1" applyFont="1" applyFill="1" applyBorder="1" applyAlignment="1">
      <alignment horizontal="center" vertical="top" wrapText="1"/>
    </xf>
    <xf numFmtId="1" fontId="1" fillId="0" borderId="56" xfId="0" applyNumberFormat="1" applyFont="1" applyFill="1" applyBorder="1" applyAlignment="1">
      <alignment horizontal="center" vertical="top" wrapText="1"/>
    </xf>
    <xf numFmtId="1" fontId="1" fillId="7" borderId="45" xfId="0" applyNumberFormat="1" applyFont="1" applyFill="1" applyBorder="1" applyAlignment="1">
      <alignment horizontal="center" vertical="top" wrapText="1"/>
    </xf>
    <xf numFmtId="1" fontId="1" fillId="7" borderId="47" xfId="0" applyNumberFormat="1" applyFont="1" applyFill="1" applyBorder="1" applyAlignment="1">
      <alignment horizontal="center" vertical="top" wrapText="1"/>
    </xf>
    <xf numFmtId="1" fontId="3" fillId="8" borderId="64" xfId="0" applyNumberFormat="1" applyFont="1" applyFill="1" applyBorder="1" applyAlignment="1">
      <alignment horizontal="center" vertical="top"/>
    </xf>
    <xf numFmtId="1" fontId="3" fillId="8" borderId="29" xfId="0" applyNumberFormat="1" applyFont="1" applyFill="1" applyBorder="1" applyAlignment="1">
      <alignment horizontal="center" vertical="top"/>
    </xf>
    <xf numFmtId="1" fontId="3" fillId="8" borderId="65" xfId="0" applyNumberFormat="1" applyFont="1" applyFill="1" applyBorder="1" applyAlignment="1">
      <alignment horizontal="center" vertical="top"/>
    </xf>
    <xf numFmtId="1" fontId="3" fillId="8" borderId="12" xfId="0" applyNumberFormat="1" applyFont="1" applyFill="1" applyBorder="1" applyAlignment="1">
      <alignment horizontal="center" vertical="top"/>
    </xf>
    <xf numFmtId="1" fontId="1" fillId="0" borderId="46" xfId="0" applyNumberFormat="1" applyFont="1" applyFill="1" applyBorder="1" applyAlignment="1">
      <alignment horizontal="center" vertical="top" wrapText="1"/>
    </xf>
    <xf numFmtId="1" fontId="4" fillId="8" borderId="58" xfId="0" applyNumberFormat="1" applyFont="1" applyFill="1" applyBorder="1" applyAlignment="1">
      <alignment horizontal="center" vertical="top" wrapText="1"/>
    </xf>
    <xf numFmtId="1" fontId="4" fillId="8" borderId="29" xfId="0" applyNumberFormat="1" applyFont="1" applyFill="1" applyBorder="1" applyAlignment="1">
      <alignment horizontal="center" vertical="top" wrapText="1"/>
    </xf>
    <xf numFmtId="1" fontId="4" fillId="8" borderId="30" xfId="0" applyNumberFormat="1" applyFont="1" applyFill="1" applyBorder="1" applyAlignment="1">
      <alignment horizontal="center" vertical="top" wrapText="1"/>
    </xf>
    <xf numFmtId="1" fontId="4" fillId="8" borderId="12" xfId="0" applyNumberFormat="1" applyFont="1" applyFill="1" applyBorder="1" applyAlignment="1">
      <alignment horizontal="center" vertical="top" wrapText="1"/>
    </xf>
    <xf numFmtId="1" fontId="4" fillId="8" borderId="63" xfId="0" applyNumberFormat="1" applyFont="1" applyFill="1" applyBorder="1" applyAlignment="1">
      <alignment horizontal="center" vertical="top" wrapText="1"/>
    </xf>
    <xf numFmtId="1" fontId="4" fillId="8" borderId="69" xfId="0" applyNumberFormat="1" applyFont="1" applyFill="1" applyBorder="1" applyAlignment="1">
      <alignment horizontal="center" vertical="top" wrapText="1"/>
    </xf>
    <xf numFmtId="1" fontId="4" fillId="8" borderId="1" xfId="0" applyNumberFormat="1" applyFont="1" applyFill="1" applyBorder="1" applyAlignment="1">
      <alignment horizontal="center" vertical="top" wrapText="1"/>
    </xf>
    <xf numFmtId="1" fontId="1" fillId="0" borderId="37" xfId="0" applyNumberFormat="1" applyFont="1" applyFill="1" applyBorder="1" applyAlignment="1">
      <alignment horizontal="center" vertical="top" wrapText="1"/>
    </xf>
    <xf numFmtId="1" fontId="1" fillId="0" borderId="53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 vertical="top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7" borderId="45" xfId="0" applyNumberFormat="1" applyFont="1" applyFill="1" applyBorder="1" applyAlignment="1">
      <alignment horizontal="center"/>
    </xf>
    <xf numFmtId="1" fontId="1" fillId="7" borderId="46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 vertical="top"/>
    </xf>
    <xf numFmtId="1" fontId="4" fillId="8" borderId="2" xfId="0" applyNumberFormat="1" applyFont="1" applyFill="1" applyBorder="1" applyAlignment="1">
      <alignment horizontal="center" vertical="top" wrapText="1"/>
    </xf>
    <xf numFmtId="1" fontId="4" fillId="8" borderId="66" xfId="0" applyNumberFormat="1" applyFont="1" applyFill="1" applyBorder="1" applyAlignment="1">
      <alignment horizontal="center" vertical="top" wrapText="1"/>
    </xf>
    <xf numFmtId="1" fontId="1" fillId="0" borderId="49" xfId="0" applyNumberFormat="1" applyFont="1" applyFill="1" applyBorder="1" applyAlignment="1">
      <alignment horizontal="center" vertical="top" wrapText="1"/>
    </xf>
    <xf numFmtId="1" fontId="1" fillId="0" borderId="51" xfId="0" applyNumberFormat="1" applyFont="1" applyFill="1" applyBorder="1" applyAlignment="1">
      <alignment horizontal="center" vertical="top" wrapText="1"/>
    </xf>
    <xf numFmtId="1" fontId="1" fillId="7" borderId="29" xfId="0" applyNumberFormat="1" applyFont="1" applyFill="1" applyBorder="1" applyAlignment="1">
      <alignment horizontal="center" vertical="top" wrapText="1"/>
    </xf>
    <xf numFmtId="1" fontId="1" fillId="7" borderId="65" xfId="0" applyNumberFormat="1" applyFont="1" applyFill="1" applyBorder="1" applyAlignment="1">
      <alignment horizontal="center" vertical="top" wrapText="1"/>
    </xf>
    <xf numFmtId="1" fontId="3" fillId="8" borderId="71" xfId="0" applyNumberFormat="1" applyFont="1" applyFill="1" applyBorder="1" applyAlignment="1">
      <alignment horizontal="center" vertical="top"/>
    </xf>
    <xf numFmtId="1" fontId="5" fillId="7" borderId="29" xfId="0" applyNumberFormat="1" applyFont="1" applyFill="1" applyBorder="1" applyAlignment="1">
      <alignment horizontal="center" vertical="top" wrapText="1"/>
    </xf>
    <xf numFmtId="1" fontId="5" fillId="7" borderId="56" xfId="0" applyNumberFormat="1" applyFont="1" applyFill="1" applyBorder="1" applyAlignment="1">
      <alignment horizontal="center" vertical="top" wrapText="1"/>
    </xf>
    <xf numFmtId="1" fontId="5" fillId="0" borderId="49" xfId="0" applyNumberFormat="1" applyFont="1" applyFill="1" applyBorder="1" applyAlignment="1">
      <alignment horizontal="center" vertical="top" wrapText="1"/>
    </xf>
    <xf numFmtId="1" fontId="5" fillId="0" borderId="50" xfId="0" applyNumberFormat="1" applyFont="1" applyFill="1" applyBorder="1" applyAlignment="1">
      <alignment horizontal="center" vertical="top" wrapText="1"/>
    </xf>
    <xf numFmtId="1" fontId="5" fillId="0" borderId="53" xfId="0" applyNumberFormat="1" applyFont="1" applyFill="1" applyBorder="1" applyAlignment="1">
      <alignment horizontal="center" vertical="top"/>
    </xf>
    <xf numFmtId="1" fontId="5" fillId="0" borderId="29" xfId="0" applyNumberFormat="1" applyFont="1" applyFill="1" applyBorder="1" applyAlignment="1">
      <alignment horizontal="center" vertical="top" wrapText="1"/>
    </xf>
    <xf numFmtId="1" fontId="5" fillId="0" borderId="56" xfId="0" applyNumberFormat="1" applyFont="1" applyFill="1" applyBorder="1" applyAlignment="1">
      <alignment horizontal="center" vertical="top" wrapText="1"/>
    </xf>
    <xf numFmtId="1" fontId="5" fillId="0" borderId="45" xfId="0" applyNumberFormat="1" applyFont="1" applyFill="1" applyBorder="1" applyAlignment="1">
      <alignment horizontal="center" vertical="top" wrapText="1"/>
    </xf>
    <xf numFmtId="1" fontId="5" fillId="0" borderId="46" xfId="0" applyNumberFormat="1" applyFont="1" applyFill="1" applyBorder="1" applyAlignment="1">
      <alignment horizontal="center" vertical="top" wrapText="1"/>
    </xf>
    <xf numFmtId="1" fontId="4" fillId="8" borderId="56" xfId="0" applyNumberFormat="1" applyFont="1" applyFill="1" applyBorder="1" applyAlignment="1">
      <alignment horizontal="center" vertical="top" wrapText="1"/>
    </xf>
    <xf numFmtId="1" fontId="9" fillId="3" borderId="19" xfId="0" applyNumberFormat="1" applyFont="1" applyFill="1" applyBorder="1" applyAlignment="1">
      <alignment horizontal="center" vertical="center"/>
    </xf>
    <xf numFmtId="1" fontId="5" fillId="7" borderId="49" xfId="0" applyNumberFormat="1" applyFont="1" applyFill="1" applyBorder="1" applyAlignment="1">
      <alignment horizontal="center" vertical="top"/>
    </xf>
    <xf numFmtId="1" fontId="4" fillId="8" borderId="2" xfId="0" applyNumberFormat="1" applyFont="1" applyFill="1" applyBorder="1" applyAlignment="1">
      <alignment horizontal="center" vertical="top"/>
    </xf>
    <xf numFmtId="1" fontId="1" fillId="0" borderId="49" xfId="0" applyNumberFormat="1" applyFont="1" applyFill="1" applyBorder="1" applyAlignment="1">
      <alignment horizontal="center" vertical="top"/>
    </xf>
    <xf numFmtId="1" fontId="1" fillId="0" borderId="50" xfId="0" applyNumberFormat="1" applyFont="1" applyFill="1" applyBorder="1" applyAlignment="1">
      <alignment horizontal="center" vertical="top"/>
    </xf>
    <xf numFmtId="1" fontId="3" fillId="3" borderId="19" xfId="0" applyNumberFormat="1" applyFont="1" applyFill="1" applyBorder="1" applyAlignment="1">
      <alignment horizontal="center" vertical="top"/>
    </xf>
    <xf numFmtId="1" fontId="9" fillId="2" borderId="31" xfId="0" applyNumberFormat="1" applyFont="1" applyFill="1" applyBorder="1" applyAlignment="1">
      <alignment horizontal="center" vertical="top"/>
    </xf>
    <xf numFmtId="1" fontId="9" fillId="2" borderId="39" xfId="0" applyNumberFormat="1" applyFont="1" applyFill="1" applyBorder="1" applyAlignment="1">
      <alignment horizontal="center" vertical="top"/>
    </xf>
    <xf numFmtId="1" fontId="9" fillId="2" borderId="20" xfId="0" applyNumberFormat="1" applyFont="1" applyFill="1" applyBorder="1" applyAlignment="1">
      <alignment horizontal="center" vertical="top"/>
    </xf>
    <xf numFmtId="1" fontId="9" fillId="5" borderId="9" xfId="0" applyNumberFormat="1" applyFont="1" applyFill="1" applyBorder="1" applyAlignment="1">
      <alignment horizontal="center" vertical="top"/>
    </xf>
    <xf numFmtId="1" fontId="9" fillId="5" borderId="32" xfId="0" applyNumberFormat="1" applyFont="1" applyFill="1" applyBorder="1" applyAlignment="1">
      <alignment horizontal="center" vertical="top"/>
    </xf>
    <xf numFmtId="1" fontId="9" fillId="5" borderId="33" xfId="0" applyNumberFormat="1" applyFont="1" applyFill="1" applyBorder="1" applyAlignment="1">
      <alignment horizontal="center" vertical="top"/>
    </xf>
    <xf numFmtId="1" fontId="9" fillId="7" borderId="0" xfId="0" applyNumberFormat="1" applyFont="1" applyFill="1" applyBorder="1" applyAlignment="1">
      <alignment horizontal="center" vertical="top"/>
    </xf>
    <xf numFmtId="1" fontId="0" fillId="0" borderId="0" xfId="0" applyNumberFormat="1"/>
    <xf numFmtId="1" fontId="1" fillId="0" borderId="78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Fill="1" applyBorder="1" applyAlignment="1">
      <alignment horizontal="center" vertical="top" wrapText="1"/>
    </xf>
    <xf numFmtId="1" fontId="1" fillId="0" borderId="64" xfId="0" applyNumberFormat="1" applyFont="1" applyFill="1" applyBorder="1" applyAlignment="1">
      <alignment horizontal="center" vertical="top" wrapText="1"/>
    </xf>
    <xf numFmtId="1" fontId="1" fillId="7" borderId="55" xfId="0" applyNumberFormat="1" applyFont="1" applyFill="1" applyBorder="1" applyAlignment="1">
      <alignment horizontal="center" vertical="top" wrapText="1"/>
    </xf>
    <xf numFmtId="1" fontId="3" fillId="7" borderId="55" xfId="0" applyNumberFormat="1" applyFont="1" applyFill="1" applyBorder="1" applyAlignment="1">
      <alignment horizontal="center" vertical="top" wrapText="1"/>
    </xf>
    <xf numFmtId="1" fontId="3" fillId="7" borderId="59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Fill="1" applyBorder="1" applyAlignment="1">
      <alignment horizontal="center" vertical="top"/>
    </xf>
    <xf numFmtId="1" fontId="1" fillId="0" borderId="55" xfId="0" applyNumberFormat="1" applyFont="1" applyBorder="1" applyAlignment="1">
      <alignment horizontal="center"/>
    </xf>
    <xf numFmtId="1" fontId="1" fillId="7" borderId="5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1" fontId="1" fillId="0" borderId="79" xfId="0" applyNumberFormat="1" applyFont="1" applyFill="1" applyBorder="1" applyAlignment="1">
      <alignment horizontal="center" vertical="top" wrapText="1"/>
    </xf>
    <xf numFmtId="1" fontId="1" fillId="7" borderId="64" xfId="0" applyNumberFormat="1" applyFont="1" applyFill="1" applyBorder="1" applyAlignment="1">
      <alignment horizontal="center" vertical="top" wrapText="1"/>
    </xf>
    <xf numFmtId="1" fontId="3" fillId="8" borderId="63" xfId="0" applyNumberFormat="1" applyFont="1" applyFill="1" applyBorder="1" applyAlignment="1">
      <alignment horizontal="center" vertical="top"/>
    </xf>
    <xf numFmtId="1" fontId="5" fillId="7" borderId="64" xfId="0" applyNumberFormat="1" applyFont="1" applyFill="1" applyBorder="1" applyAlignment="1">
      <alignment horizontal="center" vertical="top" wrapText="1"/>
    </xf>
    <xf numFmtId="1" fontId="5" fillId="0" borderId="79" xfId="0" applyNumberFormat="1" applyFont="1" applyFill="1" applyBorder="1" applyAlignment="1">
      <alignment horizontal="center" vertical="top" wrapText="1"/>
    </xf>
    <xf numFmtId="1" fontId="5" fillId="0" borderId="59" xfId="0" applyNumberFormat="1" applyFont="1" applyFill="1" applyBorder="1" applyAlignment="1">
      <alignment horizontal="center" vertical="top"/>
    </xf>
    <xf numFmtId="1" fontId="5" fillId="0" borderId="64" xfId="0" applyNumberFormat="1" applyFont="1" applyFill="1" applyBorder="1" applyAlignment="1">
      <alignment horizontal="center" vertical="top" wrapText="1"/>
    </xf>
    <xf numFmtId="1" fontId="5" fillId="7" borderId="55" xfId="0" applyNumberFormat="1" applyFont="1" applyFill="1" applyBorder="1" applyAlignment="1">
      <alignment horizontal="center" vertical="top" wrapText="1"/>
    </xf>
    <xf numFmtId="1" fontId="4" fillId="8" borderId="64" xfId="0" applyNumberFormat="1" applyFont="1" applyFill="1" applyBorder="1" applyAlignment="1">
      <alignment horizontal="center" vertical="top" wrapText="1"/>
    </xf>
    <xf numFmtId="1" fontId="9" fillId="3" borderId="39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1" fontId="1" fillId="8" borderId="7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/>
    </xf>
    <xf numFmtId="1" fontId="1" fillId="8" borderId="13" xfId="0" applyNumberFormat="1" applyFont="1" applyFill="1" applyBorder="1" applyAlignment="1">
      <alignment horizontal="center"/>
    </xf>
    <xf numFmtId="1" fontId="1" fillId="8" borderId="10" xfId="0" applyNumberFormat="1" applyFont="1" applyFill="1" applyBorder="1" applyAlignment="1">
      <alignment horizontal="center" vertical="top"/>
    </xf>
    <xf numFmtId="1" fontId="1" fillId="8" borderId="25" xfId="0" applyNumberFormat="1" applyFont="1" applyFill="1" applyBorder="1" applyAlignment="1">
      <alignment horizontal="center" vertical="top" wrapText="1"/>
    </xf>
    <xf numFmtId="1" fontId="5" fillId="8" borderId="12" xfId="0" applyNumberFormat="1" applyFont="1" applyFill="1" applyBorder="1" applyAlignment="1">
      <alignment horizontal="center" vertical="top" wrapText="1"/>
    </xf>
    <xf numFmtId="1" fontId="5" fillId="8" borderId="25" xfId="0" applyNumberFormat="1" applyFont="1" applyFill="1" applyBorder="1" applyAlignment="1">
      <alignment horizontal="center" vertical="top" wrapText="1"/>
    </xf>
    <xf numFmtId="1" fontId="5" fillId="8" borderId="73" xfId="0" applyNumberFormat="1" applyFont="1" applyFill="1" applyBorder="1" applyAlignment="1">
      <alignment horizontal="center" vertical="top"/>
    </xf>
    <xf numFmtId="1" fontId="5" fillId="8" borderId="13" xfId="0" applyNumberFormat="1" applyFont="1" applyFill="1" applyBorder="1" applyAlignment="1">
      <alignment horizontal="center" vertical="top" wrapText="1"/>
    </xf>
    <xf numFmtId="1" fontId="9" fillId="3" borderId="6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top"/>
    </xf>
    <xf numFmtId="1" fontId="5" fillId="8" borderId="79" xfId="0" applyNumberFormat="1" applyFont="1" applyFill="1" applyBorder="1" applyAlignment="1">
      <alignment horizontal="center" vertical="top"/>
    </xf>
    <xf numFmtId="1" fontId="4" fillId="8" borderId="63" xfId="0" applyNumberFormat="1" applyFont="1" applyFill="1" applyBorder="1" applyAlignment="1">
      <alignment horizontal="center" vertical="top"/>
    </xf>
    <xf numFmtId="1" fontId="1" fillId="8" borderId="79" xfId="0" applyNumberFormat="1" applyFont="1" applyFill="1" applyBorder="1" applyAlignment="1">
      <alignment horizontal="center" vertical="top"/>
    </xf>
    <xf numFmtId="0" fontId="4" fillId="0" borderId="0" xfId="0" applyFont="1"/>
    <xf numFmtId="1" fontId="1" fillId="8" borderId="72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1" fillId="8" borderId="6" xfId="0" applyNumberFormat="1" applyFont="1" applyFill="1" applyBorder="1" applyAlignment="1">
      <alignment horizontal="center" vertical="top"/>
    </xf>
    <xf numFmtId="3" fontId="3" fillId="8" borderId="12" xfId="0" applyNumberFormat="1" applyFont="1" applyFill="1" applyBorder="1" applyAlignment="1">
      <alignment horizontal="center" vertical="top"/>
    </xf>
    <xf numFmtId="3" fontId="1" fillId="8" borderId="25" xfId="0" applyNumberFormat="1" applyFont="1" applyFill="1" applyBorder="1" applyAlignment="1">
      <alignment horizontal="center" vertical="top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horizontal="center" vertical="top"/>
    </xf>
    <xf numFmtId="3" fontId="5" fillId="8" borderId="72" xfId="0" applyNumberFormat="1" applyFont="1" applyFill="1" applyBorder="1" applyAlignment="1">
      <alignment horizontal="center" vertical="top" wrapText="1"/>
    </xf>
    <xf numFmtId="3" fontId="5" fillId="8" borderId="41" xfId="0" applyNumberFormat="1" applyFont="1" applyFill="1" applyBorder="1" applyAlignment="1">
      <alignment horizontal="center" vertical="top" wrapText="1"/>
    </xf>
    <xf numFmtId="3" fontId="1" fillId="8" borderId="41" xfId="0" applyNumberFormat="1" applyFont="1" applyFill="1" applyBorder="1" applyAlignment="1">
      <alignment horizontal="center" vertical="top"/>
    </xf>
    <xf numFmtId="3" fontId="1" fillId="8" borderId="4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 wrapText="1"/>
    </xf>
    <xf numFmtId="3" fontId="1" fillId="8" borderId="18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1" fillId="8" borderId="26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horizontal="center" vertical="top"/>
    </xf>
    <xf numFmtId="3" fontId="1" fillId="8" borderId="58" xfId="0" applyNumberFormat="1" applyFont="1" applyFill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14" fillId="8" borderId="69" xfId="0" applyNumberFormat="1" applyFont="1" applyFill="1" applyBorder="1" applyAlignment="1">
      <alignment horizontal="center" vertical="top" wrapText="1"/>
    </xf>
    <xf numFmtId="3" fontId="1" fillId="8" borderId="35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1" fillId="8" borderId="72" xfId="0" applyNumberFormat="1" applyFont="1" applyFill="1" applyBorder="1" applyAlignment="1">
      <alignment horizontal="center" vertical="top"/>
    </xf>
    <xf numFmtId="3" fontId="3" fillId="8" borderId="67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25" xfId="0" applyNumberFormat="1" applyFont="1" applyFill="1" applyBorder="1" applyAlignment="1">
      <alignment horizontal="center" vertical="top"/>
    </xf>
    <xf numFmtId="3" fontId="5" fillId="8" borderId="73" xfId="0" applyNumberFormat="1" applyFont="1" applyFill="1" applyBorder="1" applyAlignment="1">
      <alignment horizontal="center" vertical="top"/>
    </xf>
    <xf numFmtId="3" fontId="5" fillId="8" borderId="12" xfId="0" applyNumberFormat="1" applyFont="1" applyFill="1" applyBorder="1" applyAlignment="1">
      <alignment horizontal="center" vertical="top"/>
    </xf>
    <xf numFmtId="3" fontId="5" fillId="8" borderId="1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3" fillId="2" borderId="62" xfId="0" applyNumberFormat="1" applyFont="1" applyFill="1" applyBorder="1" applyAlignment="1">
      <alignment horizontal="center" vertical="top"/>
    </xf>
    <xf numFmtId="3" fontId="3" fillId="5" borderId="17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center" wrapText="1"/>
    </xf>
    <xf numFmtId="3" fontId="3" fillId="5" borderId="76" xfId="0" applyNumberFormat="1" applyFont="1" applyFill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 wrapText="1"/>
    </xf>
    <xf numFmtId="3" fontId="3" fillId="5" borderId="42" xfId="0" applyNumberFormat="1" applyFont="1" applyFill="1" applyBorder="1" applyAlignment="1">
      <alignment horizontal="center" vertical="top"/>
    </xf>
    <xf numFmtId="3" fontId="3" fillId="8" borderId="69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 horizontal="center"/>
    </xf>
    <xf numFmtId="3" fontId="5" fillId="0" borderId="25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4" borderId="27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3" fontId="1" fillId="4" borderId="22" xfId="0" applyNumberFormat="1" applyFont="1" applyFill="1" applyBorder="1" applyAlignment="1">
      <alignment horizontal="center" vertical="top"/>
    </xf>
    <xf numFmtId="3" fontId="1" fillId="4" borderId="73" xfId="0" applyNumberFormat="1" applyFont="1" applyFill="1" applyBorder="1" applyAlignment="1">
      <alignment horizontal="center" vertical="top"/>
    </xf>
    <xf numFmtId="3" fontId="1" fillId="4" borderId="77" xfId="0" applyNumberFormat="1" applyFont="1" applyFill="1" applyBorder="1" applyAlignment="1">
      <alignment horizontal="center" vertical="top"/>
    </xf>
    <xf numFmtId="3" fontId="3" fillId="8" borderId="68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 wrapText="1"/>
    </xf>
    <xf numFmtId="3" fontId="1" fillId="4" borderId="73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1" fillId="4" borderId="30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 wrapText="1"/>
    </xf>
    <xf numFmtId="3" fontId="4" fillId="8" borderId="66" xfId="0" applyNumberFormat="1" applyFont="1" applyFill="1" applyBorder="1" applyAlignment="1">
      <alignment horizontal="center" vertical="top" wrapText="1"/>
    </xf>
    <xf numFmtId="3" fontId="1" fillId="4" borderId="25" xfId="0" applyNumberFormat="1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1" fillId="4" borderId="41" xfId="0" applyNumberFormat="1" applyFont="1" applyFill="1" applyBorder="1" applyAlignment="1">
      <alignment horizontal="center" vertical="top" wrapText="1"/>
    </xf>
    <xf numFmtId="3" fontId="3" fillId="8" borderId="70" xfId="0" applyNumberFormat="1" applyFont="1" applyFill="1" applyBorder="1" applyAlignment="1">
      <alignment horizontal="center" vertical="top"/>
    </xf>
    <xf numFmtId="3" fontId="5" fillId="4" borderId="12" xfId="0" applyNumberFormat="1" applyFont="1" applyFill="1" applyBorder="1" applyAlignment="1">
      <alignment horizontal="center" vertical="top" wrapText="1"/>
    </xf>
    <xf numFmtId="3" fontId="2" fillId="4" borderId="25" xfId="0" applyNumberFormat="1" applyFont="1" applyFill="1" applyBorder="1" applyAlignment="1">
      <alignment horizontal="center" vertical="top" wrapText="1"/>
    </xf>
    <xf numFmtId="3" fontId="5" fillId="0" borderId="73" xfId="0" applyNumberFormat="1" applyFont="1" applyBorder="1" applyAlignment="1">
      <alignment horizontal="center" vertical="top"/>
    </xf>
    <xf numFmtId="3" fontId="5" fillId="4" borderId="73" xfId="0" applyNumberFormat="1" applyFont="1" applyFill="1" applyBorder="1" applyAlignment="1">
      <alignment horizontal="center" vertical="top" wrapText="1"/>
    </xf>
    <xf numFmtId="3" fontId="5" fillId="4" borderId="13" xfId="0" applyNumberFormat="1" applyFont="1" applyFill="1" applyBorder="1" applyAlignment="1">
      <alignment horizontal="center" vertical="top" wrapText="1"/>
    </xf>
    <xf numFmtId="3" fontId="9" fillId="3" borderId="19" xfId="0" applyNumberFormat="1" applyFont="1" applyFill="1" applyBorder="1" applyAlignment="1">
      <alignment horizontal="center" vertical="center"/>
    </xf>
    <xf numFmtId="3" fontId="4" fillId="8" borderId="41" xfId="0" applyNumberFormat="1" applyFont="1" applyFill="1" applyBorder="1" applyAlignment="1">
      <alignment horizontal="center" vertical="top"/>
    </xf>
    <xf numFmtId="3" fontId="4" fillId="8" borderId="66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4" fillId="2" borderId="62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top"/>
    </xf>
    <xf numFmtId="3" fontId="5" fillId="0" borderId="35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0" fillId="0" borderId="0" xfId="0" applyNumberFormat="1"/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1" fillId="0" borderId="56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3" fillId="8" borderId="70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164" fontId="1" fillId="0" borderId="42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/>
    </xf>
    <xf numFmtId="49" fontId="14" fillId="4" borderId="36" xfId="0" applyNumberFormat="1" applyFont="1" applyFill="1" applyBorder="1" applyAlignment="1">
      <alignment vertical="top" wrapText="1"/>
    </xf>
    <xf numFmtId="49" fontId="14" fillId="4" borderId="3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25" xfId="0" applyNumberFormat="1" applyFont="1" applyFill="1" applyBorder="1" applyAlignment="1">
      <alignment horizontal="center" vertical="top"/>
    </xf>
    <xf numFmtId="164" fontId="3" fillId="3" borderId="62" xfId="0" applyNumberFormat="1" applyFont="1" applyFill="1" applyBorder="1" applyAlignment="1">
      <alignment horizontal="center" vertical="top"/>
    </xf>
    <xf numFmtId="164" fontId="5" fillId="8" borderId="72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 wrapText="1"/>
    </xf>
    <xf numFmtId="164" fontId="1" fillId="8" borderId="41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3" fillId="3" borderId="62" xfId="0" applyNumberFormat="1" applyFont="1" applyFill="1" applyBorder="1" applyAlignment="1">
      <alignment horizontal="center" vertical="center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1" fillId="8" borderId="58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 wrapText="1"/>
    </xf>
    <xf numFmtId="164" fontId="3" fillId="8" borderId="58" xfId="0" applyNumberFormat="1" applyFont="1" applyFill="1" applyBorder="1" applyAlignment="1">
      <alignment horizontal="center" vertical="top"/>
    </xf>
    <xf numFmtId="164" fontId="2" fillId="4" borderId="30" xfId="0" applyNumberFormat="1" applyFont="1" applyFill="1" applyBorder="1" applyAlignment="1">
      <alignment horizontal="center" vertical="top" wrapText="1"/>
    </xf>
    <xf numFmtId="164" fontId="14" fillId="8" borderId="69" xfId="0" applyNumberFormat="1" applyFont="1" applyFill="1" applyBorder="1" applyAlignment="1">
      <alignment horizontal="center" vertical="top" wrapText="1"/>
    </xf>
    <xf numFmtId="164" fontId="2" fillId="4" borderId="22" xfId="0" applyNumberFormat="1" applyFont="1" applyFill="1" applyBorder="1" applyAlignment="1">
      <alignment horizontal="center" vertical="top" wrapText="1"/>
    </xf>
    <xf numFmtId="164" fontId="1" fillId="8" borderId="35" xfId="0" applyNumberFormat="1" applyFont="1" applyFill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25" xfId="0" applyNumberFormat="1" applyFont="1" applyFill="1" applyBorder="1" applyAlignment="1">
      <alignment horizontal="center" vertical="top"/>
    </xf>
    <xf numFmtId="164" fontId="2" fillId="4" borderId="25" xfId="0" applyNumberFormat="1" applyFont="1" applyFill="1" applyBorder="1" applyAlignment="1">
      <alignment horizontal="center" vertical="top" wrapText="1"/>
    </xf>
    <xf numFmtId="164" fontId="5" fillId="8" borderId="73" xfId="0" applyNumberFormat="1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/>
    </xf>
    <xf numFmtId="164" fontId="4" fillId="8" borderId="12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3" fillId="2" borderId="62" xfId="0" applyNumberFormat="1" applyFont="1" applyFill="1" applyBorder="1" applyAlignment="1">
      <alignment horizontal="center" vertical="top"/>
    </xf>
    <xf numFmtId="164" fontId="3" fillId="5" borderId="17" xfId="0" applyNumberFormat="1" applyFont="1" applyFill="1" applyBorder="1" applyAlignment="1">
      <alignment horizontal="center" vertical="top"/>
    </xf>
    <xf numFmtId="164" fontId="3" fillId="7" borderId="0" xfId="0" applyNumberFormat="1" applyFont="1" applyFill="1" applyBorder="1" applyAlignment="1">
      <alignment horizontal="center" vertical="top"/>
    </xf>
    <xf numFmtId="164" fontId="4" fillId="7" borderId="0" xfId="0" applyNumberFormat="1" applyFont="1" applyFill="1" applyBorder="1" applyAlignment="1">
      <alignment horizontal="center" vertical="top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3" fillId="5" borderId="76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/>
    </xf>
    <xf numFmtId="0" fontId="0" fillId="0" borderId="0" xfId="0" applyBorder="1"/>
    <xf numFmtId="0" fontId="4" fillId="4" borderId="0" xfId="0" applyNumberFormat="1" applyFont="1" applyFill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6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49" fontId="14" fillId="4" borderId="36" xfId="0" applyNumberFormat="1" applyFont="1" applyFill="1" applyBorder="1" applyAlignment="1">
      <alignment vertical="top" wrapText="1"/>
    </xf>
    <xf numFmtId="49" fontId="14" fillId="4" borderId="34" xfId="0" applyNumberFormat="1" applyFont="1" applyFill="1" applyBorder="1" applyAlignment="1">
      <alignment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4" fillId="4" borderId="36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20" fillId="2" borderId="11" xfId="0" applyNumberFormat="1" applyFont="1" applyFill="1" applyBorder="1" applyAlignment="1">
      <alignment vertical="top"/>
    </xf>
    <xf numFmtId="0" fontId="21" fillId="0" borderId="72" xfId="0" applyFont="1" applyFill="1" applyBorder="1" applyAlignment="1">
      <alignment horizontal="center" vertical="top"/>
    </xf>
    <xf numFmtId="3" fontId="21" fillId="8" borderId="25" xfId="0" applyNumberFormat="1" applyFont="1" applyFill="1" applyBorder="1" applyAlignment="1">
      <alignment horizontal="center" vertical="top"/>
    </xf>
    <xf numFmtId="1" fontId="21" fillId="8" borderId="75" xfId="0" applyNumberFormat="1" applyFont="1" applyFill="1" applyBorder="1" applyAlignment="1">
      <alignment horizontal="center" vertical="top"/>
    </xf>
    <xf numFmtId="1" fontId="21" fillId="7" borderId="49" xfId="0" applyNumberFormat="1" applyFont="1" applyFill="1" applyBorder="1" applyAlignment="1">
      <alignment horizontal="center" vertical="top"/>
    </xf>
    <xf numFmtId="1" fontId="21" fillId="7" borderId="50" xfId="0" applyNumberFormat="1" applyFont="1" applyFill="1" applyBorder="1" applyAlignment="1">
      <alignment horizontal="center" vertical="top"/>
    </xf>
    <xf numFmtId="3" fontId="21" fillId="7" borderId="25" xfId="0" applyNumberFormat="1" applyFont="1" applyFill="1" applyBorder="1" applyAlignment="1">
      <alignment horizontal="center" vertical="top" wrapText="1"/>
    </xf>
    <xf numFmtId="3" fontId="21" fillId="4" borderId="25" xfId="0" applyNumberFormat="1" applyFont="1" applyFill="1" applyBorder="1" applyAlignment="1">
      <alignment horizontal="center" vertical="top" wrapText="1"/>
    </xf>
    <xf numFmtId="1" fontId="22" fillId="7" borderId="5" xfId="0" applyNumberFormat="1" applyFont="1" applyFill="1" applyBorder="1" applyAlignment="1">
      <alignment horizontal="center" vertical="top"/>
    </xf>
    <xf numFmtId="49" fontId="20" fillId="2" borderId="23" xfId="0" applyNumberFormat="1" applyFont="1" applyFill="1" applyBorder="1" applyAlignment="1">
      <alignment vertical="top"/>
    </xf>
    <xf numFmtId="0" fontId="20" fillId="8" borderId="8" xfId="0" applyFont="1" applyFill="1" applyBorder="1" applyAlignment="1">
      <alignment horizontal="center" vertical="top"/>
    </xf>
    <xf numFmtId="3" fontId="20" fillId="8" borderId="17" xfId="0" applyNumberFormat="1" applyFont="1" applyFill="1" applyBorder="1" applyAlignment="1">
      <alignment horizontal="center" vertical="top"/>
    </xf>
    <xf numFmtId="1" fontId="20" fillId="8" borderId="54" xfId="0" applyNumberFormat="1" applyFont="1" applyFill="1" applyBorder="1" applyAlignment="1">
      <alignment horizontal="center" vertical="top"/>
    </xf>
    <xf numFmtId="1" fontId="20" fillId="8" borderId="9" xfId="0" applyNumberFormat="1" applyFont="1" applyFill="1" applyBorder="1" applyAlignment="1">
      <alignment horizontal="center" vertical="top"/>
    </xf>
    <xf numFmtId="1" fontId="20" fillId="8" borderId="33" xfId="0" applyNumberFormat="1" applyFont="1" applyFill="1" applyBorder="1" applyAlignment="1">
      <alignment horizontal="center" vertical="top"/>
    </xf>
    <xf numFmtId="3" fontId="21" fillId="7" borderId="9" xfId="0" applyNumberFormat="1" applyFont="1" applyFill="1" applyBorder="1" applyAlignment="1">
      <alignment horizontal="center" vertical="top"/>
    </xf>
    <xf numFmtId="49" fontId="24" fillId="2" borderId="11" xfId="0" applyNumberFormat="1" applyFont="1" applyFill="1" applyBorder="1" applyAlignment="1">
      <alignment vertical="top"/>
    </xf>
    <xf numFmtId="0" fontId="25" fillId="0" borderId="72" xfId="0" applyFont="1" applyFill="1" applyBorder="1" applyAlignment="1">
      <alignment horizontal="center" vertical="top"/>
    </xf>
    <xf numFmtId="3" fontId="25" fillId="8" borderId="25" xfId="0" applyNumberFormat="1" applyFont="1" applyFill="1" applyBorder="1" applyAlignment="1">
      <alignment horizontal="center" vertical="top"/>
    </xf>
    <xf numFmtId="1" fontId="25" fillId="8" borderId="75" xfId="0" applyNumberFormat="1" applyFont="1" applyFill="1" applyBorder="1" applyAlignment="1">
      <alignment horizontal="center" vertical="top"/>
    </xf>
    <xf numFmtId="1" fontId="25" fillId="7" borderId="49" xfId="0" applyNumberFormat="1" applyFont="1" applyFill="1" applyBorder="1" applyAlignment="1">
      <alignment horizontal="center" vertical="top"/>
    </xf>
    <xf numFmtId="1" fontId="25" fillId="7" borderId="50" xfId="0" applyNumberFormat="1" applyFont="1" applyFill="1" applyBorder="1" applyAlignment="1">
      <alignment horizontal="center" vertical="top"/>
    </xf>
    <xf numFmtId="3" fontId="25" fillId="7" borderId="25" xfId="0" applyNumberFormat="1" applyFont="1" applyFill="1" applyBorder="1" applyAlignment="1">
      <alignment horizontal="center" vertical="top" wrapText="1"/>
    </xf>
    <xf numFmtId="3" fontId="25" fillId="4" borderId="25" xfId="0" applyNumberFormat="1" applyFont="1" applyFill="1" applyBorder="1" applyAlignment="1">
      <alignment horizontal="center" vertical="top" wrapText="1"/>
    </xf>
    <xf numFmtId="1" fontId="26" fillId="7" borderId="5" xfId="0" applyNumberFormat="1" applyFont="1" applyFill="1" applyBorder="1" applyAlignment="1">
      <alignment horizontal="center" vertical="top"/>
    </xf>
    <xf numFmtId="49" fontId="24" fillId="2" borderId="23" xfId="0" applyNumberFormat="1" applyFont="1" applyFill="1" applyBorder="1" applyAlignment="1">
      <alignment vertical="top"/>
    </xf>
    <xf numFmtId="0" fontId="24" fillId="8" borderId="8" xfId="0" applyFont="1" applyFill="1" applyBorder="1" applyAlignment="1">
      <alignment horizontal="center" vertical="top"/>
    </xf>
    <xf numFmtId="3" fontId="24" fillId="8" borderId="17" xfId="0" applyNumberFormat="1" applyFont="1" applyFill="1" applyBorder="1" applyAlignment="1">
      <alignment horizontal="center" vertical="top"/>
    </xf>
    <xf numFmtId="1" fontId="24" fillId="8" borderId="54" xfId="0" applyNumberFormat="1" applyFont="1" applyFill="1" applyBorder="1" applyAlignment="1">
      <alignment horizontal="center" vertical="top"/>
    </xf>
    <xf numFmtId="1" fontId="24" fillId="8" borderId="9" xfId="0" applyNumberFormat="1" applyFont="1" applyFill="1" applyBorder="1" applyAlignment="1">
      <alignment horizontal="center" vertical="top"/>
    </xf>
    <xf numFmtId="1" fontId="24" fillId="8" borderId="33" xfId="0" applyNumberFormat="1" applyFont="1" applyFill="1" applyBorder="1" applyAlignment="1">
      <alignment horizontal="center" vertical="top"/>
    </xf>
    <xf numFmtId="3" fontId="25" fillId="7" borderId="9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4" fillId="8" borderId="67" xfId="0" applyNumberFormat="1" applyFont="1" applyFill="1" applyBorder="1" applyAlignment="1">
      <alignment horizontal="center" vertical="top"/>
    </xf>
    <xf numFmtId="0" fontId="27" fillId="7" borderId="13" xfId="0" applyFont="1" applyFill="1" applyBorder="1" applyAlignment="1">
      <alignment vertical="top" wrapText="1"/>
    </xf>
    <xf numFmtId="0" fontId="27" fillId="7" borderId="12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horizontal="center" vertical="top"/>
    </xf>
    <xf numFmtId="3" fontId="27" fillId="8" borderId="35" xfId="0" applyNumberFormat="1" applyFont="1" applyFill="1" applyBorder="1" applyAlignment="1">
      <alignment horizontal="center" vertical="top"/>
    </xf>
    <xf numFmtId="3" fontId="27" fillId="7" borderId="35" xfId="0" applyNumberFormat="1" applyFont="1" applyFill="1" applyBorder="1" applyAlignment="1">
      <alignment horizontal="center" vertical="top"/>
    </xf>
    <xf numFmtId="3" fontId="27" fillId="7" borderId="13" xfId="0" applyNumberFormat="1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/>
    </xf>
    <xf numFmtId="3" fontId="27" fillId="8" borderId="4" xfId="0" applyNumberFormat="1" applyFont="1" applyFill="1" applyBorder="1" applyAlignment="1">
      <alignment horizontal="center" vertical="top"/>
    </xf>
    <xf numFmtId="3" fontId="27" fillId="7" borderId="4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5" fillId="4" borderId="22" xfId="0" applyNumberFormat="1" applyFont="1" applyFill="1" applyBorder="1" applyAlignment="1">
      <alignment horizontal="center" vertical="top"/>
    </xf>
    <xf numFmtId="49" fontId="21" fillId="7" borderId="10" xfId="0" applyNumberFormat="1" applyFont="1" applyFill="1" applyBorder="1" applyAlignment="1">
      <alignment vertical="top" wrapText="1"/>
    </xf>
    <xf numFmtId="3" fontId="18" fillId="8" borderId="18" xfId="0" applyNumberFormat="1" applyFont="1" applyFill="1" applyBorder="1" applyAlignment="1">
      <alignment horizontal="center" vertical="top"/>
    </xf>
    <xf numFmtId="1" fontId="18" fillId="8" borderId="18" xfId="0" applyNumberFormat="1" applyFont="1" applyFill="1" applyBorder="1" applyAlignment="1">
      <alignment horizontal="center" vertical="top"/>
    </xf>
    <xf numFmtId="1" fontId="18" fillId="0" borderId="5" xfId="0" applyNumberFormat="1" applyFont="1" applyFill="1" applyBorder="1" applyAlignment="1">
      <alignment horizontal="center" vertical="top"/>
    </xf>
    <xf numFmtId="1" fontId="18" fillId="0" borderId="26" xfId="0" applyNumberFormat="1" applyFont="1" applyFill="1" applyBorder="1" applyAlignment="1">
      <alignment horizontal="center" vertical="top"/>
    </xf>
    <xf numFmtId="1" fontId="18" fillId="0" borderId="7" xfId="0" applyNumberFormat="1" applyFont="1" applyFill="1" applyBorder="1" applyAlignment="1">
      <alignment horizontal="center" vertical="top"/>
    </xf>
    <xf numFmtId="3" fontId="18" fillId="4" borderId="6" xfId="0" applyNumberFormat="1" applyFont="1" applyFill="1" applyBorder="1" applyAlignment="1">
      <alignment horizontal="center" vertical="top"/>
    </xf>
    <xf numFmtId="3" fontId="18" fillId="4" borderId="27" xfId="0" applyNumberFormat="1" applyFont="1" applyFill="1" applyBorder="1" applyAlignment="1">
      <alignment horizontal="center" vertical="top"/>
    </xf>
    <xf numFmtId="0" fontId="18" fillId="0" borderId="5" xfId="0" applyNumberFormat="1" applyFont="1" applyFill="1" applyBorder="1" applyAlignment="1">
      <alignment horizontal="center" vertical="top" wrapText="1"/>
    </xf>
    <xf numFmtId="0" fontId="18" fillId="0" borderId="7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Border="1" applyAlignment="1">
      <alignment vertical="top" wrapText="1"/>
    </xf>
    <xf numFmtId="0" fontId="27" fillId="0" borderId="44" xfId="0" applyFont="1" applyFill="1" applyBorder="1" applyAlignment="1">
      <alignment horizontal="left" vertical="top" wrapText="1"/>
    </xf>
    <xf numFmtId="0" fontId="27" fillId="0" borderId="45" xfId="0" applyFont="1" applyFill="1" applyBorder="1" applyAlignment="1">
      <alignment horizontal="center" vertical="top" wrapText="1"/>
    </xf>
    <xf numFmtId="0" fontId="27" fillId="0" borderId="45" xfId="0" applyNumberFormat="1" applyFont="1" applyFill="1" applyBorder="1" applyAlignment="1">
      <alignment horizontal="center" vertical="top"/>
    </xf>
    <xf numFmtId="0" fontId="27" fillId="0" borderId="46" xfId="0" applyNumberFormat="1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 wrapText="1"/>
    </xf>
    <xf numFmtId="0" fontId="27" fillId="0" borderId="29" xfId="0" applyNumberFormat="1" applyFont="1" applyFill="1" applyBorder="1" applyAlignment="1">
      <alignment horizontal="center" vertical="top"/>
    </xf>
    <xf numFmtId="0" fontId="27" fillId="0" borderId="56" xfId="0" applyNumberFormat="1" applyFont="1" applyFill="1" applyBorder="1" applyAlignment="1">
      <alignment horizontal="center" vertical="top"/>
    </xf>
    <xf numFmtId="0" fontId="27" fillId="0" borderId="9" xfId="0" applyFont="1" applyFill="1" applyBorder="1" applyAlignment="1">
      <alignment horizontal="center" vertical="top" wrapText="1"/>
    </xf>
    <xf numFmtId="0" fontId="28" fillId="0" borderId="9" xfId="0" applyNumberFormat="1" applyFont="1" applyFill="1" applyBorder="1" applyAlignment="1">
      <alignment horizontal="center" vertical="top"/>
    </xf>
    <xf numFmtId="0" fontId="28" fillId="0" borderId="24" xfId="0" applyNumberFormat="1" applyFont="1" applyFill="1" applyBorder="1" applyAlignment="1">
      <alignment horizontal="center" vertical="top"/>
    </xf>
    <xf numFmtId="49" fontId="28" fillId="0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/>
    </xf>
    <xf numFmtId="3" fontId="27" fillId="8" borderId="18" xfId="0" applyNumberFormat="1" applyFont="1" applyFill="1" applyBorder="1" applyAlignment="1">
      <alignment horizontal="center" vertical="top"/>
    </xf>
    <xf numFmtId="3" fontId="27" fillId="7" borderId="18" xfId="0" applyNumberFormat="1" applyFont="1" applyFill="1" applyBorder="1" applyAlignment="1">
      <alignment horizontal="center" vertical="top"/>
    </xf>
    <xf numFmtId="164" fontId="27" fillId="0" borderId="18" xfId="0" applyNumberFormat="1" applyFont="1" applyFill="1" applyBorder="1" applyAlignment="1">
      <alignment horizontal="left" vertical="top" wrapText="1"/>
    </xf>
    <xf numFmtId="0" fontId="27" fillId="0" borderId="5" xfId="0" applyNumberFormat="1" applyFont="1" applyFill="1" applyBorder="1" applyAlignment="1">
      <alignment horizontal="center" vertical="top" wrapText="1"/>
    </xf>
    <xf numFmtId="0" fontId="27" fillId="0" borderId="7" xfId="0" applyNumberFormat="1" applyFont="1" applyFill="1" applyBorder="1" applyAlignment="1">
      <alignment horizontal="center" vertical="top" wrapText="1"/>
    </xf>
    <xf numFmtId="3" fontId="27" fillId="8" borderId="0" xfId="0" applyNumberFormat="1" applyFont="1" applyFill="1" applyBorder="1" applyAlignment="1">
      <alignment horizontal="center" vertical="top"/>
    </xf>
    <xf numFmtId="164" fontId="27" fillId="0" borderId="4" xfId="0" applyNumberFormat="1" applyFont="1" applyFill="1" applyBorder="1" applyAlignment="1">
      <alignment horizontal="left" vertical="top" wrapText="1"/>
    </xf>
    <xf numFmtId="0" fontId="27" fillId="0" borderId="15" xfId="0" applyNumberFormat="1" applyFont="1" applyFill="1" applyBorder="1" applyAlignment="1">
      <alignment horizontal="center" vertical="top" wrapText="1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7" borderId="17" xfId="0" applyFont="1" applyFill="1" applyBorder="1" applyAlignment="1">
      <alignment vertical="top" wrapText="1"/>
    </xf>
    <xf numFmtId="49" fontId="28" fillId="0" borderId="17" xfId="0" applyNumberFormat="1" applyFont="1" applyFill="1" applyBorder="1" applyAlignment="1">
      <alignment vertical="center" wrapText="1"/>
    </xf>
    <xf numFmtId="49" fontId="28" fillId="0" borderId="17" xfId="0" applyNumberFormat="1" applyFont="1" applyBorder="1" applyAlignment="1">
      <alignment vertical="top" wrapText="1"/>
    </xf>
    <xf numFmtId="0" fontId="28" fillId="8" borderId="67" xfId="0" applyFont="1" applyFill="1" applyBorder="1" applyAlignment="1">
      <alignment horizontal="right" vertical="top"/>
    </xf>
    <xf numFmtId="3" fontId="28" fillId="8" borderId="67" xfId="0" applyNumberFormat="1" applyFont="1" applyFill="1" applyBorder="1" applyAlignment="1">
      <alignment horizontal="center" vertical="top"/>
    </xf>
    <xf numFmtId="1" fontId="28" fillId="8" borderId="67" xfId="0" applyNumberFormat="1" applyFont="1" applyFill="1" applyBorder="1" applyAlignment="1">
      <alignment horizontal="center" vertical="top"/>
    </xf>
    <xf numFmtId="1" fontId="28" fillId="8" borderId="1" xfId="0" applyNumberFormat="1" applyFont="1" applyFill="1" applyBorder="1" applyAlignment="1">
      <alignment horizontal="center" vertical="top"/>
    </xf>
    <xf numFmtId="1" fontId="28" fillId="8" borderId="69" xfId="0" applyNumberFormat="1" applyFont="1" applyFill="1" applyBorder="1" applyAlignment="1">
      <alignment horizontal="center" vertical="top"/>
    </xf>
    <xf numFmtId="1" fontId="28" fillId="8" borderId="2" xfId="0" applyNumberFormat="1" applyFont="1" applyFill="1" applyBorder="1" applyAlignment="1">
      <alignment horizontal="center" vertical="top"/>
    </xf>
    <xf numFmtId="3" fontId="28" fillId="8" borderId="66" xfId="0" applyNumberFormat="1" applyFont="1" applyFill="1" applyBorder="1" applyAlignment="1">
      <alignment horizontal="center" vertical="top"/>
    </xf>
    <xf numFmtId="1" fontId="5" fillId="8" borderId="75" xfId="0" applyNumberFormat="1" applyFont="1" applyFill="1" applyBorder="1" applyAlignment="1">
      <alignment horizontal="center" vertical="top"/>
    </xf>
    <xf numFmtId="1" fontId="5" fillId="7" borderId="50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 wrapText="1"/>
    </xf>
    <xf numFmtId="3" fontId="5" fillId="4" borderId="25" xfId="0" applyNumberFormat="1" applyFont="1" applyFill="1" applyBorder="1" applyAlignment="1">
      <alignment horizontal="center" vertical="top" wrapText="1"/>
    </xf>
    <xf numFmtId="1" fontId="4" fillId="8" borderId="54" xfId="0" applyNumberFormat="1" applyFont="1" applyFill="1" applyBorder="1" applyAlignment="1">
      <alignment horizontal="center" vertical="top"/>
    </xf>
    <xf numFmtId="1" fontId="4" fillId="8" borderId="9" xfId="0" applyNumberFormat="1" applyFont="1" applyFill="1" applyBorder="1" applyAlignment="1">
      <alignment horizontal="center" vertical="top"/>
    </xf>
    <xf numFmtId="1" fontId="4" fillId="8" borderId="33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1" fillId="0" borderId="56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/>
    </xf>
    <xf numFmtId="49" fontId="14" fillId="4" borderId="36" xfId="0" applyNumberFormat="1" applyFont="1" applyFill="1" applyBorder="1" applyAlignment="1">
      <alignment vertical="top" wrapText="1"/>
    </xf>
    <xf numFmtId="49" fontId="14" fillId="4" borderId="34" xfId="0" applyNumberFormat="1" applyFont="1" applyFill="1" applyBorder="1" applyAlignment="1">
      <alignment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49" fontId="5" fillId="7" borderId="10" xfId="0" applyNumberFormat="1" applyFont="1" applyFill="1" applyBorder="1" applyAlignment="1">
      <alignment vertical="top" wrapText="1"/>
    </xf>
    <xf numFmtId="1" fontId="1" fillId="8" borderId="18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3" fontId="1" fillId="4" borderId="6" xfId="0" applyNumberFormat="1" applyFont="1" applyFill="1" applyBorder="1" applyAlignment="1">
      <alignment horizontal="center" vertical="top"/>
    </xf>
    <xf numFmtId="3" fontId="1" fillId="4" borderId="27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0" fontId="4" fillId="4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0" fontId="3" fillId="8" borderId="69" xfId="0" applyFont="1" applyFill="1" applyBorder="1" applyAlignment="1">
      <alignment horizontal="right" vertical="top"/>
    </xf>
    <xf numFmtId="0" fontId="3" fillId="8" borderId="68" xfId="0" applyFont="1" applyFill="1" applyBorder="1" applyAlignment="1">
      <alignment horizontal="right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7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right" vertical="top"/>
    </xf>
    <xf numFmtId="0" fontId="3" fillId="5" borderId="77" xfId="0" applyFont="1" applyFill="1" applyBorder="1" applyAlignment="1">
      <alignment horizontal="right" vertical="top"/>
    </xf>
    <xf numFmtId="164" fontId="4" fillId="5" borderId="72" xfId="0" applyNumberFormat="1" applyFont="1" applyFill="1" applyBorder="1" applyAlignment="1">
      <alignment horizontal="center" vertical="top" wrapText="1"/>
    </xf>
    <xf numFmtId="164" fontId="4" fillId="5" borderId="75" xfId="0" applyNumberFormat="1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7" xfId="0" applyFont="1" applyFill="1" applyBorder="1" applyAlignment="1">
      <alignment horizontal="left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49" fontId="12" fillId="0" borderId="39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6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1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 vertical="top"/>
    </xf>
    <xf numFmtId="49" fontId="1" fillId="0" borderId="71" xfId="0" applyNumberFormat="1" applyFont="1" applyFill="1" applyBorder="1" applyAlignment="1">
      <alignment horizontal="center" vertical="top"/>
    </xf>
    <xf numFmtId="0" fontId="15" fillId="8" borderId="47" xfId="0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6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6" xfId="0" applyFont="1" applyFill="1" applyBorder="1" applyAlignment="1">
      <alignment horizontal="left" vertical="top" wrapText="1"/>
    </xf>
    <xf numFmtId="0" fontId="7" fillId="5" borderId="77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9" fillId="8" borderId="72" xfId="0" applyFont="1" applyFill="1" applyBorder="1" applyAlignment="1">
      <alignment horizontal="center" vertical="center" wrapText="1"/>
    </xf>
    <xf numFmtId="0" fontId="9" fillId="8" borderId="75" xfId="0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center" vertical="center" textRotation="90" wrapText="1"/>
    </xf>
    <xf numFmtId="1" fontId="6" fillId="0" borderId="26" xfId="0" applyNumberFormat="1" applyFont="1" applyBorder="1" applyAlignment="1">
      <alignment horizontal="center" vertical="center" textRotation="90" wrapText="1"/>
    </xf>
    <xf numFmtId="1" fontId="6" fillId="0" borderId="27" xfId="0" applyNumberFormat="1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textRotation="90" wrapText="1"/>
    </xf>
    <xf numFmtId="1" fontId="6" fillId="0" borderId="22" xfId="0" applyNumberFormat="1" applyFont="1" applyBorder="1" applyAlignment="1">
      <alignment horizontal="center" vertical="center" textRotation="90" wrapText="1"/>
    </xf>
    <xf numFmtId="1" fontId="6" fillId="0" borderId="8" xfId="0" applyNumberFormat="1" applyFont="1" applyBorder="1" applyAlignment="1">
      <alignment horizontal="center" vertical="center" textRotation="90" wrapText="1"/>
    </xf>
    <xf numFmtId="1" fontId="6" fillId="0" borderId="32" xfId="0" applyNumberFormat="1" applyFont="1" applyBorder="1" applyAlignment="1">
      <alignment horizontal="center" vertical="center" textRotation="90" wrapText="1"/>
    </xf>
    <xf numFmtId="1" fontId="6" fillId="0" borderId="24" xfId="0" applyNumberFormat="1" applyFont="1" applyBorder="1" applyAlignment="1">
      <alignment horizontal="center" vertical="center" textRotation="90" wrapText="1"/>
    </xf>
    <xf numFmtId="3" fontId="5" fillId="0" borderId="6" xfId="0" applyNumberFormat="1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center" vertical="center" textRotation="90" wrapText="1"/>
    </xf>
    <xf numFmtId="3" fontId="5" fillId="0" borderId="17" xfId="0" applyNumberFormat="1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49" fontId="4" fillId="2" borderId="18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3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49" fontId="1" fillId="7" borderId="12" xfId="0" applyNumberFormat="1" applyFont="1" applyFill="1" applyBorder="1" applyAlignment="1">
      <alignment horizontal="left" vertical="top" wrapText="1"/>
    </xf>
    <xf numFmtId="49" fontId="1" fillId="7" borderId="17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0" xfId="0" applyNumberFormat="1" applyFont="1" applyFill="1" applyBorder="1" applyAlignment="1">
      <alignment horizontal="center" vertical="top"/>
    </xf>
    <xf numFmtId="49" fontId="14" fillId="4" borderId="36" xfId="0" applyNumberFormat="1" applyFont="1" applyFill="1" applyBorder="1" applyAlignment="1">
      <alignment vertical="top" wrapText="1"/>
    </xf>
    <xf numFmtId="49" fontId="14" fillId="4" borderId="3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horizontal="center" vertical="top" textRotation="90"/>
    </xf>
    <xf numFmtId="49" fontId="1" fillId="7" borderId="10" xfId="0" applyNumberFormat="1" applyFont="1" applyFill="1" applyBorder="1" applyAlignment="1">
      <alignment horizontal="left" vertical="top" wrapText="1"/>
    </xf>
    <xf numFmtId="49" fontId="1" fillId="7" borderId="6" xfId="0" applyNumberFormat="1" applyFont="1" applyFill="1" applyBorder="1" applyAlignment="1">
      <alignment horizontal="left" vertical="top" wrapText="1"/>
    </xf>
    <xf numFmtId="49" fontId="14" fillId="4" borderId="38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49" fontId="5" fillId="7" borderId="12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17" xfId="0" applyNumberFormat="1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left" vertical="top" wrapText="1"/>
    </xf>
    <xf numFmtId="49" fontId="14" fillId="8" borderId="67" xfId="0" applyNumberFormat="1" applyFont="1" applyFill="1" applyBorder="1" applyAlignment="1">
      <alignment horizontal="left" vertical="top" wrapText="1"/>
    </xf>
    <xf numFmtId="49" fontId="14" fillId="8" borderId="69" xfId="0" applyNumberFormat="1" applyFont="1" applyFill="1" applyBorder="1" applyAlignment="1">
      <alignment horizontal="left" vertical="top" wrapText="1"/>
    </xf>
    <xf numFmtId="49" fontId="14" fillId="8" borderId="68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center" textRotation="90" wrapText="1"/>
    </xf>
    <xf numFmtId="164" fontId="4" fillId="0" borderId="28" xfId="0" applyNumberFormat="1" applyFont="1" applyFill="1" applyBorder="1" applyAlignment="1">
      <alignment horizontal="center" vertical="center" textRotation="90" wrapText="1"/>
    </xf>
    <xf numFmtId="164" fontId="4" fillId="0" borderId="14" xfId="0" applyNumberFormat="1" applyFont="1" applyFill="1" applyBorder="1" applyAlignment="1">
      <alignment horizontal="center" vertical="center" textRotation="90" wrapText="1"/>
    </xf>
    <xf numFmtId="164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Border="1" applyAlignment="1">
      <alignment horizontal="left" vertical="top" wrapText="1"/>
    </xf>
    <xf numFmtId="49" fontId="1" fillId="7" borderId="73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33" xfId="0" applyNumberFormat="1" applyFont="1" applyFill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7" borderId="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5" fillId="7" borderId="11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" fillId="7" borderId="29" xfId="0" applyNumberFormat="1" applyFont="1" applyFill="1" applyBorder="1" applyAlignment="1">
      <alignment horizontal="center" vertical="top"/>
    </xf>
    <xf numFmtId="0" fontId="5" fillId="7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center" vertical="top"/>
    </xf>
    <xf numFmtId="1" fontId="3" fillId="5" borderId="72" xfId="0" applyNumberFormat="1" applyFont="1" applyFill="1" applyBorder="1" applyAlignment="1">
      <alignment horizontal="center" vertical="top" wrapText="1"/>
    </xf>
    <xf numFmtId="1" fontId="3" fillId="5" borderId="75" xfId="0" applyNumberFormat="1" applyFont="1" applyFill="1" applyBorder="1" applyAlignment="1">
      <alignment horizontal="center" vertical="top" wrapText="1"/>
    </xf>
    <xf numFmtId="1" fontId="3" fillId="5" borderId="60" xfId="0" applyNumberFormat="1" applyFont="1" applyFill="1" applyBorder="1" applyAlignment="1">
      <alignment horizontal="center" vertical="top" wrapText="1"/>
    </xf>
    <xf numFmtId="1" fontId="5" fillId="0" borderId="35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top" wrapText="1"/>
    </xf>
    <xf numFmtId="1" fontId="5" fillId="0" borderId="42" xfId="0" applyNumberFormat="1" applyFont="1" applyBorder="1" applyAlignment="1">
      <alignment horizontal="center" vertical="top" wrapText="1"/>
    </xf>
    <xf numFmtId="1" fontId="5" fillId="0" borderId="57" xfId="0" applyNumberFormat="1" applyFont="1" applyBorder="1" applyAlignment="1">
      <alignment horizontal="center" vertical="top" wrapText="1"/>
    </xf>
    <xf numFmtId="1" fontId="4" fillId="5" borderId="35" xfId="0" applyNumberFormat="1" applyFont="1" applyFill="1" applyBorder="1" applyAlignment="1">
      <alignment horizontal="center" vertical="top"/>
    </xf>
    <xf numFmtId="1" fontId="4" fillId="5" borderId="42" xfId="0" applyNumberFormat="1" applyFont="1" applyFill="1" applyBorder="1" applyAlignment="1">
      <alignment horizontal="center" vertical="top"/>
    </xf>
    <xf numFmtId="1" fontId="4" fillId="5" borderId="57" xfId="0" applyNumberFormat="1" applyFont="1" applyFill="1" applyBorder="1" applyAlignment="1">
      <alignment horizontal="center" vertical="top"/>
    </xf>
    <xf numFmtId="1" fontId="5" fillId="0" borderId="35" xfId="0" applyNumberFormat="1" applyFont="1" applyBorder="1" applyAlignment="1">
      <alignment horizontal="center" vertical="top"/>
    </xf>
    <xf numFmtId="1" fontId="5" fillId="0" borderId="42" xfId="0" applyNumberFormat="1" applyFont="1" applyBorder="1" applyAlignment="1">
      <alignment horizontal="center" vertical="top"/>
    </xf>
    <xf numFmtId="1" fontId="5" fillId="0" borderId="57" xfId="0" applyNumberFormat="1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0" fontId="3" fillId="5" borderId="41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right" vertical="top"/>
    </xf>
    <xf numFmtId="1" fontId="4" fillId="8" borderId="67" xfId="0" applyNumberFormat="1" applyFont="1" applyFill="1" applyBorder="1" applyAlignment="1">
      <alignment horizontal="center" vertical="top"/>
    </xf>
    <xf numFmtId="1" fontId="4" fillId="8" borderId="69" xfId="0" applyNumberFormat="1" applyFont="1" applyFill="1" applyBorder="1" applyAlignment="1">
      <alignment horizontal="center" vertical="top"/>
    </xf>
    <xf numFmtId="1" fontId="4" fillId="8" borderId="68" xfId="0" applyNumberFormat="1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right" vertical="top"/>
    </xf>
    <xf numFmtId="0" fontId="3" fillId="8" borderId="24" xfId="0" applyFont="1" applyFill="1" applyBorder="1" applyAlignment="1">
      <alignment horizontal="right" vertical="top"/>
    </xf>
    <xf numFmtId="49" fontId="24" fillId="3" borderId="5" xfId="0" applyNumberFormat="1" applyFont="1" applyFill="1" applyBorder="1" applyAlignment="1">
      <alignment horizontal="center" vertical="top"/>
    </xf>
    <xf numFmtId="49" fontId="24" fillId="3" borderId="9" xfId="0" applyNumberFormat="1" applyFont="1" applyFill="1" applyBorder="1" applyAlignment="1">
      <alignment horizontal="center" vertical="top"/>
    </xf>
    <xf numFmtId="49" fontId="24" fillId="0" borderId="5" xfId="0" applyNumberFormat="1" applyFont="1" applyBorder="1" applyAlignment="1">
      <alignment horizontal="center" vertical="top"/>
    </xf>
    <xf numFmtId="49" fontId="24" fillId="0" borderId="9" xfId="0" applyNumberFormat="1" applyFont="1" applyBorder="1" applyAlignment="1">
      <alignment horizontal="center" vertical="top"/>
    </xf>
    <xf numFmtId="0" fontId="25" fillId="7" borderId="6" xfId="0" applyFont="1" applyFill="1" applyBorder="1" applyAlignment="1">
      <alignment vertical="top" wrapText="1"/>
    </xf>
    <xf numFmtId="0" fontId="25" fillId="7" borderId="17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32" xfId="0" applyFont="1" applyFill="1" applyBorder="1" applyAlignment="1">
      <alignment horizontal="center" vertical="center" textRotation="90" wrapText="1"/>
    </xf>
    <xf numFmtId="49" fontId="24" fillId="0" borderId="6" xfId="0" applyNumberFormat="1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 vertical="top"/>
    </xf>
    <xf numFmtId="0" fontId="25" fillId="7" borderId="11" xfId="0" applyFont="1" applyFill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49" fontId="29" fillId="2" borderId="11" xfId="0" applyNumberFormat="1" applyFont="1" applyFill="1" applyBorder="1" applyAlignment="1">
      <alignment horizontal="center" vertical="top"/>
    </xf>
    <xf numFmtId="49" fontId="29" fillId="2" borderId="14" xfId="0" applyNumberFormat="1" applyFont="1" applyFill="1" applyBorder="1" applyAlignment="1">
      <alignment horizontal="center" vertical="top"/>
    </xf>
    <xf numFmtId="49" fontId="29" fillId="2" borderId="23" xfId="0" applyNumberFormat="1" applyFont="1" applyFill="1" applyBorder="1" applyAlignment="1">
      <alignment horizontal="center" vertical="top"/>
    </xf>
    <xf numFmtId="49" fontId="29" fillId="3" borderId="5" xfId="0" applyNumberFormat="1" applyFont="1" applyFill="1" applyBorder="1" applyAlignment="1">
      <alignment horizontal="center" vertical="top"/>
    </xf>
    <xf numFmtId="49" fontId="29" fillId="3" borderId="15" xfId="0" applyNumberFormat="1" applyFont="1" applyFill="1" applyBorder="1" applyAlignment="1">
      <alignment horizontal="center" vertical="top"/>
    </xf>
    <xf numFmtId="49" fontId="29" fillId="3" borderId="9" xfId="0" applyNumberFormat="1" applyFont="1" applyFill="1" applyBorder="1" applyAlignment="1">
      <alignment horizontal="center" vertical="top"/>
    </xf>
    <xf numFmtId="49" fontId="29" fillId="4" borderId="36" xfId="0" applyNumberFormat="1" applyFont="1" applyFill="1" applyBorder="1" applyAlignment="1">
      <alignment horizontal="center" vertical="top" wrapText="1"/>
    </xf>
    <xf numFmtId="49" fontId="29" fillId="4" borderId="34" xfId="0" applyNumberFormat="1" applyFont="1" applyFill="1" applyBorder="1" applyAlignment="1">
      <alignment horizontal="center" vertical="top" wrapText="1"/>
    </xf>
    <xf numFmtId="49" fontId="29" fillId="4" borderId="38" xfId="0" applyNumberFormat="1" applyFont="1" applyFill="1" applyBorder="1" applyAlignment="1">
      <alignment horizontal="center" vertical="top" wrapText="1"/>
    </xf>
    <xf numFmtId="0" fontId="28" fillId="7" borderId="6" xfId="0" applyNumberFormat="1" applyFont="1" applyFill="1" applyBorder="1" applyAlignment="1">
      <alignment horizontal="left" vertical="top" wrapText="1"/>
    </xf>
    <xf numFmtId="0" fontId="28" fillId="7" borderId="10" xfId="0" applyNumberFormat="1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center" vertical="top"/>
    </xf>
    <xf numFmtId="49" fontId="20" fillId="0" borderId="17" xfId="0" applyNumberFormat="1" applyFont="1" applyBorder="1" applyAlignment="1">
      <alignment horizontal="center" vertical="top"/>
    </xf>
    <xf numFmtId="0" fontId="21" fillId="7" borderId="11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49" fontId="20" fillId="3" borderId="5" xfId="0" applyNumberFormat="1" applyFont="1" applyFill="1" applyBorder="1" applyAlignment="1">
      <alignment horizontal="center" vertical="top"/>
    </xf>
    <xf numFmtId="49" fontId="20" fillId="3" borderId="9" xfId="0" applyNumberFormat="1" applyFont="1" applyFill="1" applyBorder="1" applyAlignment="1">
      <alignment horizontal="center" vertical="top"/>
    </xf>
    <xf numFmtId="49" fontId="20" fillId="0" borderId="5" xfId="0" applyNumberFormat="1" applyFont="1" applyBorder="1" applyAlignment="1">
      <alignment horizontal="center" vertical="top"/>
    </xf>
    <xf numFmtId="49" fontId="20" fillId="0" borderId="9" xfId="0" applyNumberFormat="1" applyFont="1" applyBorder="1" applyAlignment="1">
      <alignment horizontal="center" vertical="top"/>
    </xf>
    <xf numFmtId="0" fontId="21" fillId="7" borderId="6" xfId="0" applyFont="1" applyFill="1" applyBorder="1" applyAlignment="1">
      <alignment vertical="top" wrapText="1"/>
    </xf>
    <xf numFmtId="0" fontId="21" fillId="7" borderId="17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horizontal="center" vertical="center" textRotation="90" wrapText="1"/>
    </xf>
    <xf numFmtId="0" fontId="22" fillId="0" borderId="32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textRotation="90"/>
    </xf>
    <xf numFmtId="49" fontId="5" fillId="0" borderId="10" xfId="0" applyNumberFormat="1" applyFont="1" applyFill="1" applyBorder="1" applyAlignment="1">
      <alignment horizontal="center" vertical="top" textRotation="90"/>
    </xf>
    <xf numFmtId="49" fontId="14" fillId="2" borderId="11" xfId="0" applyNumberFormat="1" applyFont="1" applyFill="1" applyBorder="1" applyAlignment="1">
      <alignment horizontal="center" vertical="top"/>
    </xf>
    <xf numFmtId="49" fontId="14" fillId="2" borderId="14" xfId="0" applyNumberFormat="1" applyFont="1" applyFill="1" applyBorder="1" applyAlignment="1">
      <alignment horizontal="center" vertical="top"/>
    </xf>
    <xf numFmtId="49" fontId="14" fillId="2" borderId="23" xfId="0" applyNumberFormat="1" applyFont="1" applyFill="1" applyBorder="1" applyAlignment="1">
      <alignment horizontal="center" vertical="top"/>
    </xf>
    <xf numFmtId="49" fontId="14" fillId="3" borderId="5" xfId="0" applyNumberFormat="1" applyFont="1" applyFill="1" applyBorder="1" applyAlignment="1">
      <alignment horizontal="center" vertical="top"/>
    </xf>
    <xf numFmtId="49" fontId="14" fillId="3" borderId="15" xfId="0" applyNumberFormat="1" applyFont="1" applyFill="1" applyBorder="1" applyAlignment="1">
      <alignment horizontal="center" vertical="top"/>
    </xf>
    <xf numFmtId="49" fontId="14" fillId="3" borderId="9" xfId="0" applyNumberFormat="1" applyFont="1" applyFill="1" applyBorder="1" applyAlignment="1">
      <alignment horizontal="center" vertical="top"/>
    </xf>
    <xf numFmtId="49" fontId="14" fillId="4" borderId="36" xfId="0" applyNumberFormat="1" applyFont="1" applyFill="1" applyBorder="1" applyAlignment="1">
      <alignment horizontal="center" vertical="top" wrapText="1"/>
    </xf>
    <xf numFmtId="49" fontId="14" fillId="4" borderId="34" xfId="0" applyNumberFormat="1" applyFont="1" applyFill="1" applyBorder="1" applyAlignment="1">
      <alignment horizontal="center" vertical="top" wrapText="1"/>
    </xf>
    <xf numFmtId="49" fontId="14" fillId="4" borderId="38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0" xfId="0" applyNumberFormat="1" applyFont="1" applyBorder="1" applyAlignment="1">
      <alignment horizontal="center" vertical="center" textRotation="90" wrapText="1"/>
    </xf>
    <xf numFmtId="164" fontId="1" fillId="0" borderId="17" xfId="0" applyNumberFormat="1" applyFont="1" applyBorder="1" applyAlignment="1">
      <alignment horizontal="center" vertical="center" textRotation="90" wrapText="1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textRotation="90" wrapText="1"/>
    </xf>
    <xf numFmtId="164" fontId="5" fillId="0" borderId="17" xfId="0" applyNumberFormat="1" applyFont="1" applyBorder="1" applyAlignment="1">
      <alignment horizontal="center" vertical="center" textRotation="90" wrapText="1"/>
    </xf>
  </cellXfs>
  <cellStyles count="2">
    <cellStyle name="Įprastas" xfId="0" builtinId="0"/>
    <cellStyle name="Normal_sam_pried_SportasMAX-darbinisSBx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zoomScale="130" zoomScaleNormal="130" zoomScaleSheetLayoutView="90" workbookViewId="0">
      <selection activeCell="U14" sqref="U14"/>
    </sheetView>
  </sheetViews>
  <sheetFormatPr defaultRowHeight="12.75" x14ac:dyDescent="0.2"/>
  <cols>
    <col min="1" max="3" width="2.7109375" style="59" customWidth="1"/>
    <col min="4" max="4" width="38.7109375" style="59" customWidth="1"/>
    <col min="5" max="5" width="3.5703125" style="109" customWidth="1"/>
    <col min="6" max="6" width="3.28515625" style="109" customWidth="1"/>
    <col min="7" max="7" width="2.85546875" style="109" customWidth="1"/>
    <col min="8" max="8" width="8" style="59" customWidth="1"/>
    <col min="9" max="10" width="7.42578125" style="59" customWidth="1"/>
    <col min="11" max="11" width="6.7109375" style="59" customWidth="1"/>
    <col min="12" max="12" width="6.28515625" style="59" customWidth="1"/>
    <col min="13" max="14" width="7.140625" style="59" customWidth="1"/>
    <col min="15" max="15" width="30.42578125" style="110" customWidth="1"/>
    <col min="16" max="18" width="4.85546875" style="111" customWidth="1"/>
    <col min="19" max="24" width="9.140625" style="1" customWidth="1"/>
    <col min="25" max="16384" width="9.140625" style="1"/>
  </cols>
  <sheetData>
    <row r="1" spans="1:27" s="122" customFormat="1" x14ac:dyDescent="0.2">
      <c r="A1" s="1414" t="s">
        <v>126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  <c r="S1" s="1414"/>
    </row>
    <row r="2" spans="1:27" s="122" customFormat="1" x14ac:dyDescent="0.2">
      <c r="A2" s="1415" t="s">
        <v>81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</row>
    <row r="3" spans="1:27" s="122" customFormat="1" x14ac:dyDescent="0.2">
      <c r="A3" s="1416" t="s">
        <v>68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</row>
    <row r="4" spans="1:27" s="122" customFormat="1" ht="13.5" thickBot="1" x14ac:dyDescent="0.2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1417" t="s">
        <v>0</v>
      </c>
      <c r="Q4" s="1417"/>
      <c r="R4" s="1417"/>
      <c r="S4" s="340"/>
    </row>
    <row r="5" spans="1:27" ht="12.75" customHeight="1" x14ac:dyDescent="0.2">
      <c r="A5" s="1418" t="s">
        <v>1</v>
      </c>
      <c r="B5" s="1421" t="s">
        <v>2</v>
      </c>
      <c r="C5" s="1421" t="s">
        <v>3</v>
      </c>
      <c r="D5" s="1424" t="s">
        <v>4</v>
      </c>
      <c r="E5" s="1427" t="s">
        <v>5</v>
      </c>
      <c r="F5" s="1430" t="s">
        <v>111</v>
      </c>
      <c r="G5" s="1458" t="s">
        <v>6</v>
      </c>
      <c r="H5" s="1461" t="s">
        <v>7</v>
      </c>
      <c r="I5" s="1464" t="s">
        <v>67</v>
      </c>
      <c r="J5" s="1465"/>
      <c r="K5" s="1465"/>
      <c r="L5" s="1466"/>
      <c r="M5" s="1450" t="s">
        <v>127</v>
      </c>
      <c r="N5" s="1450" t="s">
        <v>128</v>
      </c>
      <c r="O5" s="1453" t="s">
        <v>8</v>
      </c>
      <c r="P5" s="1454"/>
      <c r="Q5" s="1454"/>
      <c r="R5" s="1455"/>
    </row>
    <row r="6" spans="1:27" ht="12.75" customHeight="1" x14ac:dyDescent="0.2">
      <c r="A6" s="1419"/>
      <c r="B6" s="1422"/>
      <c r="C6" s="1422"/>
      <c r="D6" s="1425"/>
      <c r="E6" s="1428"/>
      <c r="F6" s="1431"/>
      <c r="G6" s="1459"/>
      <c r="H6" s="1462"/>
      <c r="I6" s="1456" t="s">
        <v>9</v>
      </c>
      <c r="J6" s="1405" t="s">
        <v>10</v>
      </c>
      <c r="K6" s="1406"/>
      <c r="L6" s="1407" t="s">
        <v>11</v>
      </c>
      <c r="M6" s="1451"/>
      <c r="N6" s="1451"/>
      <c r="O6" s="1433" t="s">
        <v>4</v>
      </c>
      <c r="P6" s="1435" t="s">
        <v>12</v>
      </c>
      <c r="Q6" s="1436"/>
      <c r="R6" s="1437"/>
    </row>
    <row r="7" spans="1:27" ht="114" customHeight="1" thickBot="1" x14ac:dyDescent="0.25">
      <c r="A7" s="1420"/>
      <c r="B7" s="1423"/>
      <c r="C7" s="1423"/>
      <c r="D7" s="1426"/>
      <c r="E7" s="1429"/>
      <c r="F7" s="1432"/>
      <c r="G7" s="1460"/>
      <c r="H7" s="1463"/>
      <c r="I7" s="1457"/>
      <c r="J7" s="195" t="s">
        <v>9</v>
      </c>
      <c r="K7" s="195" t="s">
        <v>13</v>
      </c>
      <c r="L7" s="1408"/>
      <c r="M7" s="1452"/>
      <c r="N7" s="1452"/>
      <c r="O7" s="1434"/>
      <c r="P7" s="2" t="s">
        <v>14</v>
      </c>
      <c r="Q7" s="2" t="s">
        <v>15</v>
      </c>
      <c r="R7" s="3" t="s">
        <v>91</v>
      </c>
      <c r="U7" s="4"/>
    </row>
    <row r="8" spans="1:27" ht="13.5" thickBot="1" x14ac:dyDescent="0.25">
      <c r="A8" s="1438" t="s">
        <v>16</v>
      </c>
      <c r="B8" s="1439"/>
      <c r="C8" s="1439"/>
      <c r="D8" s="1439"/>
      <c r="E8" s="1439"/>
      <c r="F8" s="1439"/>
      <c r="G8" s="1439"/>
      <c r="H8" s="1439"/>
      <c r="I8" s="1439"/>
      <c r="J8" s="1439"/>
      <c r="K8" s="1439"/>
      <c r="L8" s="1439"/>
      <c r="M8" s="1439"/>
      <c r="N8" s="1439"/>
      <c r="O8" s="1439"/>
      <c r="P8" s="1439"/>
      <c r="Q8" s="1439"/>
      <c r="R8" s="1440"/>
      <c r="U8" s="4"/>
    </row>
    <row r="9" spans="1:27" ht="13.5" thickBot="1" x14ac:dyDescent="0.25">
      <c r="A9" s="1441" t="s">
        <v>17</v>
      </c>
      <c r="B9" s="1442"/>
      <c r="C9" s="1442"/>
      <c r="D9" s="1442"/>
      <c r="E9" s="1442"/>
      <c r="F9" s="1442"/>
      <c r="G9" s="1442"/>
      <c r="H9" s="1442"/>
      <c r="I9" s="1442"/>
      <c r="J9" s="1442"/>
      <c r="K9" s="1442"/>
      <c r="L9" s="1442"/>
      <c r="M9" s="1442"/>
      <c r="N9" s="1442"/>
      <c r="O9" s="1442"/>
      <c r="P9" s="1442"/>
      <c r="Q9" s="1442"/>
      <c r="R9" s="1443"/>
    </row>
    <row r="10" spans="1:27" ht="14.25" customHeight="1" thickBot="1" x14ac:dyDescent="0.25">
      <c r="A10" s="5" t="s">
        <v>18</v>
      </c>
      <c r="B10" s="1444" t="s">
        <v>77</v>
      </c>
      <c r="C10" s="1444"/>
      <c r="D10" s="1444"/>
      <c r="E10" s="1444"/>
      <c r="F10" s="1444"/>
      <c r="G10" s="1444"/>
      <c r="H10" s="1444"/>
      <c r="I10" s="1445"/>
      <c r="J10" s="1445"/>
      <c r="K10" s="1445"/>
      <c r="L10" s="1445"/>
      <c r="M10" s="1445"/>
      <c r="N10" s="1445"/>
      <c r="O10" s="1445"/>
      <c r="P10" s="1445"/>
      <c r="Q10" s="1445"/>
      <c r="R10" s="1446"/>
    </row>
    <row r="11" spans="1:27" ht="13.5" thickBot="1" x14ac:dyDescent="0.25">
      <c r="A11" s="318" t="s">
        <v>18</v>
      </c>
      <c r="B11" s="121" t="s">
        <v>18</v>
      </c>
      <c r="C11" s="1447" t="s">
        <v>88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48"/>
      <c r="P11" s="1448"/>
      <c r="Q11" s="1448"/>
      <c r="R11" s="1449"/>
      <c r="U11" s="4"/>
    </row>
    <row r="12" spans="1:27" ht="26.25" customHeight="1" x14ac:dyDescent="0.2">
      <c r="A12" s="1290" t="s">
        <v>18</v>
      </c>
      <c r="B12" s="1292" t="s">
        <v>18</v>
      </c>
      <c r="C12" s="1397" t="s">
        <v>18</v>
      </c>
      <c r="D12" s="1399" t="s">
        <v>80</v>
      </c>
      <c r="E12" s="1411" t="s">
        <v>110</v>
      </c>
      <c r="F12" s="1403" t="s">
        <v>19</v>
      </c>
      <c r="G12" s="1409" t="s">
        <v>20</v>
      </c>
      <c r="H12" s="115" t="s">
        <v>21</v>
      </c>
      <c r="I12" s="200">
        <f t="shared" ref="I12:I17" si="0">J12+L12</f>
        <v>10</v>
      </c>
      <c r="J12" s="196">
        <v>10</v>
      </c>
      <c r="K12" s="196"/>
      <c r="L12" s="197"/>
      <c r="M12" s="135">
        <v>30</v>
      </c>
      <c r="N12" s="135">
        <v>40</v>
      </c>
      <c r="O12" s="13" t="s">
        <v>93</v>
      </c>
      <c r="P12" s="319">
        <v>2</v>
      </c>
      <c r="Q12" s="314">
        <v>3</v>
      </c>
      <c r="R12" s="316">
        <v>4</v>
      </c>
      <c r="AA12" s="4"/>
    </row>
    <row r="13" spans="1:27" ht="13.5" thickBot="1" x14ac:dyDescent="0.25">
      <c r="A13" s="1291"/>
      <c r="B13" s="1293"/>
      <c r="C13" s="1398"/>
      <c r="D13" s="1400"/>
      <c r="E13" s="1412"/>
      <c r="F13" s="1404"/>
      <c r="G13" s="1410"/>
      <c r="H13" s="207" t="s">
        <v>22</v>
      </c>
      <c r="I13" s="335">
        <f t="shared" si="0"/>
        <v>10</v>
      </c>
      <c r="J13" s="336">
        <f>J12</f>
        <v>10</v>
      </c>
      <c r="K13" s="336"/>
      <c r="L13" s="199"/>
      <c r="M13" s="210">
        <f>+M12</f>
        <v>30</v>
      </c>
      <c r="N13" s="211">
        <f>+N12</f>
        <v>40</v>
      </c>
      <c r="O13" s="15"/>
      <c r="P13" s="79"/>
      <c r="Q13" s="148"/>
      <c r="R13" s="321"/>
      <c r="AA13" s="4"/>
    </row>
    <row r="14" spans="1:27" ht="29.25" customHeight="1" x14ac:dyDescent="0.2">
      <c r="A14" s="1290" t="s">
        <v>18</v>
      </c>
      <c r="B14" s="1292" t="s">
        <v>18</v>
      </c>
      <c r="C14" s="1397" t="s">
        <v>23</v>
      </c>
      <c r="D14" s="1399" t="s">
        <v>92</v>
      </c>
      <c r="E14" s="1411"/>
      <c r="F14" s="1403" t="s">
        <v>19</v>
      </c>
      <c r="G14" s="1409" t="s">
        <v>20</v>
      </c>
      <c r="H14" s="152" t="s">
        <v>21</v>
      </c>
      <c r="I14" s="200">
        <f t="shared" si="0"/>
        <v>10</v>
      </c>
      <c r="J14" s="196">
        <v>10</v>
      </c>
      <c r="K14" s="196"/>
      <c r="L14" s="197"/>
      <c r="M14" s="134">
        <v>13</v>
      </c>
      <c r="N14" s="135">
        <v>13</v>
      </c>
      <c r="O14" s="24" t="s">
        <v>94</v>
      </c>
      <c r="P14" s="319">
        <v>12</v>
      </c>
      <c r="Q14" s="314">
        <v>12</v>
      </c>
      <c r="R14" s="316">
        <v>12</v>
      </c>
      <c r="AA14" s="4"/>
    </row>
    <row r="15" spans="1:27" ht="13.5" thickBot="1" x14ac:dyDescent="0.25">
      <c r="A15" s="1291"/>
      <c r="B15" s="1293"/>
      <c r="C15" s="1398"/>
      <c r="D15" s="1400"/>
      <c r="E15" s="1412"/>
      <c r="F15" s="1404"/>
      <c r="G15" s="1410"/>
      <c r="H15" s="366" t="s">
        <v>22</v>
      </c>
      <c r="I15" s="201">
        <f t="shared" si="0"/>
        <v>10</v>
      </c>
      <c r="J15" s="202">
        <f>SUM(J14)</f>
        <v>10</v>
      </c>
      <c r="K15" s="202"/>
      <c r="L15" s="203"/>
      <c r="M15" s="212">
        <f>+M14</f>
        <v>13</v>
      </c>
      <c r="N15" s="213">
        <f>+N14</f>
        <v>13</v>
      </c>
      <c r="O15" s="147"/>
      <c r="P15" s="320"/>
      <c r="Q15" s="315"/>
      <c r="R15" s="317"/>
      <c r="AA15" s="4"/>
    </row>
    <row r="16" spans="1:27" ht="23.25" customHeight="1" x14ac:dyDescent="0.2">
      <c r="A16" s="1290" t="s">
        <v>18</v>
      </c>
      <c r="B16" s="1292" t="s">
        <v>18</v>
      </c>
      <c r="C16" s="1397" t="s">
        <v>26</v>
      </c>
      <c r="D16" s="1399" t="s">
        <v>95</v>
      </c>
      <c r="E16" s="1401"/>
      <c r="F16" s="1403" t="s">
        <v>19</v>
      </c>
      <c r="G16" s="1301" t="s">
        <v>20</v>
      </c>
      <c r="H16" s="115" t="s">
        <v>21</v>
      </c>
      <c r="I16" s="200">
        <f t="shared" si="0"/>
        <v>12.7</v>
      </c>
      <c r="J16" s="196">
        <v>12.7</v>
      </c>
      <c r="K16" s="196"/>
      <c r="L16" s="197"/>
      <c r="M16" s="135">
        <v>30</v>
      </c>
      <c r="N16" s="135">
        <v>40</v>
      </c>
      <c r="O16" s="1284" t="s">
        <v>93</v>
      </c>
      <c r="P16" s="1391">
        <v>5</v>
      </c>
      <c r="Q16" s="1393">
        <v>5</v>
      </c>
      <c r="R16" s="1395">
        <v>5</v>
      </c>
      <c r="AA16" s="4"/>
    </row>
    <row r="17" spans="1:27" ht="18" customHeight="1" thickBot="1" x14ac:dyDescent="0.25">
      <c r="A17" s="1291"/>
      <c r="B17" s="1293"/>
      <c r="C17" s="1398"/>
      <c r="D17" s="1400"/>
      <c r="E17" s="1402"/>
      <c r="F17" s="1404"/>
      <c r="G17" s="1302"/>
      <c r="H17" s="334" t="s">
        <v>22</v>
      </c>
      <c r="I17" s="240">
        <f t="shared" si="0"/>
        <v>12.7</v>
      </c>
      <c r="J17" s="337">
        <f>J16</f>
        <v>12.7</v>
      </c>
      <c r="K17" s="336"/>
      <c r="L17" s="199"/>
      <c r="M17" s="211">
        <f>+M16</f>
        <v>30</v>
      </c>
      <c r="N17" s="211">
        <f>+N16</f>
        <v>40</v>
      </c>
      <c r="O17" s="1285"/>
      <c r="P17" s="1392"/>
      <c r="Q17" s="1394"/>
      <c r="R17" s="1396"/>
      <c r="AA17" s="4"/>
    </row>
    <row r="18" spans="1:27" ht="13.5" thickBot="1" x14ac:dyDescent="0.25">
      <c r="A18" s="16" t="s">
        <v>18</v>
      </c>
      <c r="B18" s="17" t="s">
        <v>18</v>
      </c>
      <c r="C18" s="1387" t="s">
        <v>27</v>
      </c>
      <c r="D18" s="1277"/>
      <c r="E18" s="1277"/>
      <c r="F18" s="1277"/>
      <c r="G18" s="1277"/>
      <c r="H18" s="1327"/>
      <c r="I18" s="85">
        <f>J18+L18</f>
        <v>32.700000000000003</v>
      </c>
      <c r="J18" s="349">
        <f>J17+J15+J13</f>
        <v>32.700000000000003</v>
      </c>
      <c r="K18" s="173"/>
      <c r="L18" s="350"/>
      <c r="M18" s="120">
        <f>M13+M15+M17</f>
        <v>73</v>
      </c>
      <c r="N18" s="120">
        <f>N13+N15+N17</f>
        <v>93</v>
      </c>
      <c r="O18" s="1388"/>
      <c r="P18" s="1389"/>
      <c r="Q18" s="1389"/>
      <c r="R18" s="1390"/>
    </row>
    <row r="19" spans="1:27" ht="13.5" thickBot="1" x14ac:dyDescent="0.25">
      <c r="A19" s="16" t="s">
        <v>18</v>
      </c>
      <c r="B19" s="18" t="s">
        <v>23</v>
      </c>
      <c r="C19" s="1383" t="s">
        <v>76</v>
      </c>
      <c r="D19" s="1384"/>
      <c r="E19" s="1384"/>
      <c r="F19" s="1384"/>
      <c r="G19" s="1384"/>
      <c r="H19" s="1385"/>
      <c r="I19" s="1384"/>
      <c r="J19" s="1384"/>
      <c r="K19" s="1384"/>
      <c r="L19" s="1384"/>
      <c r="M19" s="1384"/>
      <c r="N19" s="1384"/>
      <c r="O19" s="1384"/>
      <c r="P19" s="1384"/>
      <c r="Q19" s="1384"/>
      <c r="R19" s="1386"/>
      <c r="U19" s="4"/>
    </row>
    <row r="20" spans="1:27" s="19" customFormat="1" ht="26.25" customHeight="1" x14ac:dyDescent="0.2">
      <c r="A20" s="450" t="s">
        <v>18</v>
      </c>
      <c r="B20" s="428" t="s">
        <v>23</v>
      </c>
      <c r="C20" s="123" t="s">
        <v>18</v>
      </c>
      <c r="D20" s="383" t="s">
        <v>70</v>
      </c>
      <c r="E20" s="164"/>
      <c r="F20" s="165" t="s">
        <v>19</v>
      </c>
      <c r="G20" s="194">
        <v>2</v>
      </c>
      <c r="H20" s="368" t="s">
        <v>21</v>
      </c>
      <c r="I20" s="200">
        <f>J20+L20</f>
        <v>10778.9</v>
      </c>
      <c r="J20" s="196">
        <v>10778.9</v>
      </c>
      <c r="K20" s="196">
        <v>6899.6</v>
      </c>
      <c r="L20" s="197">
        <v>0</v>
      </c>
      <c r="M20" s="181">
        <v>11358.3</v>
      </c>
      <c r="N20" s="181">
        <f>12040.4-N21</f>
        <v>11358.3</v>
      </c>
      <c r="O20" s="81" t="s">
        <v>28</v>
      </c>
      <c r="P20" s="296">
        <v>3254</v>
      </c>
      <c r="Q20" s="296">
        <v>3304</v>
      </c>
      <c r="R20" s="297">
        <v>3404</v>
      </c>
    </row>
    <row r="21" spans="1:27" s="19" customFormat="1" ht="15.75" customHeight="1" x14ac:dyDescent="0.2">
      <c r="A21" s="430"/>
      <c r="B21" s="431"/>
      <c r="C21" s="447"/>
      <c r="D21" s="324" t="s">
        <v>112</v>
      </c>
      <c r="E21" s="166"/>
      <c r="F21" s="167"/>
      <c r="G21" s="168"/>
      <c r="H21" s="384" t="s">
        <v>29</v>
      </c>
      <c r="I21" s="385">
        <f>J21+L21</f>
        <v>682.1</v>
      </c>
      <c r="J21" s="386">
        <v>592.9</v>
      </c>
      <c r="K21" s="386"/>
      <c r="L21" s="387">
        <v>89.2</v>
      </c>
      <c r="M21" s="388">
        <v>682.1</v>
      </c>
      <c r="N21" s="388">
        <v>682.1</v>
      </c>
      <c r="O21" s="1413" t="s">
        <v>30</v>
      </c>
      <c r="P21" s="34">
        <v>13</v>
      </c>
      <c r="Q21" s="131">
        <v>13.5</v>
      </c>
      <c r="R21" s="298">
        <v>14</v>
      </c>
    </row>
    <row r="22" spans="1:27" s="19" customFormat="1" ht="15.75" customHeight="1" x14ac:dyDescent="0.2">
      <c r="A22" s="430"/>
      <c r="B22" s="431"/>
      <c r="C22" s="447"/>
      <c r="D22" s="324" t="s">
        <v>113</v>
      </c>
      <c r="E22" s="166"/>
      <c r="F22" s="167"/>
      <c r="G22" s="168"/>
      <c r="H22" s="116"/>
      <c r="I22" s="385"/>
      <c r="J22" s="386"/>
      <c r="K22" s="386"/>
      <c r="L22" s="229"/>
      <c r="M22" s="151"/>
      <c r="N22" s="151"/>
      <c r="O22" s="1413"/>
      <c r="P22" s="139"/>
      <c r="Q22" s="139"/>
      <c r="R22" s="140"/>
    </row>
    <row r="23" spans="1:27" s="19" customFormat="1" ht="28.5" customHeight="1" x14ac:dyDescent="0.2">
      <c r="A23" s="430"/>
      <c r="B23" s="431"/>
      <c r="C23" s="447"/>
      <c r="D23" s="324" t="s">
        <v>114</v>
      </c>
      <c r="E23" s="166"/>
      <c r="F23" s="167"/>
      <c r="G23" s="168"/>
      <c r="H23" s="116"/>
      <c r="I23" s="385"/>
      <c r="J23" s="386"/>
      <c r="K23" s="386"/>
      <c r="L23" s="389"/>
      <c r="M23" s="151"/>
      <c r="N23" s="151"/>
      <c r="O23" s="10"/>
      <c r="P23" s="273"/>
      <c r="Q23" s="189"/>
      <c r="R23" s="274"/>
    </row>
    <row r="24" spans="1:27" s="19" customFormat="1" ht="13.5" customHeight="1" x14ac:dyDescent="0.2">
      <c r="A24" s="430"/>
      <c r="B24" s="431"/>
      <c r="C24" s="447"/>
      <c r="D24" s="324" t="s">
        <v>115</v>
      </c>
      <c r="E24" s="166"/>
      <c r="F24" s="167"/>
      <c r="G24" s="168"/>
      <c r="H24" s="116"/>
      <c r="I24" s="385"/>
      <c r="J24" s="421"/>
      <c r="K24" s="421"/>
      <c r="L24" s="372"/>
      <c r="M24" s="151"/>
      <c r="N24" s="151"/>
      <c r="O24" s="10"/>
      <c r="P24" s="273"/>
      <c r="Q24" s="189"/>
      <c r="R24" s="274"/>
    </row>
    <row r="25" spans="1:27" s="19" customFormat="1" ht="26.25" customHeight="1" x14ac:dyDescent="0.2">
      <c r="A25" s="430"/>
      <c r="B25" s="431"/>
      <c r="C25" s="447"/>
      <c r="D25" s="324" t="s">
        <v>122</v>
      </c>
      <c r="E25" s="166"/>
      <c r="F25" s="167"/>
      <c r="G25" s="168"/>
      <c r="H25" s="116"/>
      <c r="I25" s="371"/>
      <c r="J25" s="219"/>
      <c r="K25" s="219"/>
      <c r="L25" s="372"/>
      <c r="M25" s="151"/>
      <c r="N25" s="150"/>
      <c r="O25" s="10"/>
      <c r="P25" s="273"/>
      <c r="Q25" s="189"/>
      <c r="R25" s="274"/>
    </row>
    <row r="26" spans="1:27" ht="15" customHeight="1" x14ac:dyDescent="0.2">
      <c r="A26" s="1378"/>
      <c r="B26" s="1380"/>
      <c r="C26" s="1381"/>
      <c r="D26" s="1226" t="s">
        <v>31</v>
      </c>
      <c r="E26" s="166"/>
      <c r="F26" s="167"/>
      <c r="G26" s="168"/>
      <c r="H26" s="390"/>
      <c r="I26" s="391"/>
      <c r="J26" s="392"/>
      <c r="K26" s="393"/>
      <c r="L26" s="394"/>
      <c r="M26" s="395"/>
      <c r="N26" s="274"/>
      <c r="O26" s="355"/>
      <c r="P26" s="439"/>
      <c r="Q26" s="439"/>
      <c r="R26" s="20"/>
    </row>
    <row r="27" spans="1:27" ht="13.5" customHeight="1" thickBot="1" x14ac:dyDescent="0.25">
      <c r="A27" s="1379"/>
      <c r="B27" s="1293"/>
      <c r="C27" s="1382"/>
      <c r="D27" s="1227"/>
      <c r="E27" s="169"/>
      <c r="F27" s="170"/>
      <c r="G27" s="171"/>
      <c r="H27" s="236" t="s">
        <v>22</v>
      </c>
      <c r="I27" s="208">
        <f>SUM(I20:I26)</f>
        <v>11461</v>
      </c>
      <c r="J27" s="449">
        <f t="shared" ref="J27:N27" si="1">SUM(J20:J26)</f>
        <v>11371.8</v>
      </c>
      <c r="K27" s="449">
        <f t="shared" si="1"/>
        <v>6899.6</v>
      </c>
      <c r="L27" s="214">
        <f t="shared" si="1"/>
        <v>89.2</v>
      </c>
      <c r="M27" s="208">
        <f t="shared" si="1"/>
        <v>12040.4</v>
      </c>
      <c r="N27" s="208">
        <f t="shared" si="1"/>
        <v>12040.4</v>
      </c>
      <c r="O27" s="356"/>
      <c r="P27" s="440"/>
      <c r="Q27" s="440"/>
      <c r="R27" s="471"/>
    </row>
    <row r="28" spans="1:27" ht="28.5" customHeight="1" x14ac:dyDescent="0.2">
      <c r="A28" s="444" t="s">
        <v>18</v>
      </c>
      <c r="B28" s="445" t="s">
        <v>23</v>
      </c>
      <c r="C28" s="446" t="s">
        <v>23</v>
      </c>
      <c r="D28" s="451" t="s">
        <v>72</v>
      </c>
      <c r="E28" s="452"/>
      <c r="F28" s="433" t="s">
        <v>19</v>
      </c>
      <c r="G28" s="436" t="s">
        <v>20</v>
      </c>
      <c r="H28" s="453"/>
      <c r="I28" s="454"/>
      <c r="J28" s="455"/>
      <c r="K28" s="455"/>
      <c r="L28" s="456"/>
      <c r="M28" s="457"/>
      <c r="N28" s="458"/>
      <c r="O28" s="459"/>
      <c r="P28" s="400"/>
      <c r="Q28" s="460"/>
      <c r="R28" s="461"/>
      <c r="Y28" s="4"/>
    </row>
    <row r="29" spans="1:27" ht="28.5" customHeight="1" x14ac:dyDescent="0.2">
      <c r="A29" s="418"/>
      <c r="B29" s="419"/>
      <c r="C29" s="420"/>
      <c r="D29" s="462" t="s">
        <v>86</v>
      </c>
      <c r="E29" s="463"/>
      <c r="F29" s="464"/>
      <c r="G29" s="465"/>
      <c r="H29" s="466" t="s">
        <v>21</v>
      </c>
      <c r="I29" s="467">
        <f>J29+L29</f>
        <v>200</v>
      </c>
      <c r="J29" s="468">
        <v>200</v>
      </c>
      <c r="K29" s="202"/>
      <c r="L29" s="203"/>
      <c r="M29" s="469">
        <v>200</v>
      </c>
      <c r="N29" s="470">
        <f>+M29</f>
        <v>200</v>
      </c>
      <c r="O29" s="429" t="s">
        <v>79</v>
      </c>
      <c r="P29" s="292">
        <v>60</v>
      </c>
      <c r="Q29" s="129">
        <v>60</v>
      </c>
      <c r="R29" s="130">
        <v>60</v>
      </c>
    </row>
    <row r="30" spans="1:27" ht="14.25" customHeight="1" x14ac:dyDescent="0.2">
      <c r="A30" s="342"/>
      <c r="B30" s="344"/>
      <c r="C30" s="346"/>
      <c r="D30" s="1368" t="s">
        <v>71</v>
      </c>
      <c r="E30" s="413"/>
      <c r="F30" s="434"/>
      <c r="G30" s="437"/>
      <c r="H30" s="154" t="s">
        <v>21</v>
      </c>
      <c r="I30" s="222">
        <f>J30+L30</f>
        <v>656.5</v>
      </c>
      <c r="J30" s="223">
        <v>656.5</v>
      </c>
      <c r="K30" s="224"/>
      <c r="L30" s="225"/>
      <c r="M30" s="132">
        <v>700</v>
      </c>
      <c r="N30" s="133">
        <v>700</v>
      </c>
      <c r="O30" s="1370" t="s">
        <v>79</v>
      </c>
      <c r="P30" s="292">
        <v>195</v>
      </c>
      <c r="Q30" s="129">
        <v>195</v>
      </c>
      <c r="R30" s="130">
        <v>200</v>
      </c>
      <c r="Z30" s="4"/>
    </row>
    <row r="31" spans="1:27" ht="13.5" thickBot="1" x14ac:dyDescent="0.25">
      <c r="A31" s="343"/>
      <c r="B31" s="345"/>
      <c r="C31" s="347"/>
      <c r="D31" s="1369"/>
      <c r="E31" s="414"/>
      <c r="F31" s="435"/>
      <c r="G31" s="438"/>
      <c r="H31" s="443" t="s">
        <v>22</v>
      </c>
      <c r="I31" s="226">
        <f>J31+L31</f>
        <v>856.5</v>
      </c>
      <c r="J31" s="217">
        <f>SUM(J29:J30)</f>
        <v>856.5</v>
      </c>
      <c r="K31" s="217"/>
      <c r="L31" s="218"/>
      <c r="M31" s="215">
        <f>SUM(M29:M30)</f>
        <v>900</v>
      </c>
      <c r="N31" s="238">
        <f>+N29+N30</f>
        <v>900</v>
      </c>
      <c r="O31" s="1371"/>
      <c r="P31" s="432"/>
      <c r="Q31" s="299"/>
      <c r="R31" s="300"/>
    </row>
    <row r="32" spans="1:27" ht="25.5" customHeight="1" x14ac:dyDescent="0.2">
      <c r="A32" s="70" t="s">
        <v>18</v>
      </c>
      <c r="B32" s="6" t="s">
        <v>23</v>
      </c>
      <c r="C32" s="141" t="s">
        <v>26</v>
      </c>
      <c r="D32" s="144" t="s">
        <v>32</v>
      </c>
      <c r="E32" s="1372" t="s">
        <v>110</v>
      </c>
      <c r="F32" s="1299" t="s">
        <v>19</v>
      </c>
      <c r="G32" s="1375" t="s">
        <v>20</v>
      </c>
      <c r="H32" s="115" t="s">
        <v>21</v>
      </c>
      <c r="I32" s="397">
        <f>J32+L32</f>
        <v>194.7</v>
      </c>
      <c r="J32" s="398">
        <v>194.7</v>
      </c>
      <c r="K32" s="398"/>
      <c r="L32" s="399"/>
      <c r="M32" s="136">
        <v>194.7</v>
      </c>
      <c r="N32" s="136">
        <v>194.7</v>
      </c>
      <c r="O32" s="32" t="s">
        <v>117</v>
      </c>
      <c r="P32" s="33">
        <v>130</v>
      </c>
      <c r="Q32" s="33">
        <v>130</v>
      </c>
      <c r="R32" s="67">
        <v>130</v>
      </c>
      <c r="AA32" s="4"/>
    </row>
    <row r="33" spans="1:26" ht="15" customHeight="1" x14ac:dyDescent="0.2">
      <c r="A33" s="30"/>
      <c r="B33" s="31"/>
      <c r="C33" s="142"/>
      <c r="D33" s="145" t="s">
        <v>33</v>
      </c>
      <c r="E33" s="1373"/>
      <c r="F33" s="1374"/>
      <c r="G33" s="1376"/>
      <c r="H33" s="116"/>
      <c r="I33" s="385"/>
      <c r="J33" s="386"/>
      <c r="K33" s="386"/>
      <c r="L33" s="387"/>
      <c r="M33" s="150"/>
      <c r="N33" s="150"/>
      <c r="O33" s="15"/>
      <c r="P33" s="301"/>
      <c r="Q33" s="301"/>
      <c r="R33" s="20"/>
      <c r="T33" s="4"/>
    </row>
    <row r="34" spans="1:26" ht="15" customHeight="1" x14ac:dyDescent="0.2">
      <c r="A34" s="30"/>
      <c r="B34" s="31"/>
      <c r="C34" s="142"/>
      <c r="D34" s="145" t="s">
        <v>34</v>
      </c>
      <c r="E34" s="1373"/>
      <c r="F34" s="1374"/>
      <c r="G34" s="1376"/>
      <c r="H34" s="116"/>
      <c r="I34" s="385"/>
      <c r="J34" s="386"/>
      <c r="K34" s="386"/>
      <c r="L34" s="387"/>
      <c r="M34" s="150"/>
      <c r="N34" s="150"/>
      <c r="O34" s="15"/>
      <c r="P34" s="301"/>
      <c r="Q34" s="301"/>
      <c r="R34" s="20"/>
    </row>
    <row r="35" spans="1:26" ht="27" customHeight="1" x14ac:dyDescent="0.2">
      <c r="A35" s="30"/>
      <c r="B35" s="31"/>
      <c r="C35" s="142"/>
      <c r="D35" s="145" t="s">
        <v>35</v>
      </c>
      <c r="E35" s="325" t="s">
        <v>36</v>
      </c>
      <c r="F35" s="1374"/>
      <c r="G35" s="1376"/>
      <c r="H35" s="116"/>
      <c r="I35" s="385"/>
      <c r="J35" s="386"/>
      <c r="K35" s="386"/>
      <c r="L35" s="387"/>
      <c r="M35" s="150"/>
      <c r="N35" s="150"/>
      <c r="O35" s="15"/>
      <c r="P35" s="301"/>
      <c r="Q35" s="301"/>
      <c r="R35" s="20"/>
    </row>
    <row r="36" spans="1:26" ht="27.75" customHeight="1" x14ac:dyDescent="0.2">
      <c r="A36" s="30"/>
      <c r="B36" s="31"/>
      <c r="C36" s="142"/>
      <c r="D36" s="145" t="s">
        <v>37</v>
      </c>
      <c r="E36" s="325"/>
      <c r="F36" s="1374"/>
      <c r="G36" s="1376"/>
      <c r="H36" s="116"/>
      <c r="I36" s="385"/>
      <c r="J36" s="386"/>
      <c r="K36" s="386"/>
      <c r="L36" s="387"/>
      <c r="M36" s="150"/>
      <c r="N36" s="150"/>
      <c r="O36" s="15"/>
      <c r="P36" s="301"/>
      <c r="Q36" s="301"/>
      <c r="R36" s="20"/>
    </row>
    <row r="37" spans="1:26" ht="16.5" customHeight="1" x14ac:dyDescent="0.2">
      <c r="A37" s="30"/>
      <c r="B37" s="31"/>
      <c r="C37" s="142"/>
      <c r="D37" s="1226" t="s">
        <v>116</v>
      </c>
      <c r="E37" s="325"/>
      <c r="F37" s="1374"/>
      <c r="G37" s="1376"/>
      <c r="H37" s="288"/>
      <c r="I37" s="369"/>
      <c r="J37" s="216"/>
      <c r="K37" s="216"/>
      <c r="L37" s="370"/>
      <c r="M37" s="396"/>
      <c r="N37" s="396"/>
      <c r="O37" s="15"/>
      <c r="P37" s="301"/>
      <c r="Q37" s="301"/>
      <c r="R37" s="20"/>
      <c r="V37" s="4"/>
      <c r="Z37" s="4"/>
    </row>
    <row r="38" spans="1:26" ht="13.5" thickBot="1" x14ac:dyDescent="0.25">
      <c r="A38" s="35"/>
      <c r="B38" s="36"/>
      <c r="C38" s="143"/>
      <c r="D38" s="1227"/>
      <c r="E38" s="326"/>
      <c r="F38" s="1300"/>
      <c r="G38" s="1377"/>
      <c r="H38" s="239" t="s">
        <v>22</v>
      </c>
      <c r="I38" s="335">
        <f t="shared" ref="I38:I43" si="2">J38+L38</f>
        <v>194.7</v>
      </c>
      <c r="J38" s="336">
        <f>SUM(J32:J37)</f>
        <v>194.7</v>
      </c>
      <c r="K38" s="336"/>
      <c r="L38" s="199"/>
      <c r="M38" s="339">
        <f>SUM(M32:M37)</f>
        <v>194.7</v>
      </c>
      <c r="N38" s="339">
        <f>SUM(N32:N37)</f>
        <v>194.7</v>
      </c>
      <c r="O38" s="37"/>
      <c r="P38" s="302"/>
      <c r="Q38" s="38"/>
      <c r="R38" s="39"/>
    </row>
    <row r="39" spans="1:26" ht="18" customHeight="1" x14ac:dyDescent="0.2">
      <c r="A39" s="124" t="s">
        <v>18</v>
      </c>
      <c r="B39" s="31" t="s">
        <v>23</v>
      </c>
      <c r="C39" s="125" t="s">
        <v>39</v>
      </c>
      <c r="D39" s="1296" t="s">
        <v>73</v>
      </c>
      <c r="E39" s="126"/>
      <c r="F39" s="308" t="s">
        <v>19</v>
      </c>
      <c r="G39" s="127" t="s">
        <v>20</v>
      </c>
      <c r="H39" s="115" t="s">
        <v>21</v>
      </c>
      <c r="I39" s="200">
        <f t="shared" si="2"/>
        <v>740</v>
      </c>
      <c r="J39" s="196">
        <v>740</v>
      </c>
      <c r="K39" s="196"/>
      <c r="L39" s="197"/>
      <c r="M39" s="135">
        <v>1078.8</v>
      </c>
      <c r="N39" s="135">
        <v>1078.8</v>
      </c>
      <c r="O39" s="1284" t="s">
        <v>90</v>
      </c>
      <c r="P39" s="289">
        <v>1100</v>
      </c>
      <c r="Q39" s="290">
        <v>1500</v>
      </c>
      <c r="R39" s="291">
        <v>1500</v>
      </c>
    </row>
    <row r="40" spans="1:26" ht="13.5" thickBot="1" x14ac:dyDescent="0.25">
      <c r="A40" s="124"/>
      <c r="B40" s="31"/>
      <c r="C40" s="125"/>
      <c r="D40" s="1227"/>
      <c r="E40" s="126"/>
      <c r="F40" s="329"/>
      <c r="G40" s="127"/>
      <c r="H40" s="334" t="s">
        <v>22</v>
      </c>
      <c r="I40" s="227">
        <f t="shared" si="2"/>
        <v>740</v>
      </c>
      <c r="J40" s="228">
        <f>J39</f>
        <v>740</v>
      </c>
      <c r="K40" s="228"/>
      <c r="L40" s="229"/>
      <c r="M40" s="240">
        <f>+M39</f>
        <v>1078.8</v>
      </c>
      <c r="N40" s="211">
        <f>+N39</f>
        <v>1078.8</v>
      </c>
      <c r="O40" s="1285"/>
      <c r="P40" s="302"/>
      <c r="Q40" s="38"/>
      <c r="R40" s="39"/>
    </row>
    <row r="41" spans="1:26" ht="14.25" customHeight="1" x14ac:dyDescent="0.2">
      <c r="A41" s="21" t="s">
        <v>18</v>
      </c>
      <c r="B41" s="22" t="s">
        <v>23</v>
      </c>
      <c r="C41" s="1354" t="s">
        <v>69</v>
      </c>
      <c r="D41" s="1357" t="s">
        <v>40</v>
      </c>
      <c r="E41" s="1360"/>
      <c r="F41" s="1343" t="s">
        <v>19</v>
      </c>
      <c r="G41" s="1363" t="s">
        <v>20</v>
      </c>
      <c r="H41" s="115" t="s">
        <v>21</v>
      </c>
      <c r="I41" s="230">
        <f t="shared" si="2"/>
        <v>0.3</v>
      </c>
      <c r="J41" s="231">
        <v>0.3</v>
      </c>
      <c r="K41" s="231"/>
      <c r="L41" s="232"/>
      <c r="M41" s="117"/>
      <c r="N41" s="40"/>
      <c r="O41" s="9"/>
      <c r="P41" s="400"/>
      <c r="Q41" s="7"/>
      <c r="R41" s="25"/>
    </row>
    <row r="42" spans="1:26" x14ac:dyDescent="0.2">
      <c r="A42" s="42"/>
      <c r="B42" s="43"/>
      <c r="C42" s="1355"/>
      <c r="D42" s="1358"/>
      <c r="E42" s="1361"/>
      <c r="F42" s="1344"/>
      <c r="G42" s="1364"/>
      <c r="H42" s="58" t="s">
        <v>41</v>
      </c>
      <c r="I42" s="233">
        <f t="shared" si="2"/>
        <v>1.3</v>
      </c>
      <c r="J42" s="234">
        <v>1.3</v>
      </c>
      <c r="K42" s="234"/>
      <c r="L42" s="235"/>
      <c r="M42" s="118"/>
      <c r="N42" s="44"/>
      <c r="O42" s="1366"/>
      <c r="P42" s="1352"/>
      <c r="Q42" s="41"/>
      <c r="R42" s="128"/>
    </row>
    <row r="43" spans="1:26" ht="13.5" thickBot="1" x14ac:dyDescent="0.25">
      <c r="A43" s="26"/>
      <c r="B43" s="27"/>
      <c r="C43" s="1356"/>
      <c r="D43" s="1359"/>
      <c r="E43" s="1362"/>
      <c r="F43" s="1345"/>
      <c r="G43" s="1365"/>
      <c r="H43" s="334" t="s">
        <v>22</v>
      </c>
      <c r="I43" s="335">
        <f t="shared" si="2"/>
        <v>1.6</v>
      </c>
      <c r="J43" s="336">
        <f>J42+J41</f>
        <v>1.6</v>
      </c>
      <c r="K43" s="336"/>
      <c r="L43" s="199"/>
      <c r="M43" s="204"/>
      <c r="N43" s="211"/>
      <c r="O43" s="1367"/>
      <c r="P43" s="1353"/>
      <c r="Q43" s="28"/>
      <c r="R43" s="29"/>
    </row>
    <row r="44" spans="1:26" ht="13.5" thickBot="1" x14ac:dyDescent="0.25">
      <c r="A44" s="16" t="s">
        <v>18</v>
      </c>
      <c r="B44" s="45" t="s">
        <v>23</v>
      </c>
      <c r="C44" s="1277" t="s">
        <v>27</v>
      </c>
      <c r="D44" s="1327"/>
      <c r="E44" s="1327"/>
      <c r="F44" s="1327"/>
      <c r="G44" s="1327"/>
      <c r="H44" s="1327"/>
      <c r="I44" s="119">
        <f>J44+L44</f>
        <v>13253.8</v>
      </c>
      <c r="J44" s="178">
        <f>J43+J40+J38+J31+J27</f>
        <v>13164.599999999999</v>
      </c>
      <c r="K44" s="177">
        <f>K43+K40+K38+K31+K27</f>
        <v>6899.6</v>
      </c>
      <c r="L44" s="176">
        <f>L43+L40+L38+L31+L27</f>
        <v>89.2</v>
      </c>
      <c r="M44" s="119">
        <f>+M27+M31+M38+M40</f>
        <v>14213.9</v>
      </c>
      <c r="N44" s="119">
        <f>+N27+N31+N38+N40</f>
        <v>14213.9</v>
      </c>
      <c r="O44" s="1328"/>
      <c r="P44" s="1329"/>
      <c r="Q44" s="1329"/>
      <c r="R44" s="1330"/>
    </row>
    <row r="45" spans="1:26" ht="13.5" thickBot="1" x14ac:dyDescent="0.25">
      <c r="A45" s="46" t="s">
        <v>18</v>
      </c>
      <c r="B45" s="47" t="s">
        <v>26</v>
      </c>
      <c r="C45" s="1331" t="s">
        <v>42</v>
      </c>
      <c r="D45" s="1331"/>
      <c r="E45" s="1331"/>
      <c r="F45" s="1331"/>
      <c r="G45" s="1332"/>
      <c r="H45" s="1332"/>
      <c r="I45" s="1332"/>
      <c r="J45" s="1332"/>
      <c r="K45" s="1332"/>
      <c r="L45" s="1332"/>
      <c r="M45" s="1332"/>
      <c r="N45" s="1332"/>
      <c r="O45" s="1331"/>
      <c r="P45" s="1331"/>
      <c r="Q45" s="1331"/>
      <c r="R45" s="1333"/>
    </row>
    <row r="46" spans="1:26" ht="14.25" customHeight="1" x14ac:dyDescent="0.2">
      <c r="A46" s="21" t="s">
        <v>18</v>
      </c>
      <c r="B46" s="22" t="s">
        <v>26</v>
      </c>
      <c r="C46" s="1334" t="s">
        <v>18</v>
      </c>
      <c r="D46" s="1337" t="s">
        <v>123</v>
      </c>
      <c r="E46" s="1340"/>
      <c r="F46" s="1343" t="s">
        <v>19</v>
      </c>
      <c r="G46" s="1346" t="s">
        <v>24</v>
      </c>
      <c r="H46" s="374" t="s">
        <v>21</v>
      </c>
      <c r="I46" s="230"/>
      <c r="J46" s="231"/>
      <c r="K46" s="231"/>
      <c r="L46" s="232"/>
      <c r="M46" s="187"/>
      <c r="N46" s="40"/>
      <c r="O46" s="1349" t="s">
        <v>106</v>
      </c>
      <c r="P46" s="7"/>
      <c r="Q46" s="48"/>
      <c r="R46" s="49"/>
    </row>
    <row r="47" spans="1:26" ht="14.25" customHeight="1" x14ac:dyDescent="0.2">
      <c r="A47" s="42"/>
      <c r="B47" s="43"/>
      <c r="C47" s="1335"/>
      <c r="D47" s="1338"/>
      <c r="E47" s="1341"/>
      <c r="F47" s="1344"/>
      <c r="G47" s="1347"/>
      <c r="H47" s="375" t="s">
        <v>25</v>
      </c>
      <c r="I47" s="233">
        <f>J47+L47</f>
        <v>1700</v>
      </c>
      <c r="J47" s="234"/>
      <c r="K47" s="234"/>
      <c r="L47" s="235">
        <v>1700</v>
      </c>
      <c r="M47" s="293">
        <v>2720</v>
      </c>
      <c r="N47" s="44"/>
      <c r="O47" s="1350"/>
      <c r="P47" s="41"/>
      <c r="Q47" s="50"/>
      <c r="R47" s="441"/>
    </row>
    <row r="48" spans="1:26" ht="14.25" customHeight="1" thickBot="1" x14ac:dyDescent="0.25">
      <c r="A48" s="26"/>
      <c r="B48" s="27"/>
      <c r="C48" s="1336"/>
      <c r="D48" s="1339"/>
      <c r="E48" s="1342"/>
      <c r="F48" s="1345"/>
      <c r="G48" s="1348"/>
      <c r="H48" s="443" t="s">
        <v>22</v>
      </c>
      <c r="I48" s="448">
        <f t="shared" ref="I48:N48" si="3">SUM(I46:I47)</f>
        <v>1700</v>
      </c>
      <c r="J48" s="449">
        <f t="shared" si="3"/>
        <v>0</v>
      </c>
      <c r="K48" s="449">
        <f t="shared" si="3"/>
        <v>0</v>
      </c>
      <c r="L48" s="199">
        <f t="shared" si="3"/>
        <v>1700</v>
      </c>
      <c r="M48" s="198">
        <f t="shared" si="3"/>
        <v>2720</v>
      </c>
      <c r="N48" s="448">
        <f t="shared" si="3"/>
        <v>0</v>
      </c>
      <c r="O48" s="1351"/>
      <c r="P48" s="8"/>
      <c r="Q48" s="51">
        <v>100</v>
      </c>
      <c r="R48" s="442"/>
    </row>
    <row r="49" spans="1:27" ht="12.75" customHeight="1" x14ac:dyDescent="0.2">
      <c r="A49" s="61" t="s">
        <v>18</v>
      </c>
      <c r="B49" s="62" t="s">
        <v>26</v>
      </c>
      <c r="C49" s="63" t="s">
        <v>23</v>
      </c>
      <c r="D49" s="1320" t="s">
        <v>43</v>
      </c>
      <c r="E49" s="303"/>
      <c r="F49" s="401" t="s">
        <v>19</v>
      </c>
      <c r="G49" s="402" t="s">
        <v>44</v>
      </c>
      <c r="H49" s="185"/>
      <c r="I49" s="230"/>
      <c r="J49" s="231"/>
      <c r="K49" s="231"/>
      <c r="L49" s="232"/>
      <c r="M49" s="23"/>
      <c r="N49" s="403"/>
      <c r="O49" s="404"/>
      <c r="P49" s="14"/>
      <c r="Q49" s="66"/>
      <c r="R49" s="67"/>
    </row>
    <row r="50" spans="1:27" x14ac:dyDescent="0.2">
      <c r="A50" s="55"/>
      <c r="B50" s="56"/>
      <c r="C50" s="57"/>
      <c r="D50" s="1321"/>
      <c r="E50" s="306"/>
      <c r="F50" s="52"/>
      <c r="G50" s="180"/>
      <c r="H50" s="192"/>
      <c r="I50" s="241"/>
      <c r="J50" s="242"/>
      <c r="K50" s="242"/>
      <c r="L50" s="243"/>
      <c r="M50" s="193"/>
      <c r="N50" s="179"/>
      <c r="O50" s="53"/>
      <c r="P50" s="301"/>
      <c r="Q50" s="54"/>
      <c r="R50" s="341"/>
      <c r="W50" s="4"/>
    </row>
    <row r="51" spans="1:27" ht="13.5" customHeight="1" x14ac:dyDescent="0.2">
      <c r="A51" s="55"/>
      <c r="B51" s="56"/>
      <c r="C51" s="57"/>
      <c r="D51" s="1322" t="s">
        <v>46</v>
      </c>
      <c r="E51" s="1324" t="s">
        <v>109</v>
      </c>
      <c r="F51" s="52"/>
      <c r="G51" s="180"/>
      <c r="H51" s="58" t="s">
        <v>21</v>
      </c>
      <c r="I51" s="233">
        <f>J51+L51</f>
        <v>245</v>
      </c>
      <c r="J51" s="234"/>
      <c r="K51" s="234"/>
      <c r="L51" s="235">
        <v>245</v>
      </c>
      <c r="M51" s="44"/>
      <c r="N51" s="44">
        <v>1650</v>
      </c>
      <c r="O51" s="1326" t="s">
        <v>108</v>
      </c>
      <c r="P51" s="1312"/>
      <c r="Q51" s="1312">
        <v>1</v>
      </c>
      <c r="R51" s="1315"/>
      <c r="S51" s="60"/>
      <c r="Z51" s="4"/>
    </row>
    <row r="52" spans="1:27" ht="13.5" customHeight="1" x14ac:dyDescent="0.2">
      <c r="A52" s="55"/>
      <c r="B52" s="56"/>
      <c r="C52" s="57"/>
      <c r="D52" s="1322"/>
      <c r="E52" s="1324"/>
      <c r="F52" s="1318"/>
      <c r="G52" s="180"/>
      <c r="H52" s="58" t="s">
        <v>45</v>
      </c>
      <c r="I52" s="367">
        <f>J52+L52</f>
        <v>1580</v>
      </c>
      <c r="J52" s="205"/>
      <c r="K52" s="205"/>
      <c r="L52" s="206">
        <v>1580</v>
      </c>
      <c r="M52" s="294">
        <v>2700</v>
      </c>
      <c r="N52" s="44"/>
      <c r="O52" s="1304"/>
      <c r="P52" s="1313"/>
      <c r="Q52" s="1313"/>
      <c r="R52" s="1316"/>
      <c r="S52" s="60"/>
    </row>
    <row r="53" spans="1:27" ht="13.5" customHeight="1" x14ac:dyDescent="0.2">
      <c r="A53" s="55"/>
      <c r="B53" s="56"/>
      <c r="C53" s="57"/>
      <c r="D53" s="1322"/>
      <c r="E53" s="1324"/>
      <c r="F53" s="1318"/>
      <c r="G53" s="180"/>
      <c r="H53" s="376" t="s">
        <v>41</v>
      </c>
      <c r="I53" s="367"/>
      <c r="J53" s="205"/>
      <c r="K53" s="205"/>
      <c r="L53" s="206"/>
      <c r="M53" s="295">
        <v>15000</v>
      </c>
      <c r="N53" s="44">
        <v>15000</v>
      </c>
      <c r="O53" s="1304"/>
      <c r="P53" s="1313"/>
      <c r="Q53" s="1313"/>
      <c r="R53" s="1316"/>
      <c r="S53" s="60"/>
    </row>
    <row r="54" spans="1:27" ht="13.5" customHeight="1" x14ac:dyDescent="0.2">
      <c r="A54" s="55"/>
      <c r="B54" s="56"/>
      <c r="C54" s="57"/>
      <c r="D54" s="1322"/>
      <c r="E54" s="1324"/>
      <c r="F54" s="1318"/>
      <c r="G54" s="180"/>
      <c r="H54" s="376" t="s">
        <v>48</v>
      </c>
      <c r="I54" s="367"/>
      <c r="J54" s="205"/>
      <c r="K54" s="205"/>
      <c r="L54" s="206"/>
      <c r="M54" s="295">
        <v>2105</v>
      </c>
      <c r="N54" s="44"/>
      <c r="O54" s="1304"/>
      <c r="P54" s="1313"/>
      <c r="Q54" s="1313"/>
      <c r="R54" s="1316"/>
      <c r="S54" s="60"/>
    </row>
    <row r="55" spans="1:27" ht="13.5" customHeight="1" x14ac:dyDescent="0.2">
      <c r="A55" s="55"/>
      <c r="B55" s="56"/>
      <c r="C55" s="57"/>
      <c r="D55" s="1322"/>
      <c r="E55" s="1324"/>
      <c r="F55" s="1318"/>
      <c r="G55" s="180"/>
      <c r="H55" s="116" t="s">
        <v>25</v>
      </c>
      <c r="I55" s="378">
        <f>J55+L55</f>
        <v>35</v>
      </c>
      <c r="J55" s="219"/>
      <c r="K55" s="219"/>
      <c r="L55" s="372">
        <v>35</v>
      </c>
      <c r="M55" s="294">
        <v>1500</v>
      </c>
      <c r="N55" s="68"/>
      <c r="O55" s="1304"/>
      <c r="P55" s="1313"/>
      <c r="Q55" s="1313"/>
      <c r="R55" s="1316"/>
      <c r="S55" s="60"/>
    </row>
    <row r="56" spans="1:27" ht="13.5" thickBot="1" x14ac:dyDescent="0.25">
      <c r="A56" s="363"/>
      <c r="B56" s="364"/>
      <c r="C56" s="365"/>
      <c r="D56" s="1323"/>
      <c r="E56" s="1325"/>
      <c r="F56" s="1319"/>
      <c r="G56" s="405"/>
      <c r="H56" s="377" t="s">
        <v>22</v>
      </c>
      <c r="I56" s="379">
        <f t="shared" ref="I56:L56" si="4">SUM(I51:I55)</f>
        <v>1860</v>
      </c>
      <c r="J56" s="244">
        <f t="shared" si="4"/>
        <v>0</v>
      </c>
      <c r="K56" s="245">
        <f t="shared" si="4"/>
        <v>0</v>
      </c>
      <c r="L56" s="380">
        <f t="shared" si="4"/>
        <v>1860</v>
      </c>
      <c r="M56" s="253">
        <f>SUM(M49:M55)</f>
        <v>21305</v>
      </c>
      <c r="N56" s="253">
        <f>SUM(N51:N55)</f>
        <v>16650</v>
      </c>
      <c r="O56" s="1285"/>
      <c r="P56" s="1314"/>
      <c r="Q56" s="1314"/>
      <c r="R56" s="1317"/>
    </row>
    <row r="57" spans="1:27" ht="28.5" customHeight="1" x14ac:dyDescent="0.2">
      <c r="A57" s="61" t="s">
        <v>18</v>
      </c>
      <c r="B57" s="62" t="s">
        <v>26</v>
      </c>
      <c r="C57" s="63" t="s">
        <v>26</v>
      </c>
      <c r="D57" s="64" t="s">
        <v>47</v>
      </c>
      <c r="E57" s="357"/>
      <c r="F57" s="360" t="s">
        <v>19</v>
      </c>
      <c r="G57" s="309" t="s">
        <v>24</v>
      </c>
      <c r="H57" s="65" t="s">
        <v>21</v>
      </c>
      <c r="I57" s="381">
        <f>J57+L57</f>
        <v>235</v>
      </c>
      <c r="J57" s="246">
        <v>235</v>
      </c>
      <c r="K57" s="246"/>
      <c r="L57" s="247"/>
      <c r="M57" s="40">
        <v>100</v>
      </c>
      <c r="N57" s="406">
        <v>112.8</v>
      </c>
      <c r="O57" s="24" t="s">
        <v>118</v>
      </c>
      <c r="P57" s="14">
        <v>2</v>
      </c>
      <c r="Q57" s="66">
        <v>1</v>
      </c>
      <c r="R57" s="67">
        <v>1</v>
      </c>
      <c r="V57" s="4"/>
    </row>
    <row r="58" spans="1:27" ht="28.5" customHeight="1" x14ac:dyDescent="0.2">
      <c r="A58" s="55"/>
      <c r="B58" s="56"/>
      <c r="C58" s="411"/>
      <c r="D58" s="416" t="s">
        <v>125</v>
      </c>
      <c r="E58" s="358"/>
      <c r="F58" s="361"/>
      <c r="G58" s="310"/>
      <c r="H58" s="182" t="s">
        <v>25</v>
      </c>
      <c r="I58" s="422">
        <f>J58+L58</f>
        <v>131.19999999999999</v>
      </c>
      <c r="J58" s="423">
        <v>131.19999999999999</v>
      </c>
      <c r="K58" s="423"/>
      <c r="L58" s="424"/>
      <c r="M58" s="425"/>
      <c r="N58" s="353"/>
      <c r="O58" s="426"/>
      <c r="P58" s="427"/>
      <c r="Q58" s="415"/>
      <c r="R58" s="417"/>
      <c r="X58" s="4"/>
    </row>
    <row r="59" spans="1:27" ht="15" customHeight="1" x14ac:dyDescent="0.2">
      <c r="A59" s="55"/>
      <c r="B59" s="56"/>
      <c r="C59" s="57"/>
      <c r="D59" s="304" t="s">
        <v>119</v>
      </c>
      <c r="E59" s="358"/>
      <c r="F59" s="361"/>
      <c r="G59" s="310"/>
      <c r="H59" s="390"/>
      <c r="I59" s="220"/>
      <c r="J59" s="221"/>
      <c r="K59" s="221"/>
      <c r="L59" s="373"/>
      <c r="M59" s="183"/>
      <c r="N59" s="183"/>
      <c r="O59" s="305"/>
      <c r="P59" s="11"/>
      <c r="Q59" s="301"/>
      <c r="R59" s="341"/>
    </row>
    <row r="60" spans="1:27" ht="15" customHeight="1" x14ac:dyDescent="0.2">
      <c r="A60" s="55"/>
      <c r="B60" s="56"/>
      <c r="C60" s="57"/>
      <c r="D60" s="1303" t="s">
        <v>120</v>
      </c>
      <c r="E60" s="358"/>
      <c r="F60" s="361"/>
      <c r="G60" s="310"/>
      <c r="H60" s="390"/>
      <c r="I60" s="220"/>
      <c r="J60" s="221"/>
      <c r="K60" s="221"/>
      <c r="L60" s="373"/>
      <c r="M60" s="183"/>
      <c r="N60" s="183"/>
      <c r="O60" s="355"/>
      <c r="P60" s="11"/>
      <c r="Q60" s="301"/>
      <c r="R60" s="341"/>
    </row>
    <row r="61" spans="1:27" ht="12" customHeight="1" x14ac:dyDescent="0.2">
      <c r="A61" s="55"/>
      <c r="B61" s="56"/>
      <c r="C61" s="57"/>
      <c r="D61" s="1303"/>
      <c r="E61" s="358"/>
      <c r="F61" s="361"/>
      <c r="G61" s="310"/>
      <c r="H61" s="390"/>
      <c r="I61" s="220"/>
      <c r="J61" s="221"/>
      <c r="K61" s="221"/>
      <c r="L61" s="373"/>
      <c r="M61" s="183"/>
      <c r="N61" s="183"/>
      <c r="O61" s="355"/>
      <c r="P61" s="11"/>
      <c r="Q61" s="301"/>
      <c r="R61" s="341"/>
      <c r="V61" s="4"/>
    </row>
    <row r="62" spans="1:27" ht="15" customHeight="1" x14ac:dyDescent="0.2">
      <c r="A62" s="55"/>
      <c r="B62" s="56"/>
      <c r="C62" s="57"/>
      <c r="D62" s="1303" t="s">
        <v>124</v>
      </c>
      <c r="E62" s="358"/>
      <c r="F62" s="361"/>
      <c r="G62" s="310"/>
      <c r="H62" s="286"/>
      <c r="I62" s="382"/>
      <c r="J62" s="248"/>
      <c r="K62" s="248"/>
      <c r="L62" s="249"/>
      <c r="M62" s="186"/>
      <c r="N62" s="186"/>
      <c r="O62" s="1304"/>
      <c r="P62" s="11"/>
      <c r="Q62" s="301"/>
      <c r="R62" s="341"/>
      <c r="Z62" s="4"/>
    </row>
    <row r="63" spans="1:27" ht="15" customHeight="1" thickBot="1" x14ac:dyDescent="0.25">
      <c r="A63" s="55"/>
      <c r="B63" s="56"/>
      <c r="C63" s="57"/>
      <c r="D63" s="1303"/>
      <c r="E63" s="359"/>
      <c r="F63" s="362"/>
      <c r="G63" s="311"/>
      <c r="H63" s="287" t="s">
        <v>22</v>
      </c>
      <c r="I63" s="254">
        <f>J63+L63</f>
        <v>366.2</v>
      </c>
      <c r="J63" s="250">
        <f>SUM(J57:J62)</f>
        <v>366.2</v>
      </c>
      <c r="K63" s="250"/>
      <c r="L63" s="251"/>
      <c r="M63" s="255">
        <f>SUM(M57:M62)</f>
        <v>100</v>
      </c>
      <c r="N63" s="255">
        <f>SUM(N57:N62)</f>
        <v>112.8</v>
      </c>
      <c r="O63" s="1304"/>
      <c r="P63" s="283"/>
      <c r="Q63" s="284"/>
      <c r="R63" s="285"/>
      <c r="AA63" s="4"/>
    </row>
    <row r="64" spans="1:27" ht="13.5" thickBot="1" x14ac:dyDescent="0.25">
      <c r="A64" s="16" t="s">
        <v>18</v>
      </c>
      <c r="B64" s="45" t="s">
        <v>26</v>
      </c>
      <c r="C64" s="1277" t="s">
        <v>27</v>
      </c>
      <c r="D64" s="1277"/>
      <c r="E64" s="1277"/>
      <c r="F64" s="1277"/>
      <c r="G64" s="1277"/>
      <c r="H64" s="1277"/>
      <c r="I64" s="190">
        <f t="shared" ref="I64:N64" si="5">I63+I56+I48</f>
        <v>3926.2</v>
      </c>
      <c r="J64" s="409">
        <f t="shared" si="5"/>
        <v>366.2</v>
      </c>
      <c r="K64" s="408">
        <f t="shared" si="5"/>
        <v>0</v>
      </c>
      <c r="L64" s="407">
        <f t="shared" si="5"/>
        <v>3560</v>
      </c>
      <c r="M64" s="190">
        <f t="shared" si="5"/>
        <v>24125</v>
      </c>
      <c r="N64" s="191">
        <f t="shared" si="5"/>
        <v>16762.8</v>
      </c>
      <c r="O64" s="1305"/>
      <c r="P64" s="1306"/>
      <c r="Q64" s="1306"/>
      <c r="R64" s="1307"/>
    </row>
    <row r="65" spans="1:26" ht="13.5" thickBot="1" x14ac:dyDescent="0.25">
      <c r="A65" s="69" t="s">
        <v>18</v>
      </c>
      <c r="B65" s="45" t="s">
        <v>39</v>
      </c>
      <c r="C65" s="1308" t="s">
        <v>78</v>
      </c>
      <c r="D65" s="1308"/>
      <c r="E65" s="1308"/>
      <c r="F65" s="1308"/>
      <c r="G65" s="1308"/>
      <c r="H65" s="1308"/>
      <c r="I65" s="1309"/>
      <c r="J65" s="1309"/>
      <c r="K65" s="1309"/>
      <c r="L65" s="1309"/>
      <c r="M65" s="1308"/>
      <c r="N65" s="1308"/>
      <c r="O65" s="1308"/>
      <c r="P65" s="1310"/>
      <c r="Q65" s="1310"/>
      <c r="R65" s="1311"/>
    </row>
    <row r="66" spans="1:26" ht="27" customHeight="1" x14ac:dyDescent="0.2">
      <c r="A66" s="70" t="s">
        <v>18</v>
      </c>
      <c r="B66" s="6" t="s">
        <v>39</v>
      </c>
      <c r="C66" s="141" t="s">
        <v>18</v>
      </c>
      <c r="D66" s="144" t="s">
        <v>49</v>
      </c>
      <c r="E66" s="76" t="s">
        <v>36</v>
      </c>
      <c r="F66" s="71" t="s">
        <v>19</v>
      </c>
      <c r="G66" s="322" t="s">
        <v>20</v>
      </c>
      <c r="H66" s="74" t="s">
        <v>21</v>
      </c>
      <c r="I66" s="200">
        <f t="shared" ref="I66:I74" si="6">J66+L66</f>
        <v>200</v>
      </c>
      <c r="J66" s="196">
        <v>200</v>
      </c>
      <c r="K66" s="256"/>
      <c r="L66" s="257"/>
      <c r="M66" s="136"/>
      <c r="N66" s="184"/>
      <c r="O66" s="305" t="s">
        <v>50</v>
      </c>
      <c r="P66" s="79" t="s">
        <v>75</v>
      </c>
      <c r="Q66" s="312"/>
      <c r="R66" s="72"/>
    </row>
    <row r="67" spans="1:26" ht="16.5" customHeight="1" thickBot="1" x14ac:dyDescent="0.25">
      <c r="A67" s="35"/>
      <c r="B67" s="36"/>
      <c r="C67" s="143"/>
      <c r="D67" s="328" t="s">
        <v>121</v>
      </c>
      <c r="E67" s="326"/>
      <c r="F67" s="75"/>
      <c r="G67" s="323"/>
      <c r="H67" s="265" t="s">
        <v>22</v>
      </c>
      <c r="I67" s="258">
        <f t="shared" si="6"/>
        <v>200</v>
      </c>
      <c r="J67" s="209">
        <f>SUM(J66:J66)</f>
        <v>200</v>
      </c>
      <c r="K67" s="209"/>
      <c r="L67" s="259"/>
      <c r="M67" s="237"/>
      <c r="N67" s="339"/>
      <c r="O67" s="307"/>
      <c r="P67" s="320"/>
      <c r="Q67" s="313"/>
      <c r="R67" s="188"/>
    </row>
    <row r="68" spans="1:26" ht="28.5" customHeight="1" x14ac:dyDescent="0.2">
      <c r="A68" s="1290" t="s">
        <v>18</v>
      </c>
      <c r="B68" s="1292" t="s">
        <v>39</v>
      </c>
      <c r="C68" s="1294" t="s">
        <v>23</v>
      </c>
      <c r="D68" s="1296" t="s">
        <v>51</v>
      </c>
      <c r="E68" s="1297" t="s">
        <v>36</v>
      </c>
      <c r="F68" s="1299" t="s">
        <v>19</v>
      </c>
      <c r="G68" s="1301" t="s">
        <v>20</v>
      </c>
      <c r="H68" s="80" t="s">
        <v>21</v>
      </c>
      <c r="I68" s="260">
        <f t="shared" si="6"/>
        <v>45</v>
      </c>
      <c r="J68" s="261">
        <v>45</v>
      </c>
      <c r="K68" s="261"/>
      <c r="L68" s="262"/>
      <c r="M68" s="136">
        <v>45</v>
      </c>
      <c r="N68" s="136">
        <v>45</v>
      </c>
      <c r="O68" s="81" t="s">
        <v>52</v>
      </c>
      <c r="P68" s="319">
        <v>25</v>
      </c>
      <c r="Q68" s="312">
        <v>25</v>
      </c>
      <c r="R68" s="72">
        <v>25</v>
      </c>
      <c r="Z68" s="146"/>
    </row>
    <row r="69" spans="1:26" ht="13.5" thickBot="1" x14ac:dyDescent="0.25">
      <c r="A69" s="1291"/>
      <c r="B69" s="1293"/>
      <c r="C69" s="1295"/>
      <c r="D69" s="1227"/>
      <c r="E69" s="1298"/>
      <c r="F69" s="1300"/>
      <c r="G69" s="1302"/>
      <c r="H69" s="266" t="s">
        <v>22</v>
      </c>
      <c r="I69" s="335">
        <f t="shared" si="6"/>
        <v>45</v>
      </c>
      <c r="J69" s="336">
        <f>J68</f>
        <v>45</v>
      </c>
      <c r="K69" s="336"/>
      <c r="L69" s="199"/>
      <c r="M69" s="339">
        <f>SUM(M68:M68)</f>
        <v>45</v>
      </c>
      <c r="N69" s="339">
        <f>SUM(N68:N68)</f>
        <v>45</v>
      </c>
      <c r="O69" s="82"/>
      <c r="P69" s="83"/>
      <c r="Q69" s="28"/>
      <c r="R69" s="29"/>
      <c r="V69" s="4"/>
    </row>
    <row r="70" spans="1:26" ht="15" customHeight="1" x14ac:dyDescent="0.2">
      <c r="A70" s="70" t="s">
        <v>18</v>
      </c>
      <c r="B70" s="6" t="s">
        <v>39</v>
      </c>
      <c r="C70" s="141" t="s">
        <v>26</v>
      </c>
      <c r="D70" s="1282" t="s">
        <v>74</v>
      </c>
      <c r="E70" s="76" t="s">
        <v>36</v>
      </c>
      <c r="F70" s="71" t="s">
        <v>19</v>
      </c>
      <c r="G70" s="322" t="s">
        <v>20</v>
      </c>
      <c r="H70" s="77" t="s">
        <v>21</v>
      </c>
      <c r="I70" s="200">
        <f t="shared" si="6"/>
        <v>1114.3</v>
      </c>
      <c r="J70" s="196">
        <v>1114.3</v>
      </c>
      <c r="K70" s="263"/>
      <c r="L70" s="264"/>
      <c r="M70" s="136">
        <f>1052.8+29.7</f>
        <v>1082.5</v>
      </c>
      <c r="N70" s="136">
        <f>1052.8+29.7</f>
        <v>1082.5</v>
      </c>
      <c r="O70" s="1284" t="s">
        <v>96</v>
      </c>
      <c r="P70" s="319">
        <v>8</v>
      </c>
      <c r="Q70" s="1286">
        <v>8</v>
      </c>
      <c r="R70" s="1288">
        <v>8</v>
      </c>
    </row>
    <row r="71" spans="1:26" ht="15" customHeight="1" thickBot="1" x14ac:dyDescent="0.25">
      <c r="A71" s="30"/>
      <c r="B71" s="31"/>
      <c r="C71" s="142"/>
      <c r="D71" s="1283"/>
      <c r="E71" s="78"/>
      <c r="F71" s="73"/>
      <c r="G71" s="12"/>
      <c r="H71" s="267" t="s">
        <v>22</v>
      </c>
      <c r="I71" s="258">
        <f t="shared" si="6"/>
        <v>1114.3</v>
      </c>
      <c r="J71" s="209">
        <f>J70</f>
        <v>1114.3</v>
      </c>
      <c r="K71" s="209"/>
      <c r="L71" s="259"/>
      <c r="M71" s="268">
        <f>M70</f>
        <v>1082.5</v>
      </c>
      <c r="N71" s="269">
        <f>N70</f>
        <v>1082.5</v>
      </c>
      <c r="O71" s="1285"/>
      <c r="P71" s="79"/>
      <c r="Q71" s="1287"/>
      <c r="R71" s="1289"/>
    </row>
    <row r="72" spans="1:26" ht="13.5" thickBot="1" x14ac:dyDescent="0.25">
      <c r="A72" s="16" t="s">
        <v>18</v>
      </c>
      <c r="B72" s="84" t="s">
        <v>39</v>
      </c>
      <c r="C72" s="1277" t="s">
        <v>27</v>
      </c>
      <c r="D72" s="1277"/>
      <c r="E72" s="1277"/>
      <c r="F72" s="1277"/>
      <c r="G72" s="1277"/>
      <c r="H72" s="1277"/>
      <c r="I72" s="348">
        <f t="shared" si="6"/>
        <v>1359.3</v>
      </c>
      <c r="J72" s="173">
        <f>J71+J69+J67</f>
        <v>1359.3</v>
      </c>
      <c r="K72" s="349"/>
      <c r="L72" s="410"/>
      <c r="M72" s="348">
        <f>M71+M69</f>
        <v>1127.5</v>
      </c>
      <c r="N72" s="348">
        <f>N71+N69</f>
        <v>1127.5</v>
      </c>
      <c r="O72" s="86"/>
      <c r="P72" s="87"/>
      <c r="Q72" s="87"/>
      <c r="R72" s="88"/>
    </row>
    <row r="73" spans="1:26" ht="13.5" thickBot="1" x14ac:dyDescent="0.25">
      <c r="A73" s="16" t="s">
        <v>18</v>
      </c>
      <c r="B73" s="1278" t="s">
        <v>53</v>
      </c>
      <c r="C73" s="1279"/>
      <c r="D73" s="1279"/>
      <c r="E73" s="1279"/>
      <c r="F73" s="1279"/>
      <c r="G73" s="1279"/>
      <c r="H73" s="1279"/>
      <c r="I73" s="89">
        <f t="shared" si="6"/>
        <v>18572</v>
      </c>
      <c r="J73" s="174">
        <f>J72+J64+J44+J18</f>
        <v>14922.8</v>
      </c>
      <c r="K73" s="90">
        <f>K72+K64+K44+K18</f>
        <v>6899.6</v>
      </c>
      <c r="L73" s="113">
        <f>L72+L64+L44+L18</f>
        <v>3649.2</v>
      </c>
      <c r="M73" s="137">
        <f>+M18+M44+M72+M64</f>
        <v>39539.4</v>
      </c>
      <c r="N73" s="137">
        <f>+N18+N44+N72+N64</f>
        <v>32197.199999999997</v>
      </c>
      <c r="O73" s="91"/>
      <c r="P73" s="275"/>
      <c r="Q73" s="275"/>
      <c r="R73" s="276"/>
      <c r="U73" s="4"/>
    </row>
    <row r="74" spans="1:26" ht="13.5" customHeight="1" thickBot="1" x14ac:dyDescent="0.25">
      <c r="A74" s="92" t="s">
        <v>54</v>
      </c>
      <c r="B74" s="1280" t="s">
        <v>55</v>
      </c>
      <c r="C74" s="1281"/>
      <c r="D74" s="1281"/>
      <c r="E74" s="1281"/>
      <c r="F74" s="1281"/>
      <c r="G74" s="1281"/>
      <c r="H74" s="1281"/>
      <c r="I74" s="93">
        <f t="shared" si="6"/>
        <v>18572</v>
      </c>
      <c r="J74" s="175">
        <f>J73</f>
        <v>14922.8</v>
      </c>
      <c r="K74" s="94">
        <f>K73</f>
        <v>6899.6</v>
      </c>
      <c r="L74" s="114">
        <f>L73</f>
        <v>3649.2</v>
      </c>
      <c r="M74" s="138">
        <f>M73</f>
        <v>39539.4</v>
      </c>
      <c r="N74" s="138">
        <f>N73</f>
        <v>32197.199999999997</v>
      </c>
      <c r="O74" s="95"/>
      <c r="P74" s="277"/>
      <c r="Q74" s="277"/>
      <c r="R74" s="278"/>
    </row>
    <row r="75" spans="1:26" ht="24" customHeight="1" thickBot="1" x14ac:dyDescent="0.25">
      <c r="A75" s="96"/>
      <c r="C75" s="97"/>
      <c r="D75" s="1270" t="s">
        <v>56</v>
      </c>
      <c r="E75" s="1270"/>
      <c r="F75" s="1270"/>
      <c r="G75" s="1270"/>
      <c r="H75" s="1270"/>
      <c r="I75" s="1270"/>
      <c r="J75" s="1270"/>
      <c r="K75" s="1270"/>
      <c r="L75" s="1270"/>
      <c r="M75" s="1270"/>
      <c r="N75" s="1270"/>
      <c r="O75" s="97"/>
      <c r="P75" s="279"/>
      <c r="Q75" s="279"/>
      <c r="R75" s="279"/>
    </row>
    <row r="76" spans="1:26" ht="30.75" customHeight="1" thickBot="1" x14ac:dyDescent="0.25">
      <c r="C76" s="98"/>
      <c r="D76" s="1271" t="s">
        <v>57</v>
      </c>
      <c r="E76" s="1272"/>
      <c r="F76" s="1272"/>
      <c r="G76" s="1272"/>
      <c r="H76" s="1273"/>
      <c r="I76" s="1274" t="s">
        <v>67</v>
      </c>
      <c r="J76" s="1275"/>
      <c r="K76" s="1275"/>
      <c r="L76" s="1275"/>
      <c r="M76" s="160" t="s">
        <v>129</v>
      </c>
      <c r="N76" s="161" t="s">
        <v>130</v>
      </c>
      <c r="O76" s="99"/>
      <c r="P76" s="332"/>
      <c r="Q76" s="1276"/>
      <c r="R76" s="1276"/>
    </row>
    <row r="77" spans="1:26" ht="13.5" customHeight="1" x14ac:dyDescent="0.2">
      <c r="C77" s="100"/>
      <c r="D77" s="1259" t="s">
        <v>58</v>
      </c>
      <c r="E77" s="1260"/>
      <c r="F77" s="1260"/>
      <c r="G77" s="1260"/>
      <c r="H77" s="1261"/>
      <c r="I77" s="1262">
        <f>I78</f>
        <v>16704.5</v>
      </c>
      <c r="J77" s="1263"/>
      <c r="K77" s="1263"/>
      <c r="L77" s="1263"/>
      <c r="M77" s="156">
        <f>M78</f>
        <v>20319.400000000001</v>
      </c>
      <c r="N77" s="412">
        <f>N78</f>
        <v>17197.199999999997</v>
      </c>
      <c r="O77" s="101"/>
      <c r="P77" s="327"/>
      <c r="Q77" s="1243"/>
      <c r="R77" s="1243"/>
    </row>
    <row r="78" spans="1:26" s="105" customFormat="1" ht="13.5" customHeight="1" x14ac:dyDescent="0.2">
      <c r="A78" s="102"/>
      <c r="B78" s="102"/>
      <c r="C78" s="103"/>
      <c r="D78" s="1264" t="s">
        <v>59</v>
      </c>
      <c r="E78" s="1265"/>
      <c r="F78" s="1265"/>
      <c r="G78" s="1265"/>
      <c r="H78" s="1266"/>
      <c r="I78" s="1267">
        <f>SUM(I79:L83)</f>
        <v>16704.5</v>
      </c>
      <c r="J78" s="1268"/>
      <c r="K78" s="1268"/>
      <c r="L78" s="1269"/>
      <c r="M78" s="331">
        <f>SUM(M79:M83)</f>
        <v>20319.400000000001</v>
      </c>
      <c r="N78" s="270">
        <f>SUM(N79:N83)</f>
        <v>17197.199999999997</v>
      </c>
      <c r="O78" s="104"/>
      <c r="P78" s="333"/>
      <c r="Q78" s="333"/>
      <c r="R78" s="333"/>
    </row>
    <row r="79" spans="1:26" ht="12.75" customHeight="1" x14ac:dyDescent="0.2">
      <c r="C79" s="106"/>
      <c r="D79" s="1244" t="s">
        <v>60</v>
      </c>
      <c r="E79" s="1245"/>
      <c r="F79" s="1245"/>
      <c r="G79" s="1245"/>
      <c r="H79" s="1246"/>
      <c r="I79" s="1254">
        <f>SUMIF(H12:H71,"sb",I12:I71)</f>
        <v>14442.4</v>
      </c>
      <c r="J79" s="1255"/>
      <c r="K79" s="1255"/>
      <c r="L79" s="1255"/>
      <c r="M79" s="157">
        <f>SUMIF(H12:H71,"sb",M12:M71)</f>
        <v>14832.3</v>
      </c>
      <c r="N79" s="162">
        <f>SUMIF(H12:H71,"sb",N12:N71)</f>
        <v>16515.099999999999</v>
      </c>
      <c r="O79" s="107"/>
      <c r="P79" s="330"/>
      <c r="Q79" s="1247"/>
      <c r="R79" s="1247"/>
    </row>
    <row r="80" spans="1:26" ht="15" customHeight="1" x14ac:dyDescent="0.2">
      <c r="C80" s="108"/>
      <c r="D80" s="1256" t="s">
        <v>61</v>
      </c>
      <c r="E80" s="1257"/>
      <c r="F80" s="1257"/>
      <c r="G80" s="1257"/>
      <c r="H80" s="1258"/>
      <c r="I80" s="1231">
        <f>SUMIF(H18:H71,"sb(sp)",I18:I71)</f>
        <v>682.1</v>
      </c>
      <c r="J80" s="1232"/>
      <c r="K80" s="1232"/>
      <c r="L80" s="1232"/>
      <c r="M80" s="158">
        <f>SUMIF(H18:H71,H21,M18:M71)</f>
        <v>682.1</v>
      </c>
      <c r="N80" s="133">
        <f>SUMIF(H18:H71,H21,N18:N71)</f>
        <v>682.1</v>
      </c>
      <c r="O80" s="107"/>
      <c r="P80" s="330"/>
      <c r="Q80" s="1247"/>
      <c r="R80" s="1247"/>
    </row>
    <row r="81" spans="1:18" ht="12.75" customHeight="1" x14ac:dyDescent="0.2">
      <c r="C81" s="108"/>
      <c r="D81" s="1248" t="s">
        <v>62</v>
      </c>
      <c r="E81" s="1249"/>
      <c r="F81" s="1249"/>
      <c r="G81" s="1249"/>
      <c r="H81" s="1250"/>
      <c r="I81" s="1251">
        <f>SUMIF(H12:H71,"sb(p)",I12:I71)</f>
        <v>0</v>
      </c>
      <c r="J81" s="1252"/>
      <c r="K81" s="1252"/>
      <c r="L81" s="1252"/>
      <c r="M81" s="159">
        <f>SUMIF(H12:H71,"sb(p)",M12:M71)</f>
        <v>2105</v>
      </c>
      <c r="N81" s="163">
        <f>SUMIF(H18:H71,"sb(p)",N18:N71)</f>
        <v>0</v>
      </c>
      <c r="O81" s="107"/>
      <c r="P81" s="330"/>
      <c r="Q81" s="1247"/>
      <c r="R81" s="1247"/>
    </row>
    <row r="82" spans="1:18" ht="12.75" customHeight="1" x14ac:dyDescent="0.2">
      <c r="C82" s="108"/>
      <c r="D82" s="1248" t="s">
        <v>89</v>
      </c>
      <c r="E82" s="1249"/>
      <c r="F82" s="1249"/>
      <c r="G82" s="1249"/>
      <c r="H82" s="1250"/>
      <c r="I82" s="1251"/>
      <c r="J82" s="1252"/>
      <c r="K82" s="1252"/>
      <c r="L82" s="1253"/>
      <c r="M82" s="159"/>
      <c r="N82" s="163"/>
      <c r="O82" s="107"/>
      <c r="P82" s="330"/>
      <c r="Q82" s="330"/>
      <c r="R82" s="330"/>
    </row>
    <row r="83" spans="1:18" ht="15" customHeight="1" x14ac:dyDescent="0.2">
      <c r="C83" s="108"/>
      <c r="D83" s="1248" t="s">
        <v>63</v>
      </c>
      <c r="E83" s="1249"/>
      <c r="F83" s="1249"/>
      <c r="G83" s="1249"/>
      <c r="H83" s="1250"/>
      <c r="I83" s="1251">
        <f>SUMIF(H18:H71,"sb(vb)",I18:I71)</f>
        <v>1580</v>
      </c>
      <c r="J83" s="1252"/>
      <c r="K83" s="1252"/>
      <c r="L83" s="1252"/>
      <c r="M83" s="159">
        <f>SUMIF(H18:H71,H52,M18:M71)</f>
        <v>2700</v>
      </c>
      <c r="N83" s="163">
        <f>SUMIF(H18:H71,,N18:N71)</f>
        <v>0</v>
      </c>
      <c r="O83" s="107"/>
      <c r="P83" s="330"/>
      <c r="Q83" s="330"/>
      <c r="R83" s="330"/>
    </row>
    <row r="84" spans="1:18" ht="13.5" customHeight="1" x14ac:dyDescent="0.2">
      <c r="C84" s="100"/>
      <c r="D84" s="1238" t="s">
        <v>64</v>
      </c>
      <c r="E84" s="1239"/>
      <c r="F84" s="1239"/>
      <c r="G84" s="1239"/>
      <c r="H84" s="1240"/>
      <c r="I84" s="1241">
        <f>SUM(I85:L86)</f>
        <v>1867.5</v>
      </c>
      <c r="J84" s="1242"/>
      <c r="K84" s="1242"/>
      <c r="L84" s="1242"/>
      <c r="M84" s="338">
        <f>SUM(M85:M86)</f>
        <v>19220</v>
      </c>
      <c r="N84" s="172">
        <f>SUM(N85:N86)</f>
        <v>15000</v>
      </c>
      <c r="O84" s="101"/>
      <c r="P84" s="327"/>
      <c r="Q84" s="1243"/>
      <c r="R84" s="1243"/>
    </row>
    <row r="85" spans="1:18" ht="12.75" customHeight="1" x14ac:dyDescent="0.2">
      <c r="C85" s="106"/>
      <c r="D85" s="1244" t="s">
        <v>65</v>
      </c>
      <c r="E85" s="1245"/>
      <c r="F85" s="1245"/>
      <c r="G85" s="1245"/>
      <c r="H85" s="1246"/>
      <c r="I85" s="1231">
        <f>SUMIF(H18:H71,"es",I18:I71)</f>
        <v>1.3</v>
      </c>
      <c r="J85" s="1232"/>
      <c r="K85" s="1232"/>
      <c r="L85" s="1232"/>
      <c r="M85" s="158">
        <f>SUMIF(H18:H71,H42,M18:M71)</f>
        <v>15000</v>
      </c>
      <c r="N85" s="133">
        <f>SUMIF(H18:H71,H42,N18:N71)</f>
        <v>15000</v>
      </c>
      <c r="O85" s="107"/>
      <c r="P85" s="330"/>
      <c r="Q85" s="1247"/>
      <c r="R85" s="1247"/>
    </row>
    <row r="86" spans="1:18" ht="12.75" customHeight="1" x14ac:dyDescent="0.2">
      <c r="C86" s="106"/>
      <c r="D86" s="1228" t="s">
        <v>66</v>
      </c>
      <c r="E86" s="1229"/>
      <c r="F86" s="1229"/>
      <c r="G86" s="1229"/>
      <c r="H86" s="1230"/>
      <c r="I86" s="1231">
        <f>SUMIF(H18:H71,"kt",I18:I71)</f>
        <v>1866.2</v>
      </c>
      <c r="J86" s="1232"/>
      <c r="K86" s="1232"/>
      <c r="L86" s="1232"/>
      <c r="M86" s="158">
        <f>SUMIF(H12:H71,"kt",M12:M71)</f>
        <v>4220</v>
      </c>
      <c r="N86" s="133">
        <f>SUMIF(H18:H71,#REF!,N18:N71)</f>
        <v>0</v>
      </c>
      <c r="O86" s="107"/>
      <c r="P86" s="330"/>
      <c r="Q86" s="330"/>
      <c r="R86" s="330"/>
    </row>
    <row r="87" spans="1:18" ht="13.5" thickBot="1" x14ac:dyDescent="0.25">
      <c r="A87" s="1"/>
      <c r="B87" s="1"/>
      <c r="C87" s="100"/>
      <c r="D87" s="1233" t="s">
        <v>22</v>
      </c>
      <c r="E87" s="1234"/>
      <c r="F87" s="1234"/>
      <c r="G87" s="1234"/>
      <c r="H87" s="1235"/>
      <c r="I87" s="1236">
        <f>I84+I77</f>
        <v>18572</v>
      </c>
      <c r="J87" s="1237"/>
      <c r="K87" s="1237"/>
      <c r="L87" s="1237"/>
      <c r="M87" s="271">
        <f>M84+M77</f>
        <v>39539.4</v>
      </c>
      <c r="N87" s="272">
        <f>N84+N77</f>
        <v>32197.199999999997</v>
      </c>
      <c r="O87" s="104"/>
      <c r="P87" s="333"/>
      <c r="Q87" s="1225"/>
      <c r="R87" s="1225"/>
    </row>
    <row r="88" spans="1:18" x14ac:dyDescent="0.2">
      <c r="J88" s="112"/>
      <c r="M88" s="112"/>
      <c r="N88" s="112"/>
    </row>
    <row r="89" spans="1:18" x14ac:dyDescent="0.2">
      <c r="I89" s="112"/>
      <c r="J89" s="112"/>
      <c r="K89" s="112"/>
      <c r="L89" s="112"/>
    </row>
  </sheetData>
  <mergeCells count="143">
    <mergeCell ref="O21:O22"/>
    <mergeCell ref="A1:S1"/>
    <mergeCell ref="A2:S2"/>
    <mergeCell ref="A3:S3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C19:R19"/>
    <mergeCell ref="C18:H18"/>
    <mergeCell ref="O18:R18"/>
    <mergeCell ref="G16:G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D30:D31"/>
    <mergeCell ref="O30:O31"/>
    <mergeCell ref="E32:E34"/>
    <mergeCell ref="F32:F38"/>
    <mergeCell ref="G32:G38"/>
    <mergeCell ref="A26:A27"/>
    <mergeCell ref="B26:B27"/>
    <mergeCell ref="C26:C27"/>
    <mergeCell ref="D26:D27"/>
    <mergeCell ref="P42:P43"/>
    <mergeCell ref="D39:D40"/>
    <mergeCell ref="O39:O40"/>
    <mergeCell ref="C41:C43"/>
    <mergeCell ref="D41:D43"/>
    <mergeCell ref="E41:E43"/>
    <mergeCell ref="F41:F43"/>
    <mergeCell ref="G41:G43"/>
    <mergeCell ref="O42:O43"/>
    <mergeCell ref="D49:D50"/>
    <mergeCell ref="D51:D56"/>
    <mergeCell ref="E51:E56"/>
    <mergeCell ref="O51:O56"/>
    <mergeCell ref="P51:P56"/>
    <mergeCell ref="C44:H44"/>
    <mergeCell ref="O44:R44"/>
    <mergeCell ref="C45:R45"/>
    <mergeCell ref="C46:C48"/>
    <mergeCell ref="D46:D48"/>
    <mergeCell ref="E46:E48"/>
    <mergeCell ref="F46:F48"/>
    <mergeCell ref="G46:G48"/>
    <mergeCell ref="O46:O48"/>
    <mergeCell ref="D60:D61"/>
    <mergeCell ref="D62:D63"/>
    <mergeCell ref="O62:O63"/>
    <mergeCell ref="C64:H64"/>
    <mergeCell ref="O64:R64"/>
    <mergeCell ref="C65:R65"/>
    <mergeCell ref="Q51:Q56"/>
    <mergeCell ref="R51:R56"/>
    <mergeCell ref="F52:F56"/>
    <mergeCell ref="C72:H72"/>
    <mergeCell ref="B73:H73"/>
    <mergeCell ref="B74:H74"/>
    <mergeCell ref="D70:D71"/>
    <mergeCell ref="O70:O71"/>
    <mergeCell ref="Q70:Q71"/>
    <mergeCell ref="R70:R71"/>
    <mergeCell ref="A68:A69"/>
    <mergeCell ref="B68:B69"/>
    <mergeCell ref="C68:C69"/>
    <mergeCell ref="D68:D69"/>
    <mergeCell ref="E68:E69"/>
    <mergeCell ref="F68:F69"/>
    <mergeCell ref="G68:G69"/>
    <mergeCell ref="Q80:R80"/>
    <mergeCell ref="D77:H77"/>
    <mergeCell ref="I77:L77"/>
    <mergeCell ref="Q77:R77"/>
    <mergeCell ref="D78:H78"/>
    <mergeCell ref="I78:L78"/>
    <mergeCell ref="D75:N75"/>
    <mergeCell ref="D76:H76"/>
    <mergeCell ref="I76:L76"/>
    <mergeCell ref="Q76:R76"/>
    <mergeCell ref="Q87:R87"/>
    <mergeCell ref="D37:D38"/>
    <mergeCell ref="D86:H86"/>
    <mergeCell ref="I86:L86"/>
    <mergeCell ref="D87:H87"/>
    <mergeCell ref="I87:L87"/>
    <mergeCell ref="D84:H84"/>
    <mergeCell ref="I84:L84"/>
    <mergeCell ref="Q84:R84"/>
    <mergeCell ref="D85:H85"/>
    <mergeCell ref="I85:L85"/>
    <mergeCell ref="Q85:R85"/>
    <mergeCell ref="D83:H83"/>
    <mergeCell ref="I83:L83"/>
    <mergeCell ref="D81:H81"/>
    <mergeCell ref="I81:L81"/>
    <mergeCell ref="Q81:R81"/>
    <mergeCell ref="D82:H82"/>
    <mergeCell ref="I82:L82"/>
    <mergeCell ref="D79:H79"/>
    <mergeCell ref="I79:L79"/>
    <mergeCell ref="Q79:R79"/>
    <mergeCell ref="D80:H80"/>
    <mergeCell ref="I80:L80"/>
  </mergeCells>
  <printOptions horizontalCentered="1"/>
  <pageMargins left="0" right="0" top="0.39370078740157483" bottom="0.39370078740157483" header="0.31496062992125984" footer="0.31496062992125984"/>
  <pageSetup paperSize="9" scale="96" orientation="landscape" r:id="rId1"/>
  <rowBreaks count="2" manualBreakCount="2">
    <brk id="27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280" customWidth="1"/>
    <col min="2" max="2" width="60.7109375" style="280" customWidth="1"/>
    <col min="3" max="16384" width="9.140625" style="280"/>
  </cols>
  <sheetData>
    <row r="1" spans="1:2" x14ac:dyDescent="0.25">
      <c r="A1" s="1467" t="s">
        <v>97</v>
      </c>
      <c r="B1" s="1467"/>
    </row>
    <row r="2" spans="1:2" ht="31.5" x14ac:dyDescent="0.25">
      <c r="A2" s="281" t="s">
        <v>6</v>
      </c>
      <c r="B2" s="282" t="s">
        <v>98</v>
      </c>
    </row>
    <row r="3" spans="1:2" x14ac:dyDescent="0.25">
      <c r="A3" s="281">
        <v>1</v>
      </c>
      <c r="B3" s="282" t="s">
        <v>99</v>
      </c>
    </row>
    <row r="4" spans="1:2" x14ac:dyDescent="0.25">
      <c r="A4" s="281">
        <v>2</v>
      </c>
      <c r="B4" s="282" t="s">
        <v>100</v>
      </c>
    </row>
    <row r="5" spans="1:2" x14ac:dyDescent="0.25">
      <c r="A5" s="281">
        <v>3</v>
      </c>
      <c r="B5" s="282" t="s">
        <v>101</v>
      </c>
    </row>
    <row r="6" spans="1:2" x14ac:dyDescent="0.25">
      <c r="A6" s="281">
        <v>4</v>
      </c>
      <c r="B6" s="282" t="s">
        <v>102</v>
      </c>
    </row>
    <row r="7" spans="1:2" x14ac:dyDescent="0.25">
      <c r="A7" s="281">
        <v>5</v>
      </c>
      <c r="B7" s="282" t="s">
        <v>103</v>
      </c>
    </row>
    <row r="8" spans="1:2" x14ac:dyDescent="0.25">
      <c r="A8" s="281">
        <v>6</v>
      </c>
      <c r="B8" s="282" t="s">
        <v>104</v>
      </c>
    </row>
    <row r="9" spans="1:2" ht="15.75" customHeight="1" x14ac:dyDescent="0.25"/>
    <row r="10" spans="1:2" ht="15.75" customHeight="1" x14ac:dyDescent="0.25">
      <c r="A10" s="1468" t="s">
        <v>105</v>
      </c>
      <c r="B10" s="1468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3"/>
  <sheetViews>
    <sheetView tabSelected="1" zoomScaleNormal="100" workbookViewId="0">
      <selection sqref="A1:S1"/>
    </sheetView>
  </sheetViews>
  <sheetFormatPr defaultRowHeight="12.75" x14ac:dyDescent="0.2"/>
  <cols>
    <col min="1" max="3" width="3" style="1" customWidth="1"/>
    <col min="4" max="4" width="29.140625" style="1" customWidth="1"/>
    <col min="5" max="6" width="3.140625" style="1" customWidth="1"/>
    <col min="7" max="7" width="7.5703125" style="1" customWidth="1"/>
    <col min="8" max="8" width="10.140625" style="1222" customWidth="1"/>
    <col min="9" max="12" width="10.140625" style="1223" hidden="1" customWidth="1"/>
    <col min="13" max="14" width="10.140625" style="1224" customWidth="1"/>
    <col min="15" max="15" width="29.28515625" style="1" customWidth="1"/>
    <col min="16" max="18" width="5.140625" style="1" customWidth="1"/>
    <col min="19" max="16384" width="9.140625" style="1"/>
  </cols>
  <sheetData>
    <row r="1" spans="1:19" x14ac:dyDescent="0.2">
      <c r="A1" s="1414" t="s">
        <v>203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  <c r="S1" s="1414"/>
    </row>
    <row r="2" spans="1:19" x14ac:dyDescent="0.2">
      <c r="A2" s="1415" t="s">
        <v>81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</row>
    <row r="3" spans="1:19" x14ac:dyDescent="0.2">
      <c r="A3" s="1416" t="s">
        <v>68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</row>
    <row r="4" spans="1:19" ht="13.5" thickBot="1" x14ac:dyDescent="0.25">
      <c r="A4" s="1182"/>
      <c r="B4" s="1182"/>
      <c r="C4" s="1182"/>
      <c r="D4" s="1182"/>
      <c r="E4" s="1182"/>
      <c r="F4" s="1182"/>
      <c r="G4" s="1182"/>
      <c r="H4" s="849"/>
      <c r="I4" s="703"/>
      <c r="J4" s="703"/>
      <c r="K4" s="703"/>
      <c r="L4" s="703"/>
      <c r="M4" s="849"/>
      <c r="N4" s="849"/>
      <c r="O4" s="517"/>
      <c r="P4" s="1417" t="s">
        <v>193</v>
      </c>
      <c r="Q4" s="1417"/>
      <c r="R4" s="1417"/>
      <c r="S4" s="1182"/>
    </row>
    <row r="5" spans="1:19" x14ac:dyDescent="0.2">
      <c r="A5" s="1481" t="s">
        <v>1</v>
      </c>
      <c r="B5" s="1484" t="s">
        <v>2</v>
      </c>
      <c r="C5" s="1484" t="s">
        <v>3</v>
      </c>
      <c r="D5" s="1424" t="s">
        <v>4</v>
      </c>
      <c r="E5" s="1427" t="s">
        <v>5</v>
      </c>
      <c r="F5" s="1458" t="s">
        <v>6</v>
      </c>
      <c r="G5" s="1461" t="s">
        <v>7</v>
      </c>
      <c r="H5" s="1487" t="s">
        <v>180</v>
      </c>
      <c r="I5" s="1469" t="s">
        <v>180</v>
      </c>
      <c r="J5" s="1470"/>
      <c r="K5" s="1470"/>
      <c r="L5" s="1471"/>
      <c r="M5" s="1478" t="s">
        <v>87</v>
      </c>
      <c r="N5" s="1478" t="s">
        <v>132</v>
      </c>
      <c r="O5" s="1453" t="s">
        <v>8</v>
      </c>
      <c r="P5" s="1454"/>
      <c r="Q5" s="1454"/>
      <c r="R5" s="1455"/>
    </row>
    <row r="6" spans="1:19" x14ac:dyDescent="0.2">
      <c r="A6" s="1482"/>
      <c r="B6" s="1485"/>
      <c r="C6" s="1485"/>
      <c r="D6" s="1425"/>
      <c r="E6" s="1428"/>
      <c r="F6" s="1459"/>
      <c r="G6" s="1462"/>
      <c r="H6" s="1488"/>
      <c r="I6" s="1472"/>
      <c r="J6" s="1473"/>
      <c r="K6" s="1473"/>
      <c r="L6" s="1474"/>
      <c r="M6" s="1479"/>
      <c r="N6" s="1479"/>
      <c r="O6" s="1433" t="s">
        <v>4</v>
      </c>
      <c r="P6" s="1435" t="s">
        <v>190</v>
      </c>
      <c r="Q6" s="1436"/>
      <c r="R6" s="1437"/>
    </row>
    <row r="7" spans="1:19" ht="116.25" customHeight="1" thickBot="1" x14ac:dyDescent="0.25">
      <c r="A7" s="1483"/>
      <c r="B7" s="1486"/>
      <c r="C7" s="1486"/>
      <c r="D7" s="1426"/>
      <c r="E7" s="1429"/>
      <c r="F7" s="1460"/>
      <c r="G7" s="1463"/>
      <c r="H7" s="1489"/>
      <c r="I7" s="1475"/>
      <c r="J7" s="1476"/>
      <c r="K7" s="1476"/>
      <c r="L7" s="1477"/>
      <c r="M7" s="1480"/>
      <c r="N7" s="1480"/>
      <c r="O7" s="1434"/>
      <c r="P7" s="2" t="s">
        <v>15</v>
      </c>
      <c r="Q7" s="2" t="s">
        <v>91</v>
      </c>
      <c r="R7" s="3" t="s">
        <v>133</v>
      </c>
    </row>
    <row r="8" spans="1:19" ht="13.5" thickBot="1" x14ac:dyDescent="0.25">
      <c r="A8" s="1438" t="s">
        <v>16</v>
      </c>
      <c r="B8" s="1439"/>
      <c r="C8" s="1439"/>
      <c r="D8" s="1439"/>
      <c r="E8" s="1439"/>
      <c r="F8" s="1439"/>
      <c r="G8" s="1439"/>
      <c r="H8" s="1439"/>
      <c r="I8" s="1439"/>
      <c r="J8" s="1439"/>
      <c r="K8" s="1439"/>
      <c r="L8" s="1439"/>
      <c r="M8" s="1439"/>
      <c r="N8" s="1439"/>
      <c r="O8" s="1439"/>
      <c r="P8" s="1439"/>
      <c r="Q8" s="1439"/>
      <c r="R8" s="1440"/>
    </row>
    <row r="9" spans="1:19" ht="13.5" thickBot="1" x14ac:dyDescent="0.25">
      <c r="A9" s="1441" t="s">
        <v>17</v>
      </c>
      <c r="B9" s="1442"/>
      <c r="C9" s="1442"/>
      <c r="D9" s="1442"/>
      <c r="E9" s="1442"/>
      <c r="F9" s="1442"/>
      <c r="G9" s="1442"/>
      <c r="H9" s="1442"/>
      <c r="I9" s="1442"/>
      <c r="J9" s="1442"/>
      <c r="K9" s="1442"/>
      <c r="L9" s="1442"/>
      <c r="M9" s="1442"/>
      <c r="N9" s="1442"/>
      <c r="O9" s="1442"/>
      <c r="P9" s="1442"/>
      <c r="Q9" s="1442"/>
      <c r="R9" s="1443"/>
    </row>
    <row r="10" spans="1:19" ht="14.25" customHeight="1" thickBot="1" x14ac:dyDescent="0.25">
      <c r="A10" s="573" t="s">
        <v>18</v>
      </c>
      <c r="B10" s="1444" t="s">
        <v>77</v>
      </c>
      <c r="C10" s="1444"/>
      <c r="D10" s="1444"/>
      <c r="E10" s="1444"/>
      <c r="F10" s="1444"/>
      <c r="G10" s="1444"/>
      <c r="H10" s="1444"/>
      <c r="I10" s="1445"/>
      <c r="J10" s="1445"/>
      <c r="K10" s="1445"/>
      <c r="L10" s="1445"/>
      <c r="M10" s="1445"/>
      <c r="N10" s="1445"/>
      <c r="O10" s="1445"/>
      <c r="P10" s="1445"/>
      <c r="Q10" s="1445"/>
      <c r="R10" s="1446"/>
    </row>
    <row r="11" spans="1:19" ht="13.5" thickBot="1" x14ac:dyDescent="0.25">
      <c r="A11" s="574" t="s">
        <v>18</v>
      </c>
      <c r="B11" s="575" t="s">
        <v>18</v>
      </c>
      <c r="C11" s="1447" t="s">
        <v>88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48"/>
      <c r="P11" s="1448"/>
      <c r="Q11" s="1448"/>
      <c r="R11" s="1449"/>
    </row>
    <row r="12" spans="1:19" ht="34.5" customHeight="1" x14ac:dyDescent="0.2">
      <c r="A12" s="1490" t="s">
        <v>18</v>
      </c>
      <c r="B12" s="1492" t="s">
        <v>18</v>
      </c>
      <c r="C12" s="1494" t="s">
        <v>18</v>
      </c>
      <c r="D12" s="1399" t="s">
        <v>80</v>
      </c>
      <c r="E12" s="1411" t="s">
        <v>110</v>
      </c>
      <c r="F12" s="1409" t="s">
        <v>20</v>
      </c>
      <c r="G12" s="115" t="s">
        <v>21</v>
      </c>
      <c r="H12" s="850">
        <f>150/3.4528*1000</f>
        <v>43443.002780352181</v>
      </c>
      <c r="I12" s="709">
        <f>+J12+L12</f>
        <v>150</v>
      </c>
      <c r="J12" s="710">
        <v>150</v>
      </c>
      <c r="K12" s="711"/>
      <c r="L12" s="712"/>
      <c r="M12" s="892">
        <f>40/3.4528*1000</f>
        <v>11584.800741427249</v>
      </c>
      <c r="N12" s="892">
        <f>40/3.4528*1000</f>
        <v>11584.800741427249</v>
      </c>
      <c r="O12" s="1496" t="s">
        <v>191</v>
      </c>
      <c r="P12" s="1209">
        <v>4</v>
      </c>
      <c r="Q12" s="1211">
        <v>4</v>
      </c>
      <c r="R12" s="1213">
        <v>4</v>
      </c>
    </row>
    <row r="13" spans="1:19" ht="13.5" thickBot="1" x14ac:dyDescent="0.25">
      <c r="A13" s="1491"/>
      <c r="B13" s="1493"/>
      <c r="C13" s="1495"/>
      <c r="D13" s="1400"/>
      <c r="E13" s="1412"/>
      <c r="F13" s="1410"/>
      <c r="G13" s="207" t="s">
        <v>22</v>
      </c>
      <c r="H13" s="851">
        <f>H12</f>
        <v>43443.002780352181</v>
      </c>
      <c r="I13" s="713">
        <f>+I12</f>
        <v>150</v>
      </c>
      <c r="J13" s="714">
        <f>+J12</f>
        <v>150</v>
      </c>
      <c r="K13" s="714"/>
      <c r="L13" s="715"/>
      <c r="M13" s="893">
        <f>+M12</f>
        <v>11584.800741427249</v>
      </c>
      <c r="N13" s="881">
        <f>+N12</f>
        <v>11584.800741427249</v>
      </c>
      <c r="O13" s="1497"/>
      <c r="P13" s="477"/>
      <c r="Q13" s="497"/>
      <c r="R13" s="498"/>
    </row>
    <row r="14" spans="1:19" ht="41.25" customHeight="1" x14ac:dyDescent="0.2">
      <c r="A14" s="1490" t="s">
        <v>18</v>
      </c>
      <c r="B14" s="1492" t="s">
        <v>18</v>
      </c>
      <c r="C14" s="1494" t="s">
        <v>23</v>
      </c>
      <c r="D14" s="1399" t="s">
        <v>92</v>
      </c>
      <c r="E14" s="1411"/>
      <c r="F14" s="1409" t="s">
        <v>20</v>
      </c>
      <c r="G14" s="152" t="s">
        <v>21</v>
      </c>
      <c r="H14" s="852">
        <f>10/3.4528*1000</f>
        <v>2896.2001853568122</v>
      </c>
      <c r="I14" s="709">
        <f>+J14+L14</f>
        <v>10</v>
      </c>
      <c r="J14" s="710">
        <v>10</v>
      </c>
      <c r="K14" s="711"/>
      <c r="L14" s="712"/>
      <c r="M14" s="894">
        <f>13/3.4528*1000</f>
        <v>3765.0602409638554</v>
      </c>
      <c r="N14" s="892">
        <f>13/3.4528*1000</f>
        <v>3765.0602409638554</v>
      </c>
      <c r="O14" s="478" t="s">
        <v>185</v>
      </c>
      <c r="P14" s="1209">
        <v>10</v>
      </c>
      <c r="Q14" s="1211">
        <v>12</v>
      </c>
      <c r="R14" s="1213">
        <v>12</v>
      </c>
    </row>
    <row r="15" spans="1:19" ht="13.5" thickBot="1" x14ac:dyDescent="0.25">
      <c r="A15" s="1491"/>
      <c r="B15" s="1493"/>
      <c r="C15" s="1495"/>
      <c r="D15" s="1400"/>
      <c r="E15" s="1412"/>
      <c r="F15" s="1410"/>
      <c r="G15" s="366" t="s">
        <v>22</v>
      </c>
      <c r="H15" s="853">
        <f>H14</f>
        <v>2896.2001853568122</v>
      </c>
      <c r="I15" s="716">
        <f>+I14</f>
        <v>10</v>
      </c>
      <c r="J15" s="717">
        <f>+J14</f>
        <v>10</v>
      </c>
      <c r="K15" s="717"/>
      <c r="L15" s="718"/>
      <c r="M15" s="895">
        <f>+M14</f>
        <v>3765.0602409638554</v>
      </c>
      <c r="N15" s="896">
        <f>+N14</f>
        <v>3765.0602409638554</v>
      </c>
      <c r="O15" s="501"/>
      <c r="P15" s="1210"/>
      <c r="Q15" s="1212"/>
      <c r="R15" s="1214"/>
    </row>
    <row r="16" spans="1:19" ht="42" customHeight="1" x14ac:dyDescent="0.2">
      <c r="A16" s="1490" t="s">
        <v>18</v>
      </c>
      <c r="B16" s="1492" t="s">
        <v>18</v>
      </c>
      <c r="C16" s="1494" t="s">
        <v>26</v>
      </c>
      <c r="D16" s="1399" t="s">
        <v>195</v>
      </c>
      <c r="E16" s="1401"/>
      <c r="F16" s="1301" t="s">
        <v>20</v>
      </c>
      <c r="G16" s="115" t="s">
        <v>21</v>
      </c>
      <c r="H16" s="850">
        <f>23/3.4528*1000</f>
        <v>6661.2604263206667</v>
      </c>
      <c r="I16" s="709">
        <f>+J16+L16</f>
        <v>23</v>
      </c>
      <c r="J16" s="710">
        <v>23</v>
      </c>
      <c r="K16" s="711"/>
      <c r="L16" s="712"/>
      <c r="M16" s="892">
        <f>30/3.4528*1000</f>
        <v>8688.6005560704343</v>
      </c>
      <c r="N16" s="897">
        <f>40/3.4528*1000</f>
        <v>11584.800741427249</v>
      </c>
      <c r="O16" s="1496" t="s">
        <v>186</v>
      </c>
      <c r="P16" s="1503">
        <v>3</v>
      </c>
      <c r="Q16" s="1505">
        <v>5</v>
      </c>
      <c r="R16" s="1507">
        <v>5</v>
      </c>
    </row>
    <row r="17" spans="1:19" ht="13.5" thickBot="1" x14ac:dyDescent="0.25">
      <c r="A17" s="1491"/>
      <c r="B17" s="1493"/>
      <c r="C17" s="1495"/>
      <c r="D17" s="1400"/>
      <c r="E17" s="1402"/>
      <c r="F17" s="1302"/>
      <c r="G17" s="1199" t="s">
        <v>22</v>
      </c>
      <c r="H17" s="854">
        <f>H16</f>
        <v>6661.2604263206667</v>
      </c>
      <c r="I17" s="713">
        <f>+J17+L17</f>
        <v>23</v>
      </c>
      <c r="J17" s="707">
        <f>+J16</f>
        <v>23</v>
      </c>
      <c r="K17" s="719"/>
      <c r="L17" s="715"/>
      <c r="M17" s="881">
        <f>+M16</f>
        <v>8688.6005560704343</v>
      </c>
      <c r="N17" s="881">
        <f>+N16</f>
        <v>11584.800741427249</v>
      </c>
      <c r="O17" s="1497"/>
      <c r="P17" s="1504"/>
      <c r="Q17" s="1506"/>
      <c r="R17" s="1508"/>
    </row>
    <row r="18" spans="1:19" ht="13.5" thickBot="1" x14ac:dyDescent="0.25">
      <c r="A18" s="576" t="s">
        <v>18</v>
      </c>
      <c r="B18" s="577" t="s">
        <v>18</v>
      </c>
      <c r="C18" s="1387" t="s">
        <v>27</v>
      </c>
      <c r="D18" s="1277"/>
      <c r="E18" s="1277"/>
      <c r="F18" s="1277"/>
      <c r="G18" s="1327"/>
      <c r="H18" s="855">
        <f>H17+H15+H13</f>
        <v>53000.463392029662</v>
      </c>
      <c r="I18" s="720">
        <f t="shared" ref="I18:M18" si="0">I17+I15+I13</f>
        <v>183</v>
      </c>
      <c r="J18" s="706">
        <f>J17+J15+J13</f>
        <v>183</v>
      </c>
      <c r="K18" s="721">
        <f t="shared" si="0"/>
        <v>0</v>
      </c>
      <c r="L18" s="722">
        <f t="shared" si="0"/>
        <v>0</v>
      </c>
      <c r="M18" s="898">
        <f t="shared" si="0"/>
        <v>24038.461538461539</v>
      </c>
      <c r="N18" s="898">
        <f>N17+N15+N13</f>
        <v>26934.661723818353</v>
      </c>
      <c r="O18" s="1509"/>
      <c r="P18" s="1510"/>
      <c r="Q18" s="1510"/>
      <c r="R18" s="1511"/>
    </row>
    <row r="19" spans="1:19" ht="13.5" thickBot="1" x14ac:dyDescent="0.25">
      <c r="A19" s="576" t="s">
        <v>18</v>
      </c>
      <c r="B19" s="578" t="s">
        <v>23</v>
      </c>
      <c r="C19" s="1383" t="s">
        <v>76</v>
      </c>
      <c r="D19" s="1384"/>
      <c r="E19" s="1384"/>
      <c r="F19" s="1384"/>
      <c r="G19" s="1385"/>
      <c r="H19" s="1385"/>
      <c r="I19" s="1385"/>
      <c r="J19" s="1385"/>
      <c r="K19" s="1385"/>
      <c r="L19" s="1385"/>
      <c r="M19" s="1384"/>
      <c r="N19" s="1384"/>
      <c r="O19" s="1384"/>
      <c r="P19" s="1384"/>
      <c r="Q19" s="1384"/>
      <c r="R19" s="1386"/>
    </row>
    <row r="20" spans="1:19" x14ac:dyDescent="0.2">
      <c r="A20" s="579" t="s">
        <v>18</v>
      </c>
      <c r="B20" s="1200" t="s">
        <v>23</v>
      </c>
      <c r="C20" s="1202" t="s">
        <v>18</v>
      </c>
      <c r="D20" s="1498" t="s">
        <v>70</v>
      </c>
      <c r="E20" s="164"/>
      <c r="F20" s="194">
        <v>2</v>
      </c>
      <c r="G20" s="368"/>
      <c r="H20" s="856"/>
      <c r="I20" s="709"/>
      <c r="J20" s="710"/>
      <c r="K20" s="710"/>
      <c r="L20" s="723"/>
      <c r="M20" s="899"/>
      <c r="N20" s="899"/>
      <c r="O20" s="1284" t="s">
        <v>28</v>
      </c>
      <c r="P20" s="296">
        <v>3500</v>
      </c>
      <c r="Q20" s="296">
        <v>3500</v>
      </c>
      <c r="R20" s="297">
        <v>3500</v>
      </c>
      <c r="S20" s="19"/>
    </row>
    <row r="21" spans="1:19" x14ac:dyDescent="0.2">
      <c r="A21" s="580"/>
      <c r="B21" s="581"/>
      <c r="C21" s="652"/>
      <c r="D21" s="1499"/>
      <c r="E21" s="166"/>
      <c r="F21" s="168"/>
      <c r="G21" s="384" t="s">
        <v>29</v>
      </c>
      <c r="H21" s="857">
        <f>770.1/3.4528*1000</f>
        <v>223036.3762743281</v>
      </c>
      <c r="I21" s="724">
        <f t="shared" ref="I21:I22" si="1">+J21+L21</f>
        <v>770.1</v>
      </c>
      <c r="J21" s="725">
        <v>692.1</v>
      </c>
      <c r="K21" s="725"/>
      <c r="L21" s="726">
        <v>78</v>
      </c>
      <c r="M21" s="900">
        <f>770.1/3.4528*1000</f>
        <v>223036.3762743281</v>
      </c>
      <c r="N21" s="900">
        <f>770.1/3.4528*1000</f>
        <v>223036.3762743281</v>
      </c>
      <c r="O21" s="1304"/>
      <c r="P21" s="504"/>
      <c r="Q21" s="504"/>
      <c r="R21" s="505"/>
      <c r="S21" s="149"/>
    </row>
    <row r="22" spans="1:19" ht="16.5" customHeight="1" x14ac:dyDescent="0.2">
      <c r="A22" s="580"/>
      <c r="B22" s="581"/>
      <c r="C22" s="652"/>
      <c r="D22" s="1079" t="s">
        <v>82</v>
      </c>
      <c r="E22" s="166"/>
      <c r="F22" s="168"/>
      <c r="G22" s="671" t="s">
        <v>21</v>
      </c>
      <c r="H22" s="858">
        <f>11246.1/3.4528*1000</f>
        <v>3257095.6904541245</v>
      </c>
      <c r="I22" s="727">
        <f t="shared" si="1"/>
        <v>11246.1</v>
      </c>
      <c r="J22" s="728">
        <v>11046.1</v>
      </c>
      <c r="K22" s="728">
        <v>6647.7</v>
      </c>
      <c r="L22" s="729">
        <v>200</v>
      </c>
      <c r="M22" s="901">
        <f>11397.5/3.4528*1000</f>
        <v>3300944.1612604265</v>
      </c>
      <c r="N22" s="901">
        <f>11147.5/3.4528*1000</f>
        <v>3228539.1566265062</v>
      </c>
      <c r="O22" s="1500" t="s">
        <v>194</v>
      </c>
      <c r="P22" s="509">
        <v>13.5</v>
      </c>
      <c r="Q22" s="625">
        <v>14</v>
      </c>
      <c r="R22" s="674">
        <v>14</v>
      </c>
      <c r="S22" s="149"/>
    </row>
    <row r="23" spans="1:19" ht="16.5" customHeight="1" x14ac:dyDescent="0.2">
      <c r="A23" s="580"/>
      <c r="B23" s="581"/>
      <c r="C23" s="652"/>
      <c r="D23" s="1079" t="s">
        <v>83</v>
      </c>
      <c r="E23" s="166"/>
      <c r="F23" s="168"/>
      <c r="G23" s="116"/>
      <c r="H23" s="859"/>
      <c r="I23" s="730"/>
      <c r="J23" s="731"/>
      <c r="K23" s="731"/>
      <c r="L23" s="732"/>
      <c r="M23" s="902"/>
      <c r="N23" s="902"/>
      <c r="O23" s="1413"/>
      <c r="P23" s="513"/>
      <c r="Q23" s="513"/>
      <c r="R23" s="514"/>
      <c r="S23" s="19"/>
    </row>
    <row r="24" spans="1:19" ht="29.25" customHeight="1" x14ac:dyDescent="0.2">
      <c r="A24" s="580"/>
      <c r="B24" s="581"/>
      <c r="C24" s="652"/>
      <c r="D24" s="1079" t="s">
        <v>84</v>
      </c>
      <c r="E24" s="166"/>
      <c r="F24" s="168"/>
      <c r="G24" s="116"/>
      <c r="H24" s="859"/>
      <c r="I24" s="730"/>
      <c r="J24" s="731"/>
      <c r="K24" s="731"/>
      <c r="L24" s="732"/>
      <c r="M24" s="902"/>
      <c r="N24" s="902"/>
      <c r="O24" s="1413"/>
      <c r="P24" s="504"/>
      <c r="Q24" s="34"/>
      <c r="R24" s="514"/>
      <c r="S24" s="19"/>
    </row>
    <row r="25" spans="1:19" ht="27.75" customHeight="1" x14ac:dyDescent="0.2">
      <c r="A25" s="580"/>
      <c r="B25" s="581"/>
      <c r="C25" s="652"/>
      <c r="D25" s="1079" t="s">
        <v>85</v>
      </c>
      <c r="E25" s="166"/>
      <c r="F25" s="168"/>
      <c r="G25" s="116"/>
      <c r="H25" s="859"/>
      <c r="I25" s="730"/>
      <c r="J25" s="731"/>
      <c r="K25" s="731"/>
      <c r="L25" s="733"/>
      <c r="M25" s="902"/>
      <c r="N25" s="902"/>
      <c r="O25" s="480" t="s">
        <v>163</v>
      </c>
      <c r="P25" s="699"/>
      <c r="Q25" s="479">
        <v>1</v>
      </c>
      <c r="R25" s="515"/>
      <c r="S25" s="19"/>
    </row>
    <row r="26" spans="1:19" ht="43.5" customHeight="1" x14ac:dyDescent="0.2">
      <c r="A26" s="580"/>
      <c r="B26" s="581"/>
      <c r="C26" s="652"/>
      <c r="D26" s="675" t="s">
        <v>147</v>
      </c>
      <c r="E26" s="662"/>
      <c r="F26" s="168"/>
      <c r="G26" s="116"/>
      <c r="H26" s="859"/>
      <c r="I26" s="730"/>
      <c r="J26" s="731"/>
      <c r="K26" s="731"/>
      <c r="L26" s="734"/>
      <c r="M26" s="902"/>
      <c r="N26" s="902"/>
      <c r="O26" s="1080" t="s">
        <v>177</v>
      </c>
      <c r="P26" s="673">
        <v>100</v>
      </c>
      <c r="Q26" s="34"/>
      <c r="R26" s="514"/>
      <c r="S26" s="19"/>
    </row>
    <row r="27" spans="1:19" ht="44.25" customHeight="1" x14ac:dyDescent="0.2">
      <c r="A27" s="580"/>
      <c r="B27" s="581"/>
      <c r="C27" s="652"/>
      <c r="D27" s="475" t="s">
        <v>31</v>
      </c>
      <c r="E27" s="166"/>
      <c r="F27" s="168"/>
      <c r="G27" s="390"/>
      <c r="H27" s="860"/>
      <c r="I27" s="730"/>
      <c r="J27" s="731"/>
      <c r="K27" s="731"/>
      <c r="L27" s="733"/>
      <c r="M27" s="902"/>
      <c r="N27" s="902"/>
      <c r="O27" s="626" t="s">
        <v>178</v>
      </c>
      <c r="P27" s="621">
        <v>100</v>
      </c>
      <c r="Q27" s="506"/>
      <c r="R27" s="507"/>
    </row>
    <row r="28" spans="1:19" ht="29.25" customHeight="1" x14ac:dyDescent="0.2">
      <c r="A28" s="580"/>
      <c r="B28" s="581"/>
      <c r="C28" s="652"/>
      <c r="D28" s="663" t="s">
        <v>162</v>
      </c>
      <c r="E28" s="662"/>
      <c r="F28" s="168"/>
      <c r="G28" s="390"/>
      <c r="H28" s="860"/>
      <c r="I28" s="730"/>
      <c r="J28" s="731"/>
      <c r="K28" s="735"/>
      <c r="L28" s="736"/>
      <c r="M28" s="903"/>
      <c r="N28" s="903"/>
      <c r="O28" s="626" t="s">
        <v>187</v>
      </c>
      <c r="P28" s="621">
        <v>6</v>
      </c>
      <c r="Q28" s="571"/>
      <c r="R28" s="629"/>
    </row>
    <row r="29" spans="1:19" ht="30.75" customHeight="1" x14ac:dyDescent="0.2">
      <c r="A29" s="580"/>
      <c r="B29" s="581"/>
      <c r="C29" s="652"/>
      <c r="D29" s="1501" t="s">
        <v>159</v>
      </c>
      <c r="E29" s="662"/>
      <c r="F29" s="168"/>
      <c r="G29" s="354"/>
      <c r="H29" s="860"/>
      <c r="I29" s="737"/>
      <c r="J29" s="738"/>
      <c r="K29" s="731"/>
      <c r="L29" s="733"/>
      <c r="M29" s="903"/>
      <c r="N29" s="903"/>
      <c r="O29" s="626" t="s">
        <v>192</v>
      </c>
      <c r="P29" s="634">
        <v>18065</v>
      </c>
      <c r="Q29" s="634">
        <v>18065</v>
      </c>
      <c r="R29" s="635">
        <v>18065</v>
      </c>
    </row>
    <row r="30" spans="1:19" ht="13.5" thickBot="1" x14ac:dyDescent="0.25">
      <c r="A30" s="582"/>
      <c r="B30" s="1201"/>
      <c r="C30" s="591"/>
      <c r="D30" s="1502"/>
      <c r="E30" s="169"/>
      <c r="F30" s="171"/>
      <c r="G30" s="236" t="s">
        <v>22</v>
      </c>
      <c r="H30" s="861">
        <f>SUM(H21:H29)</f>
        <v>3480132.0667284527</v>
      </c>
      <c r="I30" s="705">
        <f t="shared" ref="I30:N30" si="2">SUM(I21:I29)</f>
        <v>12016.2</v>
      </c>
      <c r="J30" s="739">
        <f t="shared" si="2"/>
        <v>11738.2</v>
      </c>
      <c r="K30" s="708">
        <f t="shared" si="2"/>
        <v>6647.7</v>
      </c>
      <c r="L30" s="739">
        <f t="shared" si="2"/>
        <v>278</v>
      </c>
      <c r="M30" s="854">
        <f t="shared" si="2"/>
        <v>3523980.5375347547</v>
      </c>
      <c r="N30" s="854">
        <f t="shared" si="2"/>
        <v>3451575.5329008345</v>
      </c>
      <c r="O30" s="627"/>
      <c r="P30" s="628"/>
      <c r="Q30" s="1194"/>
      <c r="R30" s="535"/>
      <c r="S30" s="19"/>
    </row>
    <row r="31" spans="1:19" ht="27.75" customHeight="1" x14ac:dyDescent="0.2">
      <c r="A31" s="583" t="s">
        <v>18</v>
      </c>
      <c r="B31" s="584" t="s">
        <v>23</v>
      </c>
      <c r="C31" s="585" t="s">
        <v>23</v>
      </c>
      <c r="D31" s="666" t="s">
        <v>32</v>
      </c>
      <c r="E31" s="1516" t="s">
        <v>110</v>
      </c>
      <c r="F31" s="1185" t="s">
        <v>20</v>
      </c>
      <c r="G31" s="115" t="s">
        <v>21</v>
      </c>
      <c r="H31" s="862">
        <f>1094.4/3.4528*1000</f>
        <v>316960.14828544954</v>
      </c>
      <c r="I31" s="1216">
        <f>J31+L31</f>
        <v>194.4</v>
      </c>
      <c r="J31" s="1217">
        <v>194.4</v>
      </c>
      <c r="K31" s="1218"/>
      <c r="L31" s="1219"/>
      <c r="M31" s="1220">
        <f>1116/3.4528*1000</f>
        <v>323215.94068582024</v>
      </c>
      <c r="N31" s="1221">
        <f>1136/3.4528*1000</f>
        <v>329008.3410565338</v>
      </c>
      <c r="O31" s="13" t="s">
        <v>107</v>
      </c>
      <c r="P31" s="14">
        <v>57</v>
      </c>
      <c r="Q31" s="14">
        <v>57</v>
      </c>
      <c r="R31" s="541">
        <v>57</v>
      </c>
    </row>
    <row r="32" spans="1:19" ht="27.75" customHeight="1" x14ac:dyDescent="0.2">
      <c r="A32" s="586"/>
      <c r="B32" s="587"/>
      <c r="C32" s="588"/>
      <c r="D32" s="1215" t="s">
        <v>204</v>
      </c>
      <c r="E32" s="1517"/>
      <c r="F32" s="1186"/>
      <c r="G32" s="116"/>
      <c r="H32" s="859"/>
      <c r="I32" s="737"/>
      <c r="J32" s="273"/>
      <c r="K32" s="1126"/>
      <c r="L32" s="1127"/>
      <c r="M32" s="1128"/>
      <c r="N32" s="1129"/>
      <c r="O32" s="15"/>
      <c r="P32" s="1187"/>
      <c r="Q32" s="54"/>
      <c r="R32" s="20"/>
    </row>
    <row r="33" spans="1:18" ht="27.75" customHeight="1" x14ac:dyDescent="0.2">
      <c r="A33" s="586"/>
      <c r="B33" s="587"/>
      <c r="C33" s="588"/>
      <c r="D33" s="667" t="s">
        <v>198</v>
      </c>
      <c r="E33" s="1517"/>
      <c r="F33" s="556"/>
      <c r="G33" s="116"/>
      <c r="H33" s="859"/>
      <c r="I33" s="737"/>
      <c r="J33" s="273"/>
      <c r="K33" s="743"/>
      <c r="L33" s="744"/>
      <c r="M33" s="906"/>
      <c r="N33" s="907"/>
      <c r="O33" s="676"/>
      <c r="P33" s="677"/>
      <c r="Q33" s="4"/>
      <c r="R33" s="678"/>
    </row>
    <row r="34" spans="1:18" ht="28.5" customHeight="1" x14ac:dyDescent="0.2">
      <c r="A34" s="586"/>
      <c r="B34" s="587"/>
      <c r="C34" s="588"/>
      <c r="D34" s="667" t="s">
        <v>196</v>
      </c>
      <c r="E34" s="1517"/>
      <c r="F34" s="556"/>
      <c r="G34" s="116"/>
      <c r="H34" s="859"/>
      <c r="I34" s="737"/>
      <c r="J34" s="273"/>
      <c r="K34" s="745"/>
      <c r="L34" s="744"/>
      <c r="M34" s="906"/>
      <c r="N34" s="907"/>
      <c r="O34" s="15"/>
      <c r="P34" s="1187"/>
      <c r="Q34" s="1187"/>
      <c r="R34" s="20"/>
    </row>
    <row r="35" spans="1:18" ht="41.25" customHeight="1" x14ac:dyDescent="0.2">
      <c r="A35" s="586"/>
      <c r="B35" s="587"/>
      <c r="C35" s="588"/>
      <c r="D35" s="667" t="s">
        <v>116</v>
      </c>
      <c r="E35" s="325"/>
      <c r="F35" s="556"/>
      <c r="G35" s="116"/>
      <c r="H35" s="859"/>
      <c r="I35" s="737"/>
      <c r="J35" s="273"/>
      <c r="K35" s="743"/>
      <c r="L35" s="744"/>
      <c r="M35" s="906"/>
      <c r="N35" s="907"/>
      <c r="O35" s="15"/>
      <c r="P35" s="1187"/>
      <c r="Q35" s="1187"/>
      <c r="R35" s="20"/>
    </row>
    <row r="36" spans="1:18" ht="15" customHeight="1" x14ac:dyDescent="0.2">
      <c r="A36" s="586"/>
      <c r="B36" s="587"/>
      <c r="C36" s="588"/>
      <c r="D36" s="667" t="s">
        <v>197</v>
      </c>
      <c r="E36" s="325"/>
      <c r="F36" s="556"/>
      <c r="G36" s="116"/>
      <c r="H36" s="859"/>
      <c r="I36" s="737"/>
      <c r="J36" s="273"/>
      <c r="K36" s="743"/>
      <c r="L36" s="744"/>
      <c r="M36" s="906"/>
      <c r="N36" s="907"/>
      <c r="O36" s="15"/>
      <c r="P36" s="1187"/>
      <c r="Q36" s="1187"/>
      <c r="R36" s="20"/>
    </row>
    <row r="37" spans="1:18" ht="41.25" customHeight="1" x14ac:dyDescent="0.2">
      <c r="A37" s="586"/>
      <c r="B37" s="587"/>
      <c r="C37" s="588"/>
      <c r="D37" s="1518" t="s">
        <v>151</v>
      </c>
      <c r="E37" s="325"/>
      <c r="F37" s="556"/>
      <c r="G37" s="288"/>
      <c r="H37" s="863"/>
      <c r="I37" s="746"/>
      <c r="J37" s="673"/>
      <c r="K37" s="747"/>
      <c r="L37" s="748"/>
      <c r="M37" s="908"/>
      <c r="N37" s="909"/>
      <c r="O37" s="15"/>
      <c r="P37" s="1187"/>
      <c r="Q37" s="1187"/>
      <c r="R37" s="20"/>
    </row>
    <row r="38" spans="1:18" ht="13.5" thickBot="1" x14ac:dyDescent="0.25">
      <c r="A38" s="589"/>
      <c r="B38" s="590"/>
      <c r="C38" s="591"/>
      <c r="D38" s="1502"/>
      <c r="E38" s="472"/>
      <c r="F38" s="557"/>
      <c r="G38" s="239" t="s">
        <v>22</v>
      </c>
      <c r="H38" s="873">
        <f>SUM(H31:H37)</f>
        <v>316960.14828544954</v>
      </c>
      <c r="I38" s="705">
        <f t="shared" ref="I38" si="3">+J38+L38</f>
        <v>194.4</v>
      </c>
      <c r="J38" s="739">
        <f>SUM(J31:J35)</f>
        <v>194.4</v>
      </c>
      <c r="K38" s="708"/>
      <c r="L38" s="715"/>
      <c r="M38" s="854">
        <f>SUM(M31:M35)</f>
        <v>323215.94068582024</v>
      </c>
      <c r="N38" s="910">
        <f>SUM(N31:N35)</f>
        <v>329008.3410565338</v>
      </c>
      <c r="O38" s="542"/>
      <c r="P38" s="1188"/>
      <c r="Q38" s="1194"/>
      <c r="R38" s="188"/>
    </row>
    <row r="39" spans="1:18" ht="31.5" customHeight="1" x14ac:dyDescent="0.2">
      <c r="A39" s="592" t="s">
        <v>18</v>
      </c>
      <c r="B39" s="587" t="s">
        <v>23</v>
      </c>
      <c r="C39" s="593" t="s">
        <v>26</v>
      </c>
      <c r="D39" s="1519" t="s">
        <v>73</v>
      </c>
      <c r="E39" s="126"/>
      <c r="F39" s="1185" t="s">
        <v>20</v>
      </c>
      <c r="G39" s="115" t="s">
        <v>21</v>
      </c>
      <c r="H39" s="862">
        <f>1344.7/3.4528*1000</f>
        <v>389452.0389249305</v>
      </c>
      <c r="I39" s="848">
        <f>+J39+L39</f>
        <v>1344.7</v>
      </c>
      <c r="J39" s="799">
        <v>1344.7</v>
      </c>
      <c r="K39" s="742"/>
      <c r="L39" s="712"/>
      <c r="M39" s="1042">
        <f>1344.7/3.4528*1000</f>
        <v>389452.0389249305</v>
      </c>
      <c r="N39" s="1042">
        <f>1344.7/3.4528*1000</f>
        <v>389452.0389249305</v>
      </c>
      <c r="O39" s="1284" t="s">
        <v>90</v>
      </c>
      <c r="P39" s="289">
        <v>1977</v>
      </c>
      <c r="Q39" s="290">
        <v>1977</v>
      </c>
      <c r="R39" s="291">
        <v>1977</v>
      </c>
    </row>
    <row r="40" spans="1:18" ht="13.5" thickBot="1" x14ac:dyDescent="0.25">
      <c r="A40" s="592"/>
      <c r="B40" s="587"/>
      <c r="C40" s="593"/>
      <c r="D40" s="1518"/>
      <c r="E40" s="126"/>
      <c r="F40" s="1186"/>
      <c r="G40" s="207" t="s">
        <v>22</v>
      </c>
      <c r="H40" s="854">
        <f>H39</f>
        <v>389452.0389249305</v>
      </c>
      <c r="I40" s="704">
        <f>+J40+L40</f>
        <v>1344.7</v>
      </c>
      <c r="J40" s="749">
        <f>+J39</f>
        <v>1344.7</v>
      </c>
      <c r="K40" s="750"/>
      <c r="L40" s="751"/>
      <c r="M40" s="854">
        <f>+M39</f>
        <v>389452.0389249305</v>
      </c>
      <c r="N40" s="854">
        <f>+N39</f>
        <v>389452.0389249305</v>
      </c>
      <c r="O40" s="1285"/>
      <c r="P40" s="1188"/>
      <c r="Q40" s="1194"/>
      <c r="R40" s="188"/>
    </row>
    <row r="41" spans="1:18" ht="13.5" thickBot="1" x14ac:dyDescent="0.25">
      <c r="A41" s="576" t="s">
        <v>18</v>
      </c>
      <c r="B41" s="578" t="s">
        <v>23</v>
      </c>
      <c r="C41" s="1387" t="s">
        <v>27</v>
      </c>
      <c r="D41" s="1277"/>
      <c r="E41" s="1277"/>
      <c r="F41" s="1277"/>
      <c r="G41" s="1277"/>
      <c r="H41" s="855">
        <f>H40+H38+H30</f>
        <v>4186544.2539388328</v>
      </c>
      <c r="I41" s="855">
        <f t="shared" ref="I41:N41" si="4">I40+I38+I30</f>
        <v>13555.300000000001</v>
      </c>
      <c r="J41" s="855">
        <f t="shared" si="4"/>
        <v>13277.300000000001</v>
      </c>
      <c r="K41" s="855">
        <f t="shared" si="4"/>
        <v>6647.7</v>
      </c>
      <c r="L41" s="855">
        <f t="shared" si="4"/>
        <v>278</v>
      </c>
      <c r="M41" s="855">
        <f t="shared" si="4"/>
        <v>4236648.5171455052</v>
      </c>
      <c r="N41" s="855">
        <f t="shared" si="4"/>
        <v>4170035.9128822987</v>
      </c>
      <c r="O41" s="1328"/>
      <c r="P41" s="1329"/>
      <c r="Q41" s="1329"/>
      <c r="R41" s="1330"/>
    </row>
    <row r="42" spans="1:18" ht="13.5" thickBot="1" x14ac:dyDescent="0.25">
      <c r="A42" s="601" t="s">
        <v>18</v>
      </c>
      <c r="B42" s="602" t="s">
        <v>26</v>
      </c>
      <c r="C42" s="1331" t="s">
        <v>42</v>
      </c>
      <c r="D42" s="1331"/>
      <c r="E42" s="1332"/>
      <c r="F42" s="1332"/>
      <c r="G42" s="1332"/>
      <c r="H42" s="1332"/>
      <c r="I42" s="1332"/>
      <c r="J42" s="1332"/>
      <c r="K42" s="1332"/>
      <c r="L42" s="1332"/>
      <c r="M42" s="1332"/>
      <c r="N42" s="1332"/>
      <c r="O42" s="1331"/>
      <c r="P42" s="1331"/>
      <c r="Q42" s="1331"/>
      <c r="R42" s="1333"/>
    </row>
    <row r="43" spans="1:18" ht="17.25" customHeight="1" x14ac:dyDescent="0.2">
      <c r="A43" s="594" t="s">
        <v>18</v>
      </c>
      <c r="B43" s="595" t="s">
        <v>26</v>
      </c>
      <c r="C43" s="1512" t="s">
        <v>18</v>
      </c>
      <c r="D43" s="682" t="s">
        <v>167</v>
      </c>
      <c r="E43" s="1340"/>
      <c r="F43" s="1514" t="s">
        <v>24</v>
      </c>
      <c r="G43" s="80"/>
      <c r="H43" s="864"/>
      <c r="I43" s="830"/>
      <c r="J43" s="810"/>
      <c r="K43" s="296"/>
      <c r="L43" s="752"/>
      <c r="M43" s="911"/>
      <c r="N43" s="911"/>
      <c r="O43" s="647"/>
      <c r="P43" s="647"/>
      <c r="Q43" s="636"/>
      <c r="R43" s="637"/>
    </row>
    <row r="44" spans="1:18" ht="40.5" customHeight="1" x14ac:dyDescent="0.2">
      <c r="A44" s="596"/>
      <c r="B44" s="597"/>
      <c r="C44" s="1513"/>
      <c r="D44" s="693" t="s">
        <v>153</v>
      </c>
      <c r="E44" s="1341"/>
      <c r="F44" s="1515"/>
      <c r="G44" s="684" t="s">
        <v>21</v>
      </c>
      <c r="H44" s="865">
        <f>500/3.4528*1000</f>
        <v>144810.00926784059</v>
      </c>
      <c r="I44" s="831">
        <f>L44+J44</f>
        <v>500</v>
      </c>
      <c r="J44" s="811"/>
      <c r="K44" s="753"/>
      <c r="L44" s="754">
        <v>500</v>
      </c>
      <c r="M44" s="912">
        <f>1308/3.4528*1000</f>
        <v>378822.98424467101</v>
      </c>
      <c r="N44" s="912">
        <f>2100/3.4528*1000</f>
        <v>608202.0389249305</v>
      </c>
      <c r="O44" s="518" t="s">
        <v>148</v>
      </c>
      <c r="P44" s="512">
        <v>100</v>
      </c>
      <c r="Q44" s="638"/>
      <c r="R44" s="639"/>
    </row>
    <row r="45" spans="1:18" ht="30" customHeight="1" x14ac:dyDescent="0.2">
      <c r="A45" s="596"/>
      <c r="B45" s="597"/>
      <c r="C45" s="1513"/>
      <c r="D45" s="683"/>
      <c r="E45" s="1341"/>
      <c r="F45" s="1515"/>
      <c r="G45" s="685" t="s">
        <v>25</v>
      </c>
      <c r="H45" s="866">
        <f>600/3.4528*1000</f>
        <v>173772.01112140872</v>
      </c>
      <c r="I45" s="832">
        <f>L45+J45</f>
        <v>600</v>
      </c>
      <c r="J45" s="812"/>
      <c r="K45" s="755"/>
      <c r="L45" s="756">
        <v>600</v>
      </c>
      <c r="M45" s="913"/>
      <c r="N45" s="913"/>
      <c r="O45" s="631" t="s">
        <v>149</v>
      </c>
      <c r="P45" s="630"/>
      <c r="Q45" s="632">
        <v>100</v>
      </c>
      <c r="R45" s="633"/>
    </row>
    <row r="46" spans="1:18" ht="30" customHeight="1" x14ac:dyDescent="0.2">
      <c r="A46" s="596"/>
      <c r="B46" s="597"/>
      <c r="C46" s="1513"/>
      <c r="D46" s="683"/>
      <c r="E46" s="1341"/>
      <c r="F46" s="1515"/>
      <c r="G46" s="686"/>
      <c r="H46" s="865"/>
      <c r="I46" s="831"/>
      <c r="J46" s="813"/>
      <c r="K46" s="757"/>
      <c r="L46" s="758"/>
      <c r="M46" s="914"/>
      <c r="N46" s="914"/>
      <c r="O46" s="518" t="s">
        <v>150</v>
      </c>
      <c r="P46" s="512"/>
      <c r="Q46" s="670">
        <v>100</v>
      </c>
      <c r="R46" s="524"/>
    </row>
    <row r="47" spans="1:18" ht="42.75" customHeight="1" x14ac:dyDescent="0.2">
      <c r="A47" s="596"/>
      <c r="B47" s="597"/>
      <c r="C47" s="1513"/>
      <c r="D47" s="683"/>
      <c r="E47" s="1341"/>
      <c r="F47" s="1515"/>
      <c r="G47" s="687" t="s">
        <v>22</v>
      </c>
      <c r="H47" s="867">
        <f>SUM(H44:H46)</f>
        <v>318582.02038924932</v>
      </c>
      <c r="I47" s="762">
        <f t="shared" ref="I47:N47" si="5">SUM(I43:I46)</f>
        <v>1100</v>
      </c>
      <c r="J47" s="759">
        <f t="shared" si="5"/>
        <v>0</v>
      </c>
      <c r="K47" s="760">
        <f t="shared" si="5"/>
        <v>0</v>
      </c>
      <c r="L47" s="761">
        <f t="shared" si="5"/>
        <v>1100</v>
      </c>
      <c r="M47" s="851">
        <f t="shared" si="5"/>
        <v>378822.98424467101</v>
      </c>
      <c r="N47" s="851">
        <f t="shared" si="5"/>
        <v>608202.0389249305</v>
      </c>
      <c r="O47" s="641" t="s">
        <v>158</v>
      </c>
      <c r="P47" s="642"/>
      <c r="Q47" s="643"/>
      <c r="R47" s="644">
        <v>100</v>
      </c>
    </row>
    <row r="48" spans="1:18" x14ac:dyDescent="0.2">
      <c r="A48" s="611"/>
      <c r="B48" s="612"/>
      <c r="C48" s="1206"/>
      <c r="D48" s="1527" t="s">
        <v>184</v>
      </c>
      <c r="E48" s="679"/>
      <c r="F48" s="681"/>
      <c r="G48" s="476" t="s">
        <v>21</v>
      </c>
      <c r="H48" s="865">
        <f>500/3.4528*1000</f>
        <v>144810.00926784059</v>
      </c>
      <c r="I48" s="831">
        <f>J48+L48</f>
        <v>500</v>
      </c>
      <c r="J48" s="814"/>
      <c r="K48" s="753"/>
      <c r="L48" s="763">
        <v>500</v>
      </c>
      <c r="M48" s="914">
        <f>300/3.4528*1000</f>
        <v>86886.005560704361</v>
      </c>
      <c r="N48" s="915"/>
      <c r="O48" s="1530" t="s">
        <v>164</v>
      </c>
      <c r="P48" s="621">
        <v>60</v>
      </c>
      <c r="Q48" s="645">
        <v>40</v>
      </c>
      <c r="R48" s="646"/>
    </row>
    <row r="49" spans="1:19" x14ac:dyDescent="0.2">
      <c r="A49" s="605"/>
      <c r="B49" s="606"/>
      <c r="C49" s="607"/>
      <c r="D49" s="1528"/>
      <c r="E49" s="680"/>
      <c r="F49" s="681"/>
      <c r="G49" s="688" t="s">
        <v>22</v>
      </c>
      <c r="H49" s="868">
        <f>H48</f>
        <v>144810.00926784059</v>
      </c>
      <c r="I49" s="767">
        <f t="shared" ref="I49:M49" si="6">SUM(I48:I48)</f>
        <v>500</v>
      </c>
      <c r="J49" s="764">
        <f t="shared" si="6"/>
        <v>0</v>
      </c>
      <c r="K49" s="765">
        <f t="shared" si="6"/>
        <v>0</v>
      </c>
      <c r="L49" s="766">
        <f t="shared" si="6"/>
        <v>500</v>
      </c>
      <c r="M49" s="916">
        <f t="shared" si="6"/>
        <v>86886.005560704361</v>
      </c>
      <c r="N49" s="916"/>
      <c r="O49" s="1531"/>
      <c r="P49" s="1187"/>
      <c r="Q49" s="1187"/>
      <c r="R49" s="1192"/>
    </row>
    <row r="50" spans="1:19" ht="13.5" thickBot="1" x14ac:dyDescent="0.25">
      <c r="A50" s="608"/>
      <c r="B50" s="609"/>
      <c r="C50" s="648"/>
      <c r="D50" s="1529"/>
      <c r="E50" s="1532" t="s">
        <v>179</v>
      </c>
      <c r="F50" s="1533"/>
      <c r="G50" s="1534"/>
      <c r="H50" s="869">
        <f>H49+H47</f>
        <v>463392.02965708991</v>
      </c>
      <c r="I50" s="780">
        <f>I49+I47</f>
        <v>1600</v>
      </c>
      <c r="J50" s="769">
        <f t="shared" ref="J50:N50" si="7">J49+J47</f>
        <v>0</v>
      </c>
      <c r="K50" s="770">
        <f t="shared" si="7"/>
        <v>0</v>
      </c>
      <c r="L50" s="768">
        <f t="shared" si="7"/>
        <v>1600</v>
      </c>
      <c r="M50" s="917">
        <f t="shared" si="7"/>
        <v>465708.98980537534</v>
      </c>
      <c r="N50" s="917">
        <f t="shared" si="7"/>
        <v>608202.0389249305</v>
      </c>
      <c r="O50" s="692"/>
      <c r="P50" s="689"/>
      <c r="Q50" s="690"/>
      <c r="R50" s="691"/>
    </row>
    <row r="51" spans="1:19" ht="15.75" customHeight="1" x14ac:dyDescent="0.2">
      <c r="A51" s="611" t="s">
        <v>18</v>
      </c>
      <c r="B51" s="612" t="s">
        <v>26</v>
      </c>
      <c r="C51" s="1206" t="s">
        <v>23</v>
      </c>
      <c r="D51" s="1535" t="s">
        <v>146</v>
      </c>
      <c r="E51" s="653" t="s">
        <v>137</v>
      </c>
      <c r="F51" s="180" t="s">
        <v>44</v>
      </c>
      <c r="G51" s="288" t="s">
        <v>21</v>
      </c>
      <c r="H51" s="863"/>
      <c r="I51" s="833"/>
      <c r="J51" s="815"/>
      <c r="K51" s="771"/>
      <c r="L51" s="772"/>
      <c r="M51" s="918">
        <f>2388.7/3.4528*1000</f>
        <v>691815.3382761816</v>
      </c>
      <c r="N51" s="919"/>
      <c r="O51" s="489" t="s">
        <v>142</v>
      </c>
      <c r="P51" s="490">
        <v>1</v>
      </c>
      <c r="Q51" s="490"/>
      <c r="R51" s="20"/>
    </row>
    <row r="52" spans="1:19" ht="14.25" customHeight="1" x14ac:dyDescent="0.2">
      <c r="A52" s="605"/>
      <c r="B52" s="606"/>
      <c r="C52" s="607"/>
      <c r="D52" s="1535"/>
      <c r="E52" s="1536" t="s">
        <v>109</v>
      </c>
      <c r="F52" s="180"/>
      <c r="G52" s="58" t="s">
        <v>45</v>
      </c>
      <c r="H52" s="870">
        <f>2397/3.4528*1000</f>
        <v>694219.18443002773</v>
      </c>
      <c r="I52" s="834">
        <f>J52+L52</f>
        <v>2397.3000000000002</v>
      </c>
      <c r="J52" s="816"/>
      <c r="K52" s="699"/>
      <c r="L52" s="773">
        <v>2397.3000000000002</v>
      </c>
      <c r="M52" s="903">
        <f>1310/3.4528*1000</f>
        <v>379402.22428174235</v>
      </c>
      <c r="N52" s="920"/>
      <c r="O52" s="15" t="s">
        <v>143</v>
      </c>
      <c r="P52" s="1187">
        <v>30</v>
      </c>
      <c r="Q52" s="54">
        <v>100</v>
      </c>
      <c r="R52" s="1191"/>
    </row>
    <row r="53" spans="1:19" x14ac:dyDescent="0.2">
      <c r="A53" s="605"/>
      <c r="B53" s="606"/>
      <c r="C53" s="607"/>
      <c r="D53" s="1535"/>
      <c r="E53" s="1324"/>
      <c r="F53" s="180"/>
      <c r="G53" s="376" t="s">
        <v>41</v>
      </c>
      <c r="H53" s="870">
        <f>9000/3.4528*1000</f>
        <v>2606580.1668211306</v>
      </c>
      <c r="I53" s="835">
        <f>J53+L53</f>
        <v>9000</v>
      </c>
      <c r="J53" s="817"/>
      <c r="K53" s="774"/>
      <c r="L53" s="775">
        <v>9000</v>
      </c>
      <c r="M53" s="921">
        <f>21000/3.4528*1000</f>
        <v>6082020.3892493052</v>
      </c>
      <c r="N53" s="914"/>
      <c r="O53" s="1304"/>
      <c r="P53" s="1313"/>
      <c r="Q53" s="1313"/>
      <c r="R53" s="1316"/>
      <c r="S53" s="60"/>
    </row>
    <row r="54" spans="1:19" x14ac:dyDescent="0.2">
      <c r="A54" s="605"/>
      <c r="B54" s="606"/>
      <c r="C54" s="607"/>
      <c r="D54" s="1535"/>
      <c r="E54" s="1324"/>
      <c r="F54" s="180"/>
      <c r="G54" s="649" t="s">
        <v>168</v>
      </c>
      <c r="H54" s="870">
        <f>1659/3.4528*1000</f>
        <v>480479.61075069511</v>
      </c>
      <c r="I54" s="835">
        <f>J54+L54</f>
        <v>1658.7</v>
      </c>
      <c r="J54" s="818"/>
      <c r="K54" s="776"/>
      <c r="L54" s="777">
        <v>1658.7</v>
      </c>
      <c r="M54" s="922"/>
      <c r="N54" s="923"/>
      <c r="O54" s="1304"/>
      <c r="P54" s="1313"/>
      <c r="Q54" s="1313"/>
      <c r="R54" s="1316"/>
      <c r="S54" s="60"/>
    </row>
    <row r="55" spans="1:19" x14ac:dyDescent="0.2">
      <c r="A55" s="605"/>
      <c r="B55" s="606"/>
      <c r="C55" s="607"/>
      <c r="D55" s="1535"/>
      <c r="E55" s="1324"/>
      <c r="F55" s="180"/>
      <c r="G55" s="116" t="s">
        <v>25</v>
      </c>
      <c r="H55" s="859">
        <f>750/3.4528*1000</f>
        <v>217215.01390176089</v>
      </c>
      <c r="I55" s="836">
        <f>J55+L55</f>
        <v>750</v>
      </c>
      <c r="J55" s="819"/>
      <c r="K55" s="778"/>
      <c r="L55" s="505">
        <v>750</v>
      </c>
      <c r="M55" s="903">
        <f>750/3.4528*1000</f>
        <v>217215.01390176089</v>
      </c>
      <c r="N55" s="914"/>
      <c r="O55" s="1304"/>
      <c r="P55" s="1313"/>
      <c r="Q55" s="1313"/>
      <c r="R55" s="1316"/>
      <c r="S55" s="60"/>
    </row>
    <row r="56" spans="1:19" ht="13.5" thickBot="1" x14ac:dyDescent="0.25">
      <c r="A56" s="608"/>
      <c r="B56" s="609"/>
      <c r="C56" s="610"/>
      <c r="D56" s="1283"/>
      <c r="E56" s="484"/>
      <c r="F56" s="405"/>
      <c r="G56" s="377" t="s">
        <v>22</v>
      </c>
      <c r="H56" s="871">
        <f>SUM(H52:H55)</f>
        <v>3998493.9759036144</v>
      </c>
      <c r="I56" s="780">
        <f t="shared" ref="I56:L56" si="8">SUM(I51:I55)</f>
        <v>13806</v>
      </c>
      <c r="J56" s="768">
        <f t="shared" si="8"/>
        <v>0</v>
      </c>
      <c r="K56" s="769">
        <f t="shared" si="8"/>
        <v>0</v>
      </c>
      <c r="L56" s="779">
        <f t="shared" si="8"/>
        <v>13806</v>
      </c>
      <c r="M56" s="924">
        <f>SUM(M51:M55)</f>
        <v>7370452.9657089897</v>
      </c>
      <c r="N56" s="924"/>
      <c r="O56" s="1285"/>
      <c r="P56" s="1314"/>
      <c r="Q56" s="1314"/>
      <c r="R56" s="1317"/>
    </row>
    <row r="57" spans="1:19" ht="24" customHeight="1" x14ac:dyDescent="0.2">
      <c r="A57" s="594" t="s">
        <v>18</v>
      </c>
      <c r="B57" s="595" t="s">
        <v>26</v>
      </c>
      <c r="C57" s="1512" t="s">
        <v>26</v>
      </c>
      <c r="D57" s="1521" t="s">
        <v>199</v>
      </c>
      <c r="E57" s="485" t="s">
        <v>137</v>
      </c>
      <c r="F57" s="1346" t="s">
        <v>44</v>
      </c>
      <c r="G57" s="374" t="s">
        <v>21</v>
      </c>
      <c r="H57" s="872">
        <f>57/3.4528*1000</f>
        <v>16508.341056533831</v>
      </c>
      <c r="I57" s="837">
        <f>L57+J57</f>
        <v>57</v>
      </c>
      <c r="J57" s="820"/>
      <c r="K57" s="781"/>
      <c r="L57" s="782">
        <v>57</v>
      </c>
      <c r="M57" s="925">
        <f>672.5/3.4528*1000</f>
        <v>194769.4624652456</v>
      </c>
      <c r="N57" s="926"/>
      <c r="O57" s="480" t="s">
        <v>142</v>
      </c>
      <c r="P57" s="488"/>
      <c r="Q57" s="481">
        <v>1</v>
      </c>
      <c r="R57" s="487"/>
    </row>
    <row r="58" spans="1:19" ht="24" customHeight="1" x14ac:dyDescent="0.2">
      <c r="A58" s="596"/>
      <c r="B58" s="597"/>
      <c r="C58" s="1513"/>
      <c r="D58" s="1522"/>
      <c r="E58" s="1524" t="s">
        <v>140</v>
      </c>
      <c r="F58" s="1347"/>
      <c r="G58" s="474" t="s">
        <v>41</v>
      </c>
      <c r="H58" s="870"/>
      <c r="I58" s="831"/>
      <c r="J58" s="811"/>
      <c r="K58" s="753"/>
      <c r="L58" s="754"/>
      <c r="M58" s="914"/>
      <c r="N58" s="914">
        <f>3105.8/3.4528*1000</f>
        <v>899501.85356811865</v>
      </c>
      <c r="O58" s="1208" t="s">
        <v>145</v>
      </c>
      <c r="P58" s="491"/>
      <c r="Q58" s="482"/>
      <c r="R58" s="492">
        <v>25</v>
      </c>
    </row>
    <row r="59" spans="1:19" ht="24" customHeight="1" x14ac:dyDescent="0.2">
      <c r="A59" s="596"/>
      <c r="B59" s="597"/>
      <c r="C59" s="1513"/>
      <c r="D59" s="1522"/>
      <c r="E59" s="1525"/>
      <c r="F59" s="1347"/>
      <c r="G59" s="375" t="s">
        <v>138</v>
      </c>
      <c r="H59" s="863"/>
      <c r="I59" s="831"/>
      <c r="J59" s="813"/>
      <c r="K59" s="757"/>
      <c r="L59" s="758"/>
      <c r="M59" s="918"/>
      <c r="N59" s="914">
        <f>274.1/3.4528*1000</f>
        <v>79384.847080630221</v>
      </c>
      <c r="O59" s="1181"/>
      <c r="P59" s="493"/>
      <c r="Q59" s="1078"/>
      <c r="R59" s="494"/>
    </row>
    <row r="60" spans="1:19" ht="24" customHeight="1" x14ac:dyDescent="0.2">
      <c r="A60" s="596"/>
      <c r="B60" s="597"/>
      <c r="C60" s="1513"/>
      <c r="D60" s="1522"/>
      <c r="E60" s="1525"/>
      <c r="F60" s="1347"/>
      <c r="G60" s="486" t="s">
        <v>48</v>
      </c>
      <c r="H60" s="859"/>
      <c r="I60" s="832"/>
      <c r="J60" s="821"/>
      <c r="K60" s="783"/>
      <c r="L60" s="784"/>
      <c r="M60" s="927"/>
      <c r="N60" s="928">
        <f>274.1/3.4528*1000</f>
        <v>79384.847080630221</v>
      </c>
      <c r="O60" s="1181"/>
      <c r="P60" s="493"/>
      <c r="Q60" s="1078"/>
      <c r="R60" s="494"/>
    </row>
    <row r="61" spans="1:19" ht="13.5" thickBot="1" x14ac:dyDescent="0.25">
      <c r="A61" s="598"/>
      <c r="B61" s="599"/>
      <c r="C61" s="1520"/>
      <c r="D61" s="1523"/>
      <c r="E61" s="1526"/>
      <c r="F61" s="1348"/>
      <c r="G61" s="1199" t="s">
        <v>22</v>
      </c>
      <c r="H61" s="873">
        <f>SUM(H57:H60)</f>
        <v>16508.341056533831</v>
      </c>
      <c r="I61" s="740">
        <f>SUM(I57:I59)</f>
        <v>57</v>
      </c>
      <c r="J61" s="822">
        <f t="shared" ref="J61:L61" si="9">SUM(J57:J59)</f>
        <v>0</v>
      </c>
      <c r="K61" s="739">
        <f t="shared" si="9"/>
        <v>0</v>
      </c>
      <c r="L61" s="785">
        <f t="shared" si="9"/>
        <v>57</v>
      </c>
      <c r="M61" s="854">
        <f>SUM(M57:M59)</f>
        <v>194769.4624652456</v>
      </c>
      <c r="N61" s="929">
        <f>SUM(N57:N60)</f>
        <v>1058271.547729379</v>
      </c>
      <c r="O61" s="1181"/>
      <c r="P61" s="493"/>
      <c r="Q61" s="1078"/>
      <c r="R61" s="494"/>
    </row>
    <row r="62" spans="1:19" ht="15" customHeight="1" x14ac:dyDescent="0.2">
      <c r="A62" s="594" t="s">
        <v>18</v>
      </c>
      <c r="B62" s="595" t="s">
        <v>26</v>
      </c>
      <c r="C62" s="1512" t="s">
        <v>39</v>
      </c>
      <c r="D62" s="1521" t="s">
        <v>136</v>
      </c>
      <c r="E62" s="485" t="s">
        <v>137</v>
      </c>
      <c r="F62" s="1346" t="s">
        <v>44</v>
      </c>
      <c r="G62" s="374" t="s">
        <v>21</v>
      </c>
      <c r="H62" s="872">
        <f>30/3.4528*1000</f>
        <v>8688.6005560704343</v>
      </c>
      <c r="I62" s="837">
        <f>L62+J62</f>
        <v>30</v>
      </c>
      <c r="J62" s="820"/>
      <c r="K62" s="781"/>
      <c r="L62" s="782">
        <v>30</v>
      </c>
      <c r="M62" s="925">
        <f>121.2/3.4528*1000</f>
        <v>35101.94624652456</v>
      </c>
      <c r="N62" s="926"/>
      <c r="O62" s="480" t="s">
        <v>142</v>
      </c>
      <c r="P62" s="481"/>
      <c r="Q62" s="481">
        <v>1</v>
      </c>
      <c r="R62" s="487"/>
    </row>
    <row r="63" spans="1:19" x14ac:dyDescent="0.2">
      <c r="A63" s="596"/>
      <c r="B63" s="597"/>
      <c r="C63" s="1513"/>
      <c r="D63" s="1522"/>
      <c r="E63" s="1537" t="s">
        <v>139</v>
      </c>
      <c r="F63" s="1347"/>
      <c r="G63" s="474" t="s">
        <v>41</v>
      </c>
      <c r="H63" s="870"/>
      <c r="I63" s="831"/>
      <c r="J63" s="811"/>
      <c r="K63" s="753"/>
      <c r="L63" s="754"/>
      <c r="M63" s="914"/>
      <c r="N63" s="914">
        <f>250.7/3.4528*1000</f>
        <v>72607.738646895275</v>
      </c>
      <c r="O63" s="1540" t="s">
        <v>144</v>
      </c>
      <c r="P63" s="41"/>
      <c r="Q63" s="50"/>
      <c r="R63" s="1192">
        <v>25</v>
      </c>
    </row>
    <row r="64" spans="1:19" x14ac:dyDescent="0.2">
      <c r="A64" s="596"/>
      <c r="B64" s="597"/>
      <c r="C64" s="1513"/>
      <c r="D64" s="1522"/>
      <c r="E64" s="1538"/>
      <c r="F64" s="1347"/>
      <c r="G64" s="375" t="s">
        <v>138</v>
      </c>
      <c r="H64" s="863"/>
      <c r="I64" s="831"/>
      <c r="J64" s="813"/>
      <c r="K64" s="757"/>
      <c r="L64" s="758"/>
      <c r="M64" s="918"/>
      <c r="N64" s="914">
        <f>411.5/3.4528*1000</f>
        <v>119178.63762743281</v>
      </c>
      <c r="O64" s="1350"/>
      <c r="P64" s="41"/>
      <c r="Q64" s="50"/>
      <c r="R64" s="1192"/>
    </row>
    <row r="65" spans="1:19" x14ac:dyDescent="0.2">
      <c r="A65" s="596"/>
      <c r="B65" s="597"/>
      <c r="C65" s="1513"/>
      <c r="D65" s="1522"/>
      <c r="E65" s="1538"/>
      <c r="F65" s="1347"/>
      <c r="G65" s="486" t="s">
        <v>48</v>
      </c>
      <c r="H65" s="859"/>
      <c r="I65" s="832"/>
      <c r="J65" s="821"/>
      <c r="K65" s="783"/>
      <c r="L65" s="784"/>
      <c r="M65" s="927"/>
      <c r="N65" s="928">
        <f>100/3.4528*1000</f>
        <v>28962.001853568119</v>
      </c>
      <c r="O65" s="1189"/>
      <c r="P65" s="41"/>
      <c r="Q65" s="50"/>
      <c r="R65" s="1192"/>
    </row>
    <row r="66" spans="1:19" ht="13.5" thickBot="1" x14ac:dyDescent="0.25">
      <c r="A66" s="598"/>
      <c r="B66" s="599"/>
      <c r="C66" s="1520"/>
      <c r="D66" s="1523"/>
      <c r="E66" s="1539"/>
      <c r="F66" s="1348"/>
      <c r="G66" s="1199" t="s">
        <v>22</v>
      </c>
      <c r="H66" s="873">
        <f>SUM(H62:H65)</f>
        <v>8688.6005560704343</v>
      </c>
      <c r="I66" s="740">
        <f>SUM(I62:I64)</f>
        <v>30</v>
      </c>
      <c r="J66" s="822">
        <f t="shared" ref="J66:L66" si="10">SUM(J62:J64)</f>
        <v>0</v>
      </c>
      <c r="K66" s="739">
        <f t="shared" si="10"/>
        <v>0</v>
      </c>
      <c r="L66" s="785">
        <f t="shared" si="10"/>
        <v>30</v>
      </c>
      <c r="M66" s="854">
        <f>SUM(M62:M64)</f>
        <v>35101.94624652456</v>
      </c>
      <c r="N66" s="929">
        <f>SUM(N62:N65)</f>
        <v>220748.37812789623</v>
      </c>
      <c r="O66" s="1190"/>
      <c r="P66" s="8"/>
      <c r="Q66" s="51"/>
      <c r="R66" s="1193"/>
    </row>
    <row r="67" spans="1:19" ht="42.75" customHeight="1" x14ac:dyDescent="0.2">
      <c r="A67" s="611" t="s">
        <v>18</v>
      </c>
      <c r="B67" s="612" t="s">
        <v>26</v>
      </c>
      <c r="C67" s="1206" t="s">
        <v>69</v>
      </c>
      <c r="D67" s="1501" t="s">
        <v>156</v>
      </c>
      <c r="E67" s="1542" t="s">
        <v>155</v>
      </c>
      <c r="F67" s="310" t="s">
        <v>20</v>
      </c>
      <c r="G67" s="182" t="s">
        <v>21</v>
      </c>
      <c r="H67" s="874">
        <f>20/3.4528*1000</f>
        <v>5792.4003707136244</v>
      </c>
      <c r="I67" s="838">
        <f>+J67+L67</f>
        <v>20</v>
      </c>
      <c r="J67" s="823">
        <v>20</v>
      </c>
      <c r="K67" s="786"/>
      <c r="L67" s="787"/>
      <c r="M67" s="930">
        <f>20/3.4528*1000</f>
        <v>5792.4003707136244</v>
      </c>
      <c r="N67" s="930"/>
      <c r="O67" s="620" t="s">
        <v>157</v>
      </c>
      <c r="P67" s="624"/>
      <c r="Q67" s="33">
        <v>1</v>
      </c>
      <c r="R67" s="619"/>
    </row>
    <row r="68" spans="1:19" ht="13.5" thickBot="1" x14ac:dyDescent="0.25">
      <c r="A68" s="605"/>
      <c r="B68" s="606"/>
      <c r="C68" s="607"/>
      <c r="D68" s="1541"/>
      <c r="E68" s="1325"/>
      <c r="F68" s="310"/>
      <c r="G68" s="377" t="s">
        <v>22</v>
      </c>
      <c r="H68" s="871">
        <f>H67</f>
        <v>5792.4003707136244</v>
      </c>
      <c r="I68" s="780">
        <f>I67</f>
        <v>20</v>
      </c>
      <c r="J68" s="768">
        <f t="shared" ref="J68" si="11">J67</f>
        <v>20</v>
      </c>
      <c r="K68" s="769"/>
      <c r="L68" s="779"/>
      <c r="M68" s="917">
        <f>M67</f>
        <v>5792.4003707136244</v>
      </c>
      <c r="N68" s="917"/>
      <c r="O68" s="622"/>
      <c r="P68" s="623"/>
      <c r="Q68" s="1188"/>
      <c r="R68" s="1193"/>
    </row>
    <row r="69" spans="1:19" ht="41.25" customHeight="1" x14ac:dyDescent="0.2">
      <c r="A69" s="603" t="s">
        <v>18</v>
      </c>
      <c r="B69" s="604" t="s">
        <v>26</v>
      </c>
      <c r="C69" s="1205" t="s">
        <v>154</v>
      </c>
      <c r="D69" s="668" t="s">
        <v>47</v>
      </c>
      <c r="E69" s="564"/>
      <c r="F69" s="565" t="s">
        <v>24</v>
      </c>
      <c r="G69" s="566" t="s">
        <v>21</v>
      </c>
      <c r="H69" s="875">
        <f>250.7/3.4528*1000</f>
        <v>72607.738646895275</v>
      </c>
      <c r="I69" s="839">
        <f>J69+L69</f>
        <v>250.7</v>
      </c>
      <c r="J69" s="824">
        <v>250.7</v>
      </c>
      <c r="K69" s="788"/>
      <c r="L69" s="789"/>
      <c r="M69" s="925"/>
      <c r="N69" s="931"/>
      <c r="O69" s="567"/>
      <c r="P69" s="568"/>
      <c r="Q69" s="569"/>
      <c r="R69" s="570"/>
    </row>
    <row r="70" spans="1:19" ht="30" customHeight="1" x14ac:dyDescent="0.2">
      <c r="A70" s="605"/>
      <c r="B70" s="606"/>
      <c r="C70" s="607"/>
      <c r="D70" s="1207" t="s">
        <v>200</v>
      </c>
      <c r="E70" s="358"/>
      <c r="F70" s="310"/>
      <c r="G70" s="354"/>
      <c r="H70" s="876"/>
      <c r="I70" s="840"/>
      <c r="J70" s="825"/>
      <c r="K70" s="673"/>
      <c r="L70" s="790"/>
      <c r="M70" s="932"/>
      <c r="N70" s="933"/>
      <c r="O70" s="561" t="s">
        <v>176</v>
      </c>
      <c r="P70" s="562">
        <v>100</v>
      </c>
      <c r="Q70" s="563"/>
      <c r="R70" s="546"/>
    </row>
    <row r="71" spans="1:19" ht="30.75" customHeight="1" x14ac:dyDescent="0.2">
      <c r="A71" s="605"/>
      <c r="B71" s="606"/>
      <c r="C71" s="607"/>
      <c r="D71" s="669" t="s">
        <v>134</v>
      </c>
      <c r="E71" s="358"/>
      <c r="F71" s="618"/>
      <c r="G71" s="352"/>
      <c r="H71" s="877"/>
      <c r="I71" s="838"/>
      <c r="J71" s="826"/>
      <c r="K71" s="791"/>
      <c r="L71" s="792"/>
      <c r="M71" s="930"/>
      <c r="N71" s="930"/>
      <c r="O71" s="519" t="s">
        <v>175</v>
      </c>
      <c r="P71" s="483">
        <v>100</v>
      </c>
      <c r="Q71" s="544"/>
      <c r="R71" s="545"/>
    </row>
    <row r="72" spans="1:19" ht="42" customHeight="1" x14ac:dyDescent="0.2">
      <c r="A72" s="605"/>
      <c r="B72" s="606"/>
      <c r="C72" s="607"/>
      <c r="D72" s="1527" t="s">
        <v>135</v>
      </c>
      <c r="E72" s="358"/>
      <c r="F72" s="310"/>
      <c r="G72" s="351"/>
      <c r="H72" s="878"/>
      <c r="I72" s="841"/>
      <c r="J72" s="827"/>
      <c r="K72" s="793"/>
      <c r="L72" s="794"/>
      <c r="M72" s="934"/>
      <c r="N72" s="934"/>
      <c r="O72" s="1530" t="s">
        <v>174</v>
      </c>
      <c r="P72" s="1555">
        <v>100</v>
      </c>
      <c r="Q72" s="527"/>
      <c r="R72" s="1192"/>
    </row>
    <row r="73" spans="1:19" ht="13.5" thickBot="1" x14ac:dyDescent="0.25">
      <c r="A73" s="605"/>
      <c r="B73" s="606"/>
      <c r="C73" s="607"/>
      <c r="D73" s="1529"/>
      <c r="E73" s="359"/>
      <c r="F73" s="311"/>
      <c r="G73" s="287" t="s">
        <v>22</v>
      </c>
      <c r="H73" s="879">
        <f>SUM(H69:H72)</f>
        <v>72607.738646895275</v>
      </c>
      <c r="I73" s="767">
        <f>J73+L73</f>
        <v>250.7</v>
      </c>
      <c r="J73" s="828">
        <f>SUM(J69:J72)</f>
        <v>250.7</v>
      </c>
      <c r="K73" s="765"/>
      <c r="L73" s="795"/>
      <c r="M73" s="916">
        <f>SUM(M70:M72)</f>
        <v>0</v>
      </c>
      <c r="N73" s="916">
        <f>SUM(N70:N72)</f>
        <v>0</v>
      </c>
      <c r="O73" s="1497"/>
      <c r="P73" s="1556"/>
      <c r="Q73" s="527"/>
      <c r="R73" s="1192"/>
    </row>
    <row r="74" spans="1:19" ht="30.75" customHeight="1" x14ac:dyDescent="0.2">
      <c r="A74" s="583" t="s">
        <v>18</v>
      </c>
      <c r="B74" s="1492" t="s">
        <v>26</v>
      </c>
      <c r="C74" s="1545" t="s">
        <v>166</v>
      </c>
      <c r="D74" s="1547" t="s">
        <v>171</v>
      </c>
      <c r="E74" s="1549"/>
      <c r="F74" s="1551" t="s">
        <v>20</v>
      </c>
      <c r="G74" s="702" t="s">
        <v>21</v>
      </c>
      <c r="H74" s="875">
        <f>100/3.4528*1000</f>
        <v>28962.001853568119</v>
      </c>
      <c r="I74" s="1174">
        <f>J74+L74</f>
        <v>100</v>
      </c>
      <c r="J74" s="797"/>
      <c r="K74" s="797"/>
      <c r="L74" s="1175">
        <v>100</v>
      </c>
      <c r="M74" s="1176">
        <v>0</v>
      </c>
      <c r="N74" s="1177">
        <f>10/3.4528*1000</f>
        <v>2896.2001853568122</v>
      </c>
      <c r="O74" s="1553" t="s">
        <v>172</v>
      </c>
      <c r="P74" s="661">
        <v>100</v>
      </c>
      <c r="Q74" s="654"/>
      <c r="R74" s="655"/>
      <c r="S74" s="656"/>
    </row>
    <row r="75" spans="1:19" ht="13.5" thickBot="1" x14ac:dyDescent="0.25">
      <c r="A75" s="589"/>
      <c r="B75" s="1493"/>
      <c r="C75" s="1546"/>
      <c r="D75" s="1548"/>
      <c r="E75" s="1550"/>
      <c r="F75" s="1552"/>
      <c r="G75" s="843" t="s">
        <v>22</v>
      </c>
      <c r="H75" s="881">
        <f>H74</f>
        <v>28962.001853568119</v>
      </c>
      <c r="I75" s="1178">
        <f t="shared" ref="I75:N75" si="12">SUM(I74:I74)</f>
        <v>100</v>
      </c>
      <c r="J75" s="1179"/>
      <c r="K75" s="1179"/>
      <c r="L75" s="1180">
        <f t="shared" si="12"/>
        <v>100</v>
      </c>
      <c r="M75" s="881">
        <f t="shared" si="12"/>
        <v>0</v>
      </c>
      <c r="N75" s="881">
        <f t="shared" si="12"/>
        <v>2896.2001853568122</v>
      </c>
      <c r="O75" s="1554"/>
      <c r="P75" s="657"/>
      <c r="Q75" s="657"/>
      <c r="R75" s="658"/>
      <c r="S75" s="656"/>
    </row>
    <row r="76" spans="1:19" ht="13.5" thickBot="1" x14ac:dyDescent="0.25">
      <c r="A76" s="576" t="s">
        <v>18</v>
      </c>
      <c r="B76" s="600" t="s">
        <v>26</v>
      </c>
      <c r="C76" s="1277" t="s">
        <v>27</v>
      </c>
      <c r="D76" s="1277"/>
      <c r="E76" s="1277"/>
      <c r="F76" s="1277"/>
      <c r="G76" s="1277"/>
      <c r="H76" s="855">
        <f>H73+H68+H66+H61+H56+H50+H75</f>
        <v>4594445.088044486</v>
      </c>
      <c r="I76" s="842">
        <f>I73+I68+I61+I66+I56+I50</f>
        <v>15763.7</v>
      </c>
      <c r="J76" s="829">
        <f>J73+J68+J61+J66+J56+J50</f>
        <v>270.7</v>
      </c>
      <c r="K76" s="796">
        <f>K73+K68+K61+K66+K56+K50</f>
        <v>0</v>
      </c>
      <c r="L76" s="796">
        <f>L73+L68+L61+L66+L56+L50</f>
        <v>15493</v>
      </c>
      <c r="M76" s="935">
        <f>M73+M68+M61+M66+M56+M50</f>
        <v>8071825.7645968487</v>
      </c>
      <c r="N76" s="935">
        <f>N73+N68+N61+N66+N56+N50+N75</f>
        <v>1890118.1649675628</v>
      </c>
      <c r="O76" s="1305"/>
      <c r="P76" s="1306"/>
      <c r="Q76" s="1306"/>
      <c r="R76" s="1307"/>
    </row>
    <row r="77" spans="1:19" ht="13.5" thickBot="1" x14ac:dyDescent="0.25">
      <c r="A77" s="613" t="s">
        <v>18</v>
      </c>
      <c r="B77" s="600" t="s">
        <v>39</v>
      </c>
      <c r="C77" s="1308" t="s">
        <v>78</v>
      </c>
      <c r="D77" s="1308"/>
      <c r="E77" s="1308"/>
      <c r="F77" s="1308"/>
      <c r="G77" s="1308"/>
      <c r="H77" s="1309"/>
      <c r="I77" s="1309"/>
      <c r="J77" s="1309"/>
      <c r="K77" s="1309"/>
      <c r="L77" s="1309"/>
      <c r="M77" s="1308"/>
      <c r="N77" s="1308"/>
      <c r="O77" s="1308"/>
      <c r="P77" s="1310"/>
      <c r="Q77" s="1310"/>
      <c r="R77" s="1311"/>
    </row>
    <row r="78" spans="1:19" ht="29.25" customHeight="1" x14ac:dyDescent="0.2">
      <c r="A78" s="583" t="s">
        <v>18</v>
      </c>
      <c r="B78" s="584" t="s">
        <v>39</v>
      </c>
      <c r="C78" s="585" t="s">
        <v>18</v>
      </c>
      <c r="D78" s="1282" t="s">
        <v>74</v>
      </c>
      <c r="E78" s="76"/>
      <c r="F78" s="1183" t="s">
        <v>20</v>
      </c>
      <c r="G78" s="700" t="s">
        <v>21</v>
      </c>
      <c r="H78" s="880">
        <f>2314.3/3.4528*1000</f>
        <v>670267.60889712709</v>
      </c>
      <c r="I78" s="844">
        <f>+J78+L78</f>
        <v>2314.3000000000002</v>
      </c>
      <c r="J78" s="797">
        <f>2114.3+200</f>
        <v>2314.3000000000002</v>
      </c>
      <c r="K78" s="741"/>
      <c r="L78" s="712"/>
      <c r="M78" s="904">
        <f>1300/3.4528*1000</f>
        <v>376506.02409638552</v>
      </c>
      <c r="N78" s="905">
        <f>1300/3.4528*1000</f>
        <v>376506.02409638552</v>
      </c>
      <c r="O78" s="1496" t="s">
        <v>188</v>
      </c>
      <c r="P78" s="1209">
        <v>8</v>
      </c>
      <c r="Q78" s="1559">
        <v>8</v>
      </c>
      <c r="R78" s="1543">
        <v>8</v>
      </c>
    </row>
    <row r="79" spans="1:19" ht="13.5" thickBot="1" x14ac:dyDescent="0.25">
      <c r="A79" s="589"/>
      <c r="B79" s="590"/>
      <c r="C79" s="591"/>
      <c r="D79" s="1283"/>
      <c r="E79" s="1115"/>
      <c r="F79" s="1184"/>
      <c r="G79" s="1116" t="s">
        <v>22</v>
      </c>
      <c r="H79" s="937">
        <f>H78</f>
        <v>670267.60889712709</v>
      </c>
      <c r="I79" s="845">
        <f>+I78</f>
        <v>2314.3000000000002</v>
      </c>
      <c r="J79" s="714">
        <f>+J78</f>
        <v>2314.3000000000002</v>
      </c>
      <c r="K79" s="714"/>
      <c r="L79" s="798"/>
      <c r="M79" s="937">
        <f>M78</f>
        <v>376506.02409638552</v>
      </c>
      <c r="N79" s="871">
        <f>N78</f>
        <v>376506.02409638552</v>
      </c>
      <c r="O79" s="1497"/>
      <c r="P79" s="1210"/>
      <c r="Q79" s="1560"/>
      <c r="R79" s="1544"/>
    </row>
    <row r="80" spans="1:19" ht="42" customHeight="1" x14ac:dyDescent="0.2">
      <c r="A80" s="1490" t="s">
        <v>18</v>
      </c>
      <c r="B80" s="1492" t="s">
        <v>39</v>
      </c>
      <c r="C80" s="1557" t="s">
        <v>23</v>
      </c>
      <c r="D80" s="1296" t="s">
        <v>51</v>
      </c>
      <c r="E80" s="1297"/>
      <c r="F80" s="1301" t="s">
        <v>20</v>
      </c>
      <c r="G80" s="525" t="s">
        <v>21</v>
      </c>
      <c r="H80" s="850">
        <f>50/3.4528*1000</f>
        <v>14481.00092678406</v>
      </c>
      <c r="I80" s="846">
        <f>+J80+L80</f>
        <v>50</v>
      </c>
      <c r="J80" s="799">
        <v>50</v>
      </c>
      <c r="K80" s="799"/>
      <c r="L80" s="800"/>
      <c r="M80" s="904">
        <f>50/3.4528*1000</f>
        <v>14481.00092678406</v>
      </c>
      <c r="N80" s="904">
        <f>50/3.4528*1000</f>
        <v>14481.00092678406</v>
      </c>
      <c r="O80" s="1203" t="s">
        <v>189</v>
      </c>
      <c r="P80" s="1209">
        <v>20</v>
      </c>
      <c r="Q80" s="1204">
        <v>25</v>
      </c>
      <c r="R80" s="528">
        <v>25</v>
      </c>
    </row>
    <row r="81" spans="1:19" ht="13.5" thickBot="1" x14ac:dyDescent="0.25">
      <c r="A81" s="1491"/>
      <c r="B81" s="1493"/>
      <c r="C81" s="1558"/>
      <c r="D81" s="1227"/>
      <c r="E81" s="1298"/>
      <c r="F81" s="1302"/>
      <c r="G81" s="239" t="s">
        <v>22</v>
      </c>
      <c r="H81" s="854">
        <f>H80</f>
        <v>14481.00092678406</v>
      </c>
      <c r="I81" s="822">
        <f>+I80</f>
        <v>50</v>
      </c>
      <c r="J81" s="739">
        <f>+J80</f>
        <v>50</v>
      </c>
      <c r="K81" s="739"/>
      <c r="L81" s="715"/>
      <c r="M81" s="937">
        <f>SUM(M80:M80)</f>
        <v>14481.00092678406</v>
      </c>
      <c r="N81" s="938">
        <f>SUM(N80:N80)</f>
        <v>14481.00092678406</v>
      </c>
      <c r="O81" s="529"/>
      <c r="P81" s="530"/>
      <c r="Q81" s="299"/>
      <c r="R81" s="300"/>
    </row>
    <row r="82" spans="1:19" ht="13.5" thickBot="1" x14ac:dyDescent="0.25">
      <c r="A82" s="576" t="s">
        <v>18</v>
      </c>
      <c r="B82" s="614" t="s">
        <v>39</v>
      </c>
      <c r="C82" s="1277" t="s">
        <v>27</v>
      </c>
      <c r="D82" s="1277"/>
      <c r="E82" s="1277"/>
      <c r="F82" s="1277"/>
      <c r="G82" s="1277"/>
      <c r="H82" s="855">
        <f>H81+H79</f>
        <v>684748.6098239111</v>
      </c>
      <c r="I82" s="706">
        <f>I79+I81+I75</f>
        <v>2464.3000000000002</v>
      </c>
      <c r="J82" s="801">
        <f>J79+J81+J75</f>
        <v>2364.3000000000002</v>
      </c>
      <c r="K82" s="801">
        <f>K79+K81+K75</f>
        <v>0</v>
      </c>
      <c r="L82" s="801">
        <f>L79+L81+L75</f>
        <v>100</v>
      </c>
      <c r="M82" s="939">
        <f>M79+M81</f>
        <v>390987.02502316958</v>
      </c>
      <c r="N82" s="939">
        <f>N79+N81</f>
        <v>390987.02502316958</v>
      </c>
      <c r="O82" s="547"/>
      <c r="P82" s="548"/>
      <c r="Q82" s="548"/>
      <c r="R82" s="549"/>
    </row>
    <row r="83" spans="1:19" ht="13.5" thickBot="1" x14ac:dyDescent="0.25">
      <c r="A83" s="576" t="s">
        <v>18</v>
      </c>
      <c r="B83" s="1278" t="s">
        <v>53</v>
      </c>
      <c r="C83" s="1279"/>
      <c r="D83" s="1279"/>
      <c r="E83" s="1279"/>
      <c r="F83" s="1279"/>
      <c r="G83" s="1279"/>
      <c r="H83" s="882">
        <f>H82+H76+H41+H18</f>
        <v>9518738.4151992612</v>
      </c>
      <c r="I83" s="803">
        <f>+J83+L83</f>
        <v>31966.300000000003</v>
      </c>
      <c r="J83" s="802">
        <f>+J18+J41+J82+J76</f>
        <v>16095.300000000003</v>
      </c>
      <c r="K83" s="803">
        <f>+K18+K41+K82</f>
        <v>6647.7</v>
      </c>
      <c r="L83" s="804">
        <f>+L18+L41+L82+L76</f>
        <v>15871</v>
      </c>
      <c r="M83" s="940">
        <f>+M18+M41+M82+M76</f>
        <v>12723499.768303987</v>
      </c>
      <c r="N83" s="940">
        <f>+N18+N41+N82+N76</f>
        <v>6478075.7645968497</v>
      </c>
      <c r="O83" s="550"/>
      <c r="P83" s="551"/>
      <c r="Q83" s="551"/>
      <c r="R83" s="552"/>
    </row>
    <row r="84" spans="1:19" ht="13.5" thickBot="1" x14ac:dyDescent="0.25">
      <c r="A84" s="615" t="s">
        <v>54</v>
      </c>
      <c r="B84" s="1280" t="s">
        <v>55</v>
      </c>
      <c r="C84" s="1281"/>
      <c r="D84" s="1281"/>
      <c r="E84" s="1281"/>
      <c r="F84" s="1281"/>
      <c r="G84" s="1281"/>
      <c r="H84" s="883">
        <f>H83</f>
        <v>9518738.4151992612</v>
      </c>
      <c r="I84" s="806">
        <f>+I83</f>
        <v>31966.300000000003</v>
      </c>
      <c r="J84" s="805">
        <f>+J83</f>
        <v>16095.300000000003</v>
      </c>
      <c r="K84" s="806">
        <f>+K83</f>
        <v>6647.7</v>
      </c>
      <c r="L84" s="807">
        <f>+L83</f>
        <v>15871</v>
      </c>
      <c r="M84" s="941">
        <f>M83</f>
        <v>12723499.768303987</v>
      </c>
      <c r="N84" s="941">
        <f>N83</f>
        <v>6478075.7645968497</v>
      </c>
      <c r="O84" s="553"/>
      <c r="P84" s="554"/>
      <c r="Q84" s="554"/>
      <c r="R84" s="555"/>
    </row>
    <row r="85" spans="1:19" x14ac:dyDescent="0.2">
      <c r="A85" s="694"/>
      <c r="B85" s="695"/>
      <c r="C85" s="695"/>
      <c r="D85" s="695"/>
      <c r="E85" s="695"/>
      <c r="F85" s="695"/>
      <c r="G85" s="695"/>
      <c r="H85" s="884"/>
      <c r="I85" s="808"/>
      <c r="J85" s="808"/>
      <c r="K85" s="808"/>
      <c r="L85" s="808"/>
      <c r="M85" s="942"/>
      <c r="N85" s="942"/>
      <c r="O85" s="696"/>
      <c r="P85" s="697"/>
      <c r="Q85" s="697"/>
      <c r="R85" s="697"/>
      <c r="S85" s="698"/>
    </row>
    <row r="86" spans="1:19" ht="15" thickBot="1" x14ac:dyDescent="0.25">
      <c r="A86" s="616"/>
      <c r="B86" s="102"/>
      <c r="C86" s="617"/>
      <c r="D86" s="1567" t="s">
        <v>56</v>
      </c>
      <c r="E86" s="1567"/>
      <c r="F86" s="1567"/>
      <c r="G86" s="1567"/>
      <c r="H86" s="1567"/>
      <c r="I86" s="1567"/>
      <c r="J86" s="1567"/>
      <c r="K86" s="1567"/>
      <c r="L86" s="1567"/>
      <c r="M86" s="1567"/>
      <c r="N86" s="1567"/>
      <c r="O86" s="520"/>
      <c r="P86" s="516"/>
      <c r="Q86" s="516"/>
      <c r="R86" s="516"/>
    </row>
    <row r="87" spans="1:19" ht="36.75" thickBot="1" x14ac:dyDescent="0.25">
      <c r="A87" s="1571" t="s">
        <v>57</v>
      </c>
      <c r="B87" s="1572"/>
      <c r="C87" s="1572"/>
      <c r="D87" s="1572"/>
      <c r="E87" s="1572"/>
      <c r="F87" s="1572"/>
      <c r="G87" s="1573"/>
      <c r="H87" s="885" t="s">
        <v>181</v>
      </c>
      <c r="I87" s="1568" t="s">
        <v>181</v>
      </c>
      <c r="J87" s="1569"/>
      <c r="K87" s="1569"/>
      <c r="L87" s="1570"/>
      <c r="M87" s="943" t="s">
        <v>182</v>
      </c>
      <c r="N87" s="944" t="s">
        <v>183</v>
      </c>
      <c r="O87" s="99"/>
      <c r="P87" s="1197"/>
      <c r="Q87" s="1276"/>
      <c r="R87" s="1276"/>
    </row>
    <row r="88" spans="1:19" x14ac:dyDescent="0.2">
      <c r="A88" s="1259" t="s">
        <v>58</v>
      </c>
      <c r="B88" s="1260"/>
      <c r="C88" s="1260"/>
      <c r="D88" s="1260"/>
      <c r="E88" s="1260"/>
      <c r="F88" s="1260"/>
      <c r="G88" s="1261"/>
      <c r="H88" s="886">
        <f ca="1">SUM(H89:H93)</f>
        <v>6521171.223354958</v>
      </c>
      <c r="I88" s="1561">
        <f>SUM(I89:L93)</f>
        <v>21616.3</v>
      </c>
      <c r="J88" s="1562"/>
      <c r="K88" s="1562"/>
      <c r="L88" s="1563"/>
      <c r="M88" s="945">
        <f>SUM(M89:M92)</f>
        <v>6424264.3651529187</v>
      </c>
      <c r="N88" s="946">
        <f>SUM(N89:N92)</f>
        <v>5307402.6876737718</v>
      </c>
      <c r="O88" s="521"/>
      <c r="P88" s="1196"/>
      <c r="Q88" s="1243"/>
      <c r="R88" s="1243"/>
    </row>
    <row r="89" spans="1:19" x14ac:dyDescent="0.2">
      <c r="A89" s="1244" t="s">
        <v>60</v>
      </c>
      <c r="B89" s="1245"/>
      <c r="C89" s="1245"/>
      <c r="D89" s="1245"/>
      <c r="E89" s="1245"/>
      <c r="F89" s="1245"/>
      <c r="G89" s="1246"/>
      <c r="H89" s="887">
        <f ca="1">SUMIF(G12:H80,"sb",H12:H80)</f>
        <v>5123436.0518999081</v>
      </c>
      <c r="I89" s="1564">
        <f>SUMIF(G12:G81,"sb",I12:I81)</f>
        <v>16790.2</v>
      </c>
      <c r="J89" s="1565"/>
      <c r="K89" s="1565"/>
      <c r="L89" s="1566"/>
      <c r="M89" s="947">
        <f>SUMIF(G12:G81,"sb",M12:M81)</f>
        <v>5821825.7645968487</v>
      </c>
      <c r="N89" s="948">
        <f>SUMIF(G12:G81,"sb",N12:N81)</f>
        <v>4976019.4624652453</v>
      </c>
      <c r="O89" s="523"/>
      <c r="P89" s="1195"/>
      <c r="Q89" s="1247"/>
      <c r="R89" s="1247"/>
    </row>
    <row r="90" spans="1:19" ht="12.75" customHeight="1" x14ac:dyDescent="0.2">
      <c r="A90" s="1256" t="s">
        <v>61</v>
      </c>
      <c r="B90" s="1257"/>
      <c r="C90" s="1257"/>
      <c r="D90" s="1257"/>
      <c r="E90" s="1257"/>
      <c r="F90" s="1257"/>
      <c r="G90" s="1258"/>
      <c r="H90" s="888">
        <f>SUMIF(G12:G80,"sb(sp)",H12:H80)</f>
        <v>223036.3762743281</v>
      </c>
      <c r="I90" s="1580">
        <f>SUMIF(G12:G79,"sb(sp)",I12:I79)</f>
        <v>770.1</v>
      </c>
      <c r="J90" s="1581"/>
      <c r="K90" s="1581"/>
      <c r="L90" s="1582"/>
      <c r="M90" s="949">
        <f>SUMIF(G18:G79,G21,M18:M79)</f>
        <v>223036.3762743281</v>
      </c>
      <c r="N90" s="900">
        <f>SUMIF(G18:G79,G21,N18:N79)</f>
        <v>223036.3762743281</v>
      </c>
      <c r="O90" s="523"/>
      <c r="P90" s="1195"/>
      <c r="Q90" s="1247"/>
      <c r="R90" s="1247"/>
    </row>
    <row r="91" spans="1:19" x14ac:dyDescent="0.2">
      <c r="A91" s="1256" t="s">
        <v>62</v>
      </c>
      <c r="B91" s="1257"/>
      <c r="C91" s="1257"/>
      <c r="D91" s="1257"/>
      <c r="E91" s="1257"/>
      <c r="F91" s="1257"/>
      <c r="G91" s="1258"/>
      <c r="H91" s="888">
        <f>SUMIF(G12:G80,"sb(p)",H12:H80)</f>
        <v>0</v>
      </c>
      <c r="I91" s="1583">
        <f>SUMIF(G12:G79,"sb(p)",I12:I79)</f>
        <v>0</v>
      </c>
      <c r="J91" s="1584"/>
      <c r="K91" s="1584"/>
      <c r="L91" s="1584"/>
      <c r="M91" s="950">
        <f>SUMIF(G12:G79,"sb(p)",M12:M79)</f>
        <v>0</v>
      </c>
      <c r="N91" s="912">
        <f>SUMIF(G18:G79,"sb(p)",N18:N79)</f>
        <v>108346.84893419834</v>
      </c>
      <c r="O91" s="523"/>
      <c r="P91" s="1195"/>
      <c r="Q91" s="1247"/>
      <c r="R91" s="1247"/>
    </row>
    <row r="92" spans="1:19" ht="16.5" customHeight="1" x14ac:dyDescent="0.2">
      <c r="A92" s="1256" t="s">
        <v>63</v>
      </c>
      <c r="B92" s="1257"/>
      <c r="C92" s="1257"/>
      <c r="D92" s="1257"/>
      <c r="E92" s="1257"/>
      <c r="F92" s="1257"/>
      <c r="G92" s="1258"/>
      <c r="H92" s="888">
        <f>SUMIF(G12:G80,"sb(vb)",H12:H80)</f>
        <v>694219.18443002773</v>
      </c>
      <c r="I92" s="1574">
        <f>SUMIF(G12:G79,"sb(vb)",I12:I79)</f>
        <v>2397.3000000000002</v>
      </c>
      <c r="J92" s="1575"/>
      <c r="K92" s="1575"/>
      <c r="L92" s="1576"/>
      <c r="M92" s="950">
        <f>SUMIF(G18:G79,G52,M18:M79)</f>
        <v>379402.22428174235</v>
      </c>
      <c r="N92" s="912">
        <f>SUMIF(G18:G79,"sb(vb)",N18:N79)</f>
        <v>0</v>
      </c>
      <c r="O92" s="523"/>
      <c r="P92" s="1195"/>
      <c r="Q92" s="1195"/>
      <c r="R92" s="1195"/>
    </row>
    <row r="93" spans="1:19" ht="12.75" customHeight="1" x14ac:dyDescent="0.2">
      <c r="A93" s="1256" t="s">
        <v>169</v>
      </c>
      <c r="B93" s="1257"/>
      <c r="C93" s="1257"/>
      <c r="D93" s="1257"/>
      <c r="E93" s="1257"/>
      <c r="F93" s="1257"/>
      <c r="G93" s="1258"/>
      <c r="H93" s="888">
        <f>SUMIF(G12:G80,"pf",H12:H80)</f>
        <v>480479.61075069511</v>
      </c>
      <c r="I93" s="1574">
        <f>SUMIF(G12:G79,"PF",I12:I79)</f>
        <v>1658.7</v>
      </c>
      <c r="J93" s="1575"/>
      <c r="K93" s="1575"/>
      <c r="L93" s="1576"/>
      <c r="M93" s="950"/>
      <c r="N93" s="912"/>
      <c r="O93" s="523"/>
      <c r="P93" s="1195"/>
      <c r="Q93" s="1195"/>
      <c r="R93" s="1195"/>
    </row>
    <row r="94" spans="1:19" x14ac:dyDescent="0.2">
      <c r="A94" s="1585" t="s">
        <v>64</v>
      </c>
      <c r="B94" s="1586"/>
      <c r="C94" s="1586"/>
      <c r="D94" s="1586"/>
      <c r="E94" s="1586"/>
      <c r="F94" s="1586"/>
      <c r="G94" s="1587"/>
      <c r="H94" s="889">
        <f>SUM(H95:H97)</f>
        <v>2997567.1918443004</v>
      </c>
      <c r="I94" s="1577">
        <f>SUM(I95:L97)</f>
        <v>10350</v>
      </c>
      <c r="J94" s="1578"/>
      <c r="K94" s="1578"/>
      <c r="L94" s="1579"/>
      <c r="M94" s="951">
        <f>SUM(M95:M97)</f>
        <v>6299235.403151066</v>
      </c>
      <c r="N94" s="952">
        <f>SUM(N95:N97)</f>
        <v>1170673.076923077</v>
      </c>
      <c r="O94" s="521"/>
      <c r="P94" s="1196"/>
      <c r="Q94" s="1243"/>
      <c r="R94" s="1243"/>
    </row>
    <row r="95" spans="1:19" x14ac:dyDescent="0.2">
      <c r="A95" s="1244" t="s">
        <v>65</v>
      </c>
      <c r="B95" s="1245"/>
      <c r="C95" s="1245"/>
      <c r="D95" s="1245"/>
      <c r="E95" s="1245"/>
      <c r="F95" s="1245"/>
      <c r="G95" s="1246"/>
      <c r="H95" s="887">
        <f>SUMIF(G12:G80,"es",H12:H80)</f>
        <v>2606580.1668211306</v>
      </c>
      <c r="I95" s="1580">
        <f>SUMIF(G12:G79,"es",I12:I79)</f>
        <v>9000</v>
      </c>
      <c r="J95" s="1581"/>
      <c r="K95" s="1581"/>
      <c r="L95" s="1582"/>
      <c r="M95" s="949">
        <f>SUMIF(G18:G79,"es",M18:M79)</f>
        <v>6082020.3892493052</v>
      </c>
      <c r="N95" s="900">
        <f>SUMIF(G18:G79,"es",N18:N79)</f>
        <v>972109.59221501392</v>
      </c>
      <c r="O95" s="523"/>
      <c r="P95" s="1195"/>
      <c r="Q95" s="1247"/>
      <c r="R95" s="1247"/>
    </row>
    <row r="96" spans="1:19" x14ac:dyDescent="0.2">
      <c r="A96" s="1244" t="s">
        <v>141</v>
      </c>
      <c r="B96" s="1245"/>
      <c r="C96" s="1245"/>
      <c r="D96" s="1245"/>
      <c r="E96" s="1245"/>
      <c r="F96" s="1245"/>
      <c r="G96" s="1246"/>
      <c r="H96" s="887">
        <f>SUMIF(G12:G80,"lrvb",H12:H80)</f>
        <v>0</v>
      </c>
      <c r="I96" s="1580"/>
      <c r="J96" s="1581"/>
      <c r="K96" s="1581"/>
      <c r="L96" s="1582"/>
      <c r="M96" s="949"/>
      <c r="N96" s="900">
        <f>SUMIF(G12:G79,"lrvb",N12:N79)</f>
        <v>198563.48470806301</v>
      </c>
      <c r="O96" s="523"/>
      <c r="P96" s="1195"/>
      <c r="Q96" s="1195"/>
      <c r="R96" s="1195"/>
    </row>
    <row r="97" spans="1:18" x14ac:dyDescent="0.2">
      <c r="A97" s="1244" t="s">
        <v>66</v>
      </c>
      <c r="B97" s="1245"/>
      <c r="C97" s="1245"/>
      <c r="D97" s="1245"/>
      <c r="E97" s="1245"/>
      <c r="F97" s="1245"/>
      <c r="G97" s="1246"/>
      <c r="H97" s="887">
        <f>SUMIF(G12:G80,"kt",H12:H80)</f>
        <v>390987.02502316958</v>
      </c>
      <c r="I97" s="1580">
        <f>SUMIF(G12:G79,"kt",I12:I79)</f>
        <v>1350</v>
      </c>
      <c r="J97" s="1581"/>
      <c r="K97" s="1581"/>
      <c r="L97" s="1582"/>
      <c r="M97" s="949">
        <f>SUMIF(G12:G79,"kt",M12:M79)</f>
        <v>217215.01390176089</v>
      </c>
      <c r="N97" s="900">
        <f>SUMIF(G18:G79,"kt",N18:N79)</f>
        <v>0</v>
      </c>
      <c r="O97" s="523"/>
      <c r="P97" s="1195"/>
      <c r="Q97" s="1195"/>
      <c r="R97" s="1195"/>
    </row>
    <row r="98" spans="1:18" ht="13.5" thickBot="1" x14ac:dyDescent="0.25">
      <c r="A98" s="1591" t="s">
        <v>22</v>
      </c>
      <c r="B98" s="1592"/>
      <c r="C98" s="1592"/>
      <c r="D98" s="1592"/>
      <c r="E98" s="1592"/>
      <c r="F98" s="1592"/>
      <c r="G98" s="1593"/>
      <c r="H98" s="890">
        <f ca="1">H94+H88</f>
        <v>9518738.4151992574</v>
      </c>
      <c r="I98" s="1588">
        <f>+I88+I94</f>
        <v>31966.3</v>
      </c>
      <c r="J98" s="1589"/>
      <c r="K98" s="1589"/>
      <c r="L98" s="1590"/>
      <c r="M98" s="871">
        <f>M94+M88</f>
        <v>12723499.768303985</v>
      </c>
      <c r="N98" s="937">
        <f>N94+N88</f>
        <v>6478075.7645968487</v>
      </c>
      <c r="O98" s="522"/>
      <c r="P98" s="1198"/>
      <c r="Q98" s="1225"/>
      <c r="R98" s="1225"/>
    </row>
    <row r="100" spans="1:18" x14ac:dyDescent="0.2">
      <c r="O100" s="847"/>
    </row>
    <row r="112" spans="1:18" x14ac:dyDescent="0.2">
      <c r="H112" s="1"/>
      <c r="I112" s="1"/>
      <c r="J112" s="1"/>
      <c r="K112" s="1"/>
      <c r="L112" s="1"/>
      <c r="M112" s="1"/>
      <c r="N112" s="1"/>
    </row>
    <row r="113" spans="8:14" x14ac:dyDescent="0.2">
      <c r="H113" s="1"/>
      <c r="I113" s="1"/>
      <c r="J113" s="1"/>
      <c r="K113" s="1"/>
      <c r="L113" s="1"/>
      <c r="M113" s="1"/>
      <c r="N113" s="1"/>
    </row>
  </sheetData>
  <mergeCells count="140">
    <mergeCell ref="I97:L97"/>
    <mergeCell ref="I98:L98"/>
    <mergeCell ref="Q98:R98"/>
    <mergeCell ref="Q94:R94"/>
    <mergeCell ref="I95:L95"/>
    <mergeCell ref="Q95:R95"/>
    <mergeCell ref="I96:L96"/>
    <mergeCell ref="A95:G95"/>
    <mergeCell ref="A96:G96"/>
    <mergeCell ref="A97:G97"/>
    <mergeCell ref="A98:G98"/>
    <mergeCell ref="I92:L92"/>
    <mergeCell ref="I93:L93"/>
    <mergeCell ref="I94:L94"/>
    <mergeCell ref="I90:L90"/>
    <mergeCell ref="Q90:R90"/>
    <mergeCell ref="I91:L91"/>
    <mergeCell ref="Q91:R91"/>
    <mergeCell ref="A92:G92"/>
    <mergeCell ref="A91:G91"/>
    <mergeCell ref="A90:G90"/>
    <mergeCell ref="A93:G93"/>
    <mergeCell ref="A94:G94"/>
    <mergeCell ref="Q87:R87"/>
    <mergeCell ref="I88:L88"/>
    <mergeCell ref="Q88:R88"/>
    <mergeCell ref="I89:L89"/>
    <mergeCell ref="Q89:R89"/>
    <mergeCell ref="C82:G82"/>
    <mergeCell ref="B83:G83"/>
    <mergeCell ref="B84:G84"/>
    <mergeCell ref="D86:N86"/>
    <mergeCell ref="I87:L87"/>
    <mergeCell ref="A89:G89"/>
    <mergeCell ref="A88:G88"/>
    <mergeCell ref="A87:G87"/>
    <mergeCell ref="A80:A81"/>
    <mergeCell ref="B80:B81"/>
    <mergeCell ref="C80:C81"/>
    <mergeCell ref="D80:D81"/>
    <mergeCell ref="E80:E81"/>
    <mergeCell ref="F80:F81"/>
    <mergeCell ref="D78:D79"/>
    <mergeCell ref="O78:O79"/>
    <mergeCell ref="Q78:Q79"/>
    <mergeCell ref="R78:R79"/>
    <mergeCell ref="B74:B75"/>
    <mergeCell ref="C74:C75"/>
    <mergeCell ref="D74:D75"/>
    <mergeCell ref="E74:E75"/>
    <mergeCell ref="F74:F75"/>
    <mergeCell ref="O74:O75"/>
    <mergeCell ref="D72:D73"/>
    <mergeCell ref="O72:O73"/>
    <mergeCell ref="P72:P73"/>
    <mergeCell ref="C76:G76"/>
    <mergeCell ref="O76:R76"/>
    <mergeCell ref="C77:R77"/>
    <mergeCell ref="C62:C66"/>
    <mergeCell ref="D62:D66"/>
    <mergeCell ref="F62:F66"/>
    <mergeCell ref="E63:E66"/>
    <mergeCell ref="O63:O64"/>
    <mergeCell ref="D67:D68"/>
    <mergeCell ref="E67:E68"/>
    <mergeCell ref="P53:P56"/>
    <mergeCell ref="Q53:Q56"/>
    <mergeCell ref="R53:R56"/>
    <mergeCell ref="C57:C61"/>
    <mergeCell ref="D57:D61"/>
    <mergeCell ref="F57:F61"/>
    <mergeCell ref="E58:E61"/>
    <mergeCell ref="D48:D50"/>
    <mergeCell ref="O48:O49"/>
    <mergeCell ref="E50:G50"/>
    <mergeCell ref="D51:D56"/>
    <mergeCell ref="E52:E55"/>
    <mergeCell ref="O53:O56"/>
    <mergeCell ref="C41:G41"/>
    <mergeCell ref="O41:R41"/>
    <mergeCell ref="C42:R42"/>
    <mergeCell ref="C43:C47"/>
    <mergeCell ref="E43:E47"/>
    <mergeCell ref="F43:F47"/>
    <mergeCell ref="E31:E34"/>
    <mergeCell ref="D37:D38"/>
    <mergeCell ref="D39:D40"/>
    <mergeCell ref="O39:O40"/>
    <mergeCell ref="C19:R19"/>
    <mergeCell ref="D20:D21"/>
    <mergeCell ref="O20:O21"/>
    <mergeCell ref="O22:O24"/>
    <mergeCell ref="D29:D30"/>
    <mergeCell ref="O16:O17"/>
    <mergeCell ref="P16:P17"/>
    <mergeCell ref="Q16:Q17"/>
    <mergeCell ref="R16:R17"/>
    <mergeCell ref="C18:G18"/>
    <mergeCell ref="O18:R18"/>
    <mergeCell ref="A16:A17"/>
    <mergeCell ref="B16:B17"/>
    <mergeCell ref="C16:C17"/>
    <mergeCell ref="D16:D17"/>
    <mergeCell ref="E16:E17"/>
    <mergeCell ref="F16:F17"/>
    <mergeCell ref="O12:O13"/>
    <mergeCell ref="A14:A15"/>
    <mergeCell ref="B14:B15"/>
    <mergeCell ref="C14:C15"/>
    <mergeCell ref="D14:D15"/>
    <mergeCell ref="E14:E15"/>
    <mergeCell ref="F14:F15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F12:F13"/>
    <mergeCell ref="G5:G7"/>
    <mergeCell ref="I5:L7"/>
    <mergeCell ref="M5:M7"/>
    <mergeCell ref="N5:N7"/>
    <mergeCell ref="O5:R5"/>
    <mergeCell ref="O6:O7"/>
    <mergeCell ref="P6:R6"/>
    <mergeCell ref="A1:S1"/>
    <mergeCell ref="A2:S2"/>
    <mergeCell ref="A3:S3"/>
    <mergeCell ref="P4:R4"/>
    <mergeCell ref="A5:A7"/>
    <mergeCell ref="B5:B7"/>
    <mergeCell ref="C5:C7"/>
    <mergeCell ref="D5:D7"/>
    <mergeCell ref="E5:E7"/>
    <mergeCell ref="F5:F7"/>
    <mergeCell ref="H5:H7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74" orientation="portrait" r:id="rId1"/>
  <rowBreaks count="1" manualBreakCount="1">
    <brk id="38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0"/>
  <sheetViews>
    <sheetView topLeftCell="A67" zoomScaleNormal="100" zoomScaleSheetLayoutView="80" workbookViewId="0">
      <selection sqref="A1:S1"/>
    </sheetView>
  </sheetViews>
  <sheetFormatPr defaultRowHeight="12.75" x14ac:dyDescent="0.2"/>
  <cols>
    <col min="1" max="3" width="3" customWidth="1"/>
    <col min="4" max="4" width="29.140625" customWidth="1"/>
    <col min="5" max="6" width="3.140625" customWidth="1"/>
    <col min="7" max="7" width="7.5703125" customWidth="1"/>
    <col min="8" max="8" width="10.140625" style="891" customWidth="1"/>
    <col min="9" max="12" width="10.140625" style="809" hidden="1" customWidth="1"/>
    <col min="13" max="14" width="10.140625" style="953" customWidth="1"/>
    <col min="15" max="15" width="29.28515625" customWidth="1"/>
    <col min="16" max="18" width="5.140625" customWidth="1"/>
  </cols>
  <sheetData>
    <row r="1" spans="1:19" ht="12.75" customHeight="1" x14ac:dyDescent="0.2">
      <c r="A1" s="1414" t="s">
        <v>203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  <c r="S1" s="1414"/>
    </row>
    <row r="2" spans="1:19" ht="12.75" customHeight="1" x14ac:dyDescent="0.2">
      <c r="A2" s="1415" t="s">
        <v>81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</row>
    <row r="3" spans="1:19" x14ac:dyDescent="0.2">
      <c r="A3" s="1416" t="s">
        <v>68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</row>
    <row r="4" spans="1:19" ht="13.5" thickBot="1" x14ac:dyDescent="0.25">
      <c r="A4" s="1062"/>
      <c r="B4" s="1062"/>
      <c r="C4" s="1062"/>
      <c r="D4" s="1062"/>
      <c r="E4" s="1062"/>
      <c r="F4" s="1062"/>
      <c r="G4" s="1062"/>
      <c r="H4" s="849"/>
      <c r="I4" s="703"/>
      <c r="J4" s="703"/>
      <c r="K4" s="703"/>
      <c r="L4" s="703"/>
      <c r="M4" s="849"/>
      <c r="N4" s="849"/>
      <c r="O4" s="517"/>
      <c r="P4" s="1417" t="s">
        <v>193</v>
      </c>
      <c r="Q4" s="1417"/>
      <c r="R4" s="1417"/>
      <c r="S4" s="1062"/>
    </row>
    <row r="5" spans="1:19" ht="27.75" customHeight="1" x14ac:dyDescent="0.2">
      <c r="A5" s="1481" t="s">
        <v>1</v>
      </c>
      <c r="B5" s="1484" t="s">
        <v>2</v>
      </c>
      <c r="C5" s="1484" t="s">
        <v>3</v>
      </c>
      <c r="D5" s="1424" t="s">
        <v>4</v>
      </c>
      <c r="E5" s="1427" t="s">
        <v>5</v>
      </c>
      <c r="F5" s="1458" t="s">
        <v>6</v>
      </c>
      <c r="G5" s="1461" t="s">
        <v>7</v>
      </c>
      <c r="H5" s="1487" t="s">
        <v>180</v>
      </c>
      <c r="I5" s="1469" t="s">
        <v>180</v>
      </c>
      <c r="J5" s="1470"/>
      <c r="K5" s="1470"/>
      <c r="L5" s="1471"/>
      <c r="M5" s="1478" t="s">
        <v>87</v>
      </c>
      <c r="N5" s="1478" t="s">
        <v>132</v>
      </c>
      <c r="O5" s="1453" t="s">
        <v>8</v>
      </c>
      <c r="P5" s="1454"/>
      <c r="Q5" s="1454"/>
      <c r="R5" s="1455"/>
      <c r="S5" s="1"/>
    </row>
    <row r="6" spans="1:19" ht="12.75" customHeight="1" x14ac:dyDescent="0.2">
      <c r="A6" s="1482"/>
      <c r="B6" s="1485"/>
      <c r="C6" s="1485"/>
      <c r="D6" s="1425"/>
      <c r="E6" s="1428"/>
      <c r="F6" s="1459"/>
      <c r="G6" s="1462"/>
      <c r="H6" s="1488"/>
      <c r="I6" s="1472"/>
      <c r="J6" s="1473"/>
      <c r="K6" s="1473"/>
      <c r="L6" s="1474"/>
      <c r="M6" s="1479"/>
      <c r="N6" s="1479"/>
      <c r="O6" s="1433" t="s">
        <v>4</v>
      </c>
      <c r="P6" s="1435" t="s">
        <v>190</v>
      </c>
      <c r="Q6" s="1436"/>
      <c r="R6" s="1437"/>
      <c r="S6" s="1"/>
    </row>
    <row r="7" spans="1:19" ht="102.75" customHeight="1" thickBot="1" x14ac:dyDescent="0.25">
      <c r="A7" s="1483"/>
      <c r="B7" s="1486"/>
      <c r="C7" s="1486"/>
      <c r="D7" s="1426"/>
      <c r="E7" s="1429"/>
      <c r="F7" s="1460"/>
      <c r="G7" s="1463"/>
      <c r="H7" s="1489"/>
      <c r="I7" s="1475"/>
      <c r="J7" s="1476"/>
      <c r="K7" s="1476"/>
      <c r="L7" s="1477"/>
      <c r="M7" s="1480"/>
      <c r="N7" s="1480"/>
      <c r="O7" s="1434"/>
      <c r="P7" s="2" t="s">
        <v>15</v>
      </c>
      <c r="Q7" s="2" t="s">
        <v>91</v>
      </c>
      <c r="R7" s="3" t="s">
        <v>133</v>
      </c>
      <c r="S7" s="1"/>
    </row>
    <row r="8" spans="1:19" ht="13.5" customHeight="1" thickBot="1" x14ac:dyDescent="0.25">
      <c r="A8" s="1438" t="s">
        <v>16</v>
      </c>
      <c r="B8" s="1439"/>
      <c r="C8" s="1439"/>
      <c r="D8" s="1439"/>
      <c r="E8" s="1439"/>
      <c r="F8" s="1439"/>
      <c r="G8" s="1439"/>
      <c r="H8" s="1439"/>
      <c r="I8" s="1439"/>
      <c r="J8" s="1439"/>
      <c r="K8" s="1439"/>
      <c r="L8" s="1439"/>
      <c r="M8" s="1439"/>
      <c r="N8" s="1439"/>
      <c r="O8" s="1439"/>
      <c r="P8" s="1439"/>
      <c r="Q8" s="1439"/>
      <c r="R8" s="1440"/>
      <c r="S8" s="1"/>
    </row>
    <row r="9" spans="1:19" ht="13.5" customHeight="1" thickBot="1" x14ac:dyDescent="0.25">
      <c r="A9" s="1441" t="s">
        <v>17</v>
      </c>
      <c r="B9" s="1442"/>
      <c r="C9" s="1442"/>
      <c r="D9" s="1442"/>
      <c r="E9" s="1442"/>
      <c r="F9" s="1442"/>
      <c r="G9" s="1442"/>
      <c r="H9" s="1442"/>
      <c r="I9" s="1442"/>
      <c r="J9" s="1442"/>
      <c r="K9" s="1442"/>
      <c r="L9" s="1442"/>
      <c r="M9" s="1442"/>
      <c r="N9" s="1442"/>
      <c r="O9" s="1442"/>
      <c r="P9" s="1442"/>
      <c r="Q9" s="1442"/>
      <c r="R9" s="1443"/>
      <c r="S9" s="1"/>
    </row>
    <row r="10" spans="1:19" ht="16.5" customHeight="1" thickBot="1" x14ac:dyDescent="0.25">
      <c r="A10" s="573" t="s">
        <v>18</v>
      </c>
      <c r="B10" s="1444" t="s">
        <v>77</v>
      </c>
      <c r="C10" s="1444"/>
      <c r="D10" s="1444"/>
      <c r="E10" s="1444"/>
      <c r="F10" s="1444"/>
      <c r="G10" s="1444"/>
      <c r="H10" s="1444"/>
      <c r="I10" s="1445"/>
      <c r="J10" s="1445"/>
      <c r="K10" s="1445"/>
      <c r="L10" s="1445"/>
      <c r="M10" s="1445"/>
      <c r="N10" s="1445"/>
      <c r="O10" s="1445"/>
      <c r="P10" s="1445"/>
      <c r="Q10" s="1445"/>
      <c r="R10" s="1446"/>
      <c r="S10" s="1"/>
    </row>
    <row r="11" spans="1:19" ht="16.5" customHeight="1" thickBot="1" x14ac:dyDescent="0.25">
      <c r="A11" s="574" t="s">
        <v>18</v>
      </c>
      <c r="B11" s="575" t="s">
        <v>18</v>
      </c>
      <c r="C11" s="1447" t="s">
        <v>88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48"/>
      <c r="P11" s="1448"/>
      <c r="Q11" s="1448"/>
      <c r="R11" s="1449"/>
      <c r="S11" s="1"/>
    </row>
    <row r="12" spans="1:19" ht="29.25" customHeight="1" x14ac:dyDescent="0.2">
      <c r="A12" s="1490" t="s">
        <v>18</v>
      </c>
      <c r="B12" s="1492" t="s">
        <v>18</v>
      </c>
      <c r="C12" s="1494" t="s">
        <v>18</v>
      </c>
      <c r="D12" s="1399" t="s">
        <v>80</v>
      </c>
      <c r="E12" s="1411" t="s">
        <v>110</v>
      </c>
      <c r="F12" s="1409" t="s">
        <v>20</v>
      </c>
      <c r="G12" s="115" t="s">
        <v>21</v>
      </c>
      <c r="H12" s="850">
        <f>150/3.4528*1000</f>
        <v>43443.002780352181</v>
      </c>
      <c r="I12" s="709">
        <f>+J12+L12</f>
        <v>150</v>
      </c>
      <c r="J12" s="710">
        <v>150</v>
      </c>
      <c r="K12" s="711"/>
      <c r="L12" s="712"/>
      <c r="M12" s="892">
        <f>40/3.4528*1000</f>
        <v>11584.800741427249</v>
      </c>
      <c r="N12" s="892">
        <f>40/3.4528*1000</f>
        <v>11584.800741427249</v>
      </c>
      <c r="O12" s="1496" t="s">
        <v>191</v>
      </c>
      <c r="P12" s="1066">
        <v>4</v>
      </c>
      <c r="Q12" s="1068">
        <v>4</v>
      </c>
      <c r="R12" s="1070">
        <v>4</v>
      </c>
      <c r="S12" s="1"/>
    </row>
    <row r="13" spans="1:19" ht="13.5" thickBot="1" x14ac:dyDescent="0.25">
      <c r="A13" s="1491"/>
      <c r="B13" s="1493"/>
      <c r="C13" s="1495"/>
      <c r="D13" s="1400"/>
      <c r="E13" s="1412"/>
      <c r="F13" s="1410"/>
      <c r="G13" s="207" t="s">
        <v>22</v>
      </c>
      <c r="H13" s="851">
        <f>H12</f>
        <v>43443.002780352181</v>
      </c>
      <c r="I13" s="713">
        <f>+I12</f>
        <v>150</v>
      </c>
      <c r="J13" s="714">
        <f>+J12</f>
        <v>150</v>
      </c>
      <c r="K13" s="714"/>
      <c r="L13" s="715"/>
      <c r="M13" s="893">
        <f>+M12</f>
        <v>11584.800741427249</v>
      </c>
      <c r="N13" s="881">
        <f>+N12</f>
        <v>11584.800741427249</v>
      </c>
      <c r="O13" s="1497"/>
      <c r="P13" s="477"/>
      <c r="Q13" s="497"/>
      <c r="R13" s="498"/>
      <c r="S13" s="1"/>
    </row>
    <row r="14" spans="1:19" ht="41.25" customHeight="1" x14ac:dyDescent="0.2">
      <c r="A14" s="1490" t="s">
        <v>18</v>
      </c>
      <c r="B14" s="1492" t="s">
        <v>18</v>
      </c>
      <c r="C14" s="1494" t="s">
        <v>23</v>
      </c>
      <c r="D14" s="1399" t="s">
        <v>92</v>
      </c>
      <c r="E14" s="1411"/>
      <c r="F14" s="1409" t="s">
        <v>20</v>
      </c>
      <c r="G14" s="152" t="s">
        <v>21</v>
      </c>
      <c r="H14" s="852">
        <f>10/3.4528*1000</f>
        <v>2896.2001853568122</v>
      </c>
      <c r="I14" s="709">
        <f>+J14+L14</f>
        <v>10</v>
      </c>
      <c r="J14" s="710">
        <v>10</v>
      </c>
      <c r="K14" s="711"/>
      <c r="L14" s="712"/>
      <c r="M14" s="894">
        <f>13/3.4528*1000</f>
        <v>3765.0602409638554</v>
      </c>
      <c r="N14" s="892">
        <f>13/3.4528*1000</f>
        <v>3765.0602409638554</v>
      </c>
      <c r="O14" s="478" t="s">
        <v>185</v>
      </c>
      <c r="P14" s="1066">
        <v>10</v>
      </c>
      <c r="Q14" s="1068">
        <v>12</v>
      </c>
      <c r="R14" s="1070">
        <v>12</v>
      </c>
      <c r="S14" s="1"/>
    </row>
    <row r="15" spans="1:19" ht="13.5" thickBot="1" x14ac:dyDescent="0.25">
      <c r="A15" s="1491"/>
      <c r="B15" s="1493"/>
      <c r="C15" s="1495"/>
      <c r="D15" s="1400"/>
      <c r="E15" s="1412"/>
      <c r="F15" s="1410"/>
      <c r="G15" s="366" t="s">
        <v>22</v>
      </c>
      <c r="H15" s="853">
        <f>H14</f>
        <v>2896.2001853568122</v>
      </c>
      <c r="I15" s="716">
        <f>+I14</f>
        <v>10</v>
      </c>
      <c r="J15" s="717">
        <f>+J14</f>
        <v>10</v>
      </c>
      <c r="K15" s="717"/>
      <c r="L15" s="718"/>
      <c r="M15" s="895">
        <f>+M14</f>
        <v>3765.0602409638554</v>
      </c>
      <c r="N15" s="896">
        <f>+N14</f>
        <v>3765.0602409638554</v>
      </c>
      <c r="O15" s="501"/>
      <c r="P15" s="1067"/>
      <c r="Q15" s="1069"/>
      <c r="R15" s="1071"/>
      <c r="S15" s="1"/>
    </row>
    <row r="16" spans="1:19" ht="40.5" customHeight="1" x14ac:dyDescent="0.2">
      <c r="A16" s="1490" t="s">
        <v>18</v>
      </c>
      <c r="B16" s="1492" t="s">
        <v>18</v>
      </c>
      <c r="C16" s="1494" t="s">
        <v>26</v>
      </c>
      <c r="D16" s="1399" t="s">
        <v>195</v>
      </c>
      <c r="E16" s="1401"/>
      <c r="F16" s="1301" t="s">
        <v>20</v>
      </c>
      <c r="G16" s="115" t="s">
        <v>21</v>
      </c>
      <c r="H16" s="850">
        <f>23/3.4528*1000</f>
        <v>6661.2604263206667</v>
      </c>
      <c r="I16" s="709">
        <f>+J16+L16</f>
        <v>23</v>
      </c>
      <c r="J16" s="710">
        <v>23</v>
      </c>
      <c r="K16" s="711"/>
      <c r="L16" s="712"/>
      <c r="M16" s="892">
        <f>30/3.4528*1000</f>
        <v>8688.6005560704343</v>
      </c>
      <c r="N16" s="897">
        <f>40/3.4528*1000</f>
        <v>11584.800741427249</v>
      </c>
      <c r="O16" s="1496" t="s">
        <v>186</v>
      </c>
      <c r="P16" s="1503">
        <v>3</v>
      </c>
      <c r="Q16" s="1505">
        <v>5</v>
      </c>
      <c r="R16" s="1507">
        <v>5</v>
      </c>
      <c r="S16" s="1"/>
    </row>
    <row r="17" spans="1:23" ht="13.5" thickBot="1" x14ac:dyDescent="0.25">
      <c r="A17" s="1491"/>
      <c r="B17" s="1493"/>
      <c r="C17" s="1495"/>
      <c r="D17" s="1400"/>
      <c r="E17" s="1402"/>
      <c r="F17" s="1302"/>
      <c r="G17" s="1046" t="s">
        <v>22</v>
      </c>
      <c r="H17" s="854">
        <f>H16</f>
        <v>6661.2604263206667</v>
      </c>
      <c r="I17" s="713">
        <f>+J17+L17</f>
        <v>23</v>
      </c>
      <c r="J17" s="707">
        <f>+J16</f>
        <v>23</v>
      </c>
      <c r="K17" s="719"/>
      <c r="L17" s="715"/>
      <c r="M17" s="881">
        <f>+M16</f>
        <v>8688.6005560704343</v>
      </c>
      <c r="N17" s="881">
        <f>+N16</f>
        <v>11584.800741427249</v>
      </c>
      <c r="O17" s="1497"/>
      <c r="P17" s="1504"/>
      <c r="Q17" s="1506"/>
      <c r="R17" s="1508"/>
      <c r="S17" s="1"/>
    </row>
    <row r="18" spans="1:23" ht="13.5" thickBot="1" x14ac:dyDescent="0.25">
      <c r="A18" s="576" t="s">
        <v>18</v>
      </c>
      <c r="B18" s="577" t="s">
        <v>18</v>
      </c>
      <c r="C18" s="1387" t="s">
        <v>27</v>
      </c>
      <c r="D18" s="1277"/>
      <c r="E18" s="1277"/>
      <c r="F18" s="1277"/>
      <c r="G18" s="1327"/>
      <c r="H18" s="855">
        <f>H17+H15+H13</f>
        <v>53000.463392029662</v>
      </c>
      <c r="I18" s="720">
        <f t="shared" ref="I18:M18" si="0">I17+I15+I13</f>
        <v>183</v>
      </c>
      <c r="J18" s="706">
        <f>J17+J15+J13</f>
        <v>183</v>
      </c>
      <c r="K18" s="721">
        <f t="shared" si="0"/>
        <v>0</v>
      </c>
      <c r="L18" s="722">
        <f t="shared" si="0"/>
        <v>0</v>
      </c>
      <c r="M18" s="898">
        <f t="shared" si="0"/>
        <v>24038.461538461539</v>
      </c>
      <c r="N18" s="898">
        <f>N17+N15+N13</f>
        <v>26934.661723818353</v>
      </c>
      <c r="O18" s="1509"/>
      <c r="P18" s="1510"/>
      <c r="Q18" s="1510"/>
      <c r="R18" s="1511"/>
      <c r="S18" s="1"/>
    </row>
    <row r="19" spans="1:23" ht="13.5" customHeight="1" thickBot="1" x14ac:dyDescent="0.25">
      <c r="A19" s="576" t="s">
        <v>18</v>
      </c>
      <c r="B19" s="578" t="s">
        <v>23</v>
      </c>
      <c r="C19" s="1383" t="s">
        <v>76</v>
      </c>
      <c r="D19" s="1384"/>
      <c r="E19" s="1384"/>
      <c r="F19" s="1384"/>
      <c r="G19" s="1385"/>
      <c r="H19" s="1385"/>
      <c r="I19" s="1385"/>
      <c r="J19" s="1385"/>
      <c r="K19" s="1385"/>
      <c r="L19" s="1385"/>
      <c r="M19" s="1384"/>
      <c r="N19" s="1384"/>
      <c r="O19" s="1384"/>
      <c r="P19" s="1384"/>
      <c r="Q19" s="1384"/>
      <c r="R19" s="1386"/>
      <c r="S19" s="1"/>
    </row>
    <row r="20" spans="1:23" ht="12.75" customHeight="1" x14ac:dyDescent="0.2">
      <c r="A20" s="579" t="s">
        <v>18</v>
      </c>
      <c r="B20" s="1064" t="s">
        <v>23</v>
      </c>
      <c r="C20" s="1076" t="s">
        <v>18</v>
      </c>
      <c r="D20" s="1498" t="s">
        <v>70</v>
      </c>
      <c r="E20" s="164"/>
      <c r="F20" s="194">
        <v>2</v>
      </c>
      <c r="G20" s="368"/>
      <c r="H20" s="856"/>
      <c r="I20" s="709"/>
      <c r="J20" s="710"/>
      <c r="K20" s="710"/>
      <c r="L20" s="723"/>
      <c r="M20" s="899"/>
      <c r="N20" s="899"/>
      <c r="O20" s="1284" t="s">
        <v>28</v>
      </c>
      <c r="P20" s="296">
        <v>3500</v>
      </c>
      <c r="Q20" s="296">
        <v>3500</v>
      </c>
      <c r="R20" s="297">
        <v>3500</v>
      </c>
      <c r="S20" s="19"/>
    </row>
    <row r="21" spans="1:23" ht="15.75" customHeight="1" x14ac:dyDescent="0.2">
      <c r="A21" s="580"/>
      <c r="B21" s="581"/>
      <c r="C21" s="652"/>
      <c r="D21" s="1499"/>
      <c r="E21" s="166"/>
      <c r="F21" s="168"/>
      <c r="G21" s="384" t="s">
        <v>29</v>
      </c>
      <c r="H21" s="857">
        <f>770.1/3.4528*1000</f>
        <v>223036.3762743281</v>
      </c>
      <c r="I21" s="724">
        <f t="shared" ref="I21:I22" si="1">+J21+L21</f>
        <v>770.1</v>
      </c>
      <c r="J21" s="725">
        <v>692.1</v>
      </c>
      <c r="K21" s="725"/>
      <c r="L21" s="726">
        <v>78</v>
      </c>
      <c r="M21" s="900">
        <f>770.1/3.4528*1000</f>
        <v>223036.3762743281</v>
      </c>
      <c r="N21" s="900">
        <f>770.1/3.4528*1000</f>
        <v>223036.3762743281</v>
      </c>
      <c r="O21" s="1304"/>
      <c r="P21" s="504"/>
      <c r="Q21" s="504"/>
      <c r="R21" s="505"/>
      <c r="S21" s="149"/>
    </row>
    <row r="22" spans="1:23" ht="15.75" customHeight="1" x14ac:dyDescent="0.2">
      <c r="A22" s="580"/>
      <c r="B22" s="581"/>
      <c r="C22" s="652"/>
      <c r="D22" s="1079" t="s">
        <v>82</v>
      </c>
      <c r="E22" s="166"/>
      <c r="F22" s="168"/>
      <c r="G22" s="671" t="s">
        <v>21</v>
      </c>
      <c r="H22" s="858">
        <f>11246.1/3.4528*1000</f>
        <v>3257095.6904541245</v>
      </c>
      <c r="I22" s="727">
        <f t="shared" si="1"/>
        <v>11246.1</v>
      </c>
      <c r="J22" s="728">
        <v>11046.1</v>
      </c>
      <c r="K22" s="728">
        <v>6647.7</v>
      </c>
      <c r="L22" s="729">
        <v>200</v>
      </c>
      <c r="M22" s="901">
        <f>11397.5/3.4528*1000</f>
        <v>3300944.1612604265</v>
      </c>
      <c r="N22" s="901">
        <f>11147.5/3.4528*1000</f>
        <v>3228539.1566265062</v>
      </c>
      <c r="O22" s="1500" t="s">
        <v>194</v>
      </c>
      <c r="P22" s="509">
        <v>13.5</v>
      </c>
      <c r="Q22" s="625">
        <v>14</v>
      </c>
      <c r="R22" s="674">
        <v>14</v>
      </c>
      <c r="S22" s="149"/>
    </row>
    <row r="23" spans="1:23" ht="17.25" customHeight="1" x14ac:dyDescent="0.2">
      <c r="A23" s="580"/>
      <c r="B23" s="581"/>
      <c r="C23" s="652"/>
      <c r="D23" s="1079" t="s">
        <v>83</v>
      </c>
      <c r="E23" s="166"/>
      <c r="F23" s="168"/>
      <c r="G23" s="116"/>
      <c r="H23" s="859"/>
      <c r="I23" s="730"/>
      <c r="J23" s="731"/>
      <c r="K23" s="731"/>
      <c r="L23" s="732"/>
      <c r="M23" s="902"/>
      <c r="N23" s="902"/>
      <c r="O23" s="1413"/>
      <c r="P23" s="513"/>
      <c r="Q23" s="513"/>
      <c r="R23" s="514"/>
      <c r="S23" s="19"/>
    </row>
    <row r="24" spans="1:23" ht="28.5" customHeight="1" x14ac:dyDescent="0.2">
      <c r="A24" s="580"/>
      <c r="B24" s="581"/>
      <c r="C24" s="652"/>
      <c r="D24" s="1079" t="s">
        <v>84</v>
      </c>
      <c r="E24" s="166"/>
      <c r="F24" s="168"/>
      <c r="G24" s="116"/>
      <c r="H24" s="859"/>
      <c r="I24" s="730"/>
      <c r="J24" s="731"/>
      <c r="K24" s="731"/>
      <c r="L24" s="732"/>
      <c r="M24" s="902"/>
      <c r="N24" s="902"/>
      <c r="O24" s="1413"/>
      <c r="P24" s="504"/>
      <c r="Q24" s="34"/>
      <c r="R24" s="514"/>
      <c r="S24" s="19"/>
    </row>
    <row r="25" spans="1:23" ht="17.25" customHeight="1" x14ac:dyDescent="0.2">
      <c r="A25" s="580"/>
      <c r="B25" s="581"/>
      <c r="C25" s="652"/>
      <c r="D25" s="1079" t="s">
        <v>85</v>
      </c>
      <c r="E25" s="166"/>
      <c r="F25" s="168"/>
      <c r="G25" s="116"/>
      <c r="H25" s="859"/>
      <c r="I25" s="730"/>
      <c r="J25" s="731"/>
      <c r="K25" s="731"/>
      <c r="L25" s="733"/>
      <c r="M25" s="902"/>
      <c r="N25" s="902"/>
      <c r="O25" s="480" t="s">
        <v>163</v>
      </c>
      <c r="P25" s="699"/>
      <c r="Q25" s="479">
        <v>1</v>
      </c>
      <c r="R25" s="515"/>
      <c r="S25" s="19"/>
    </row>
    <row r="26" spans="1:23" ht="16.5" customHeight="1" x14ac:dyDescent="0.2">
      <c r="A26" s="580"/>
      <c r="B26" s="581"/>
      <c r="C26" s="652"/>
      <c r="D26" s="675" t="s">
        <v>147</v>
      </c>
      <c r="E26" s="662"/>
      <c r="F26" s="168"/>
      <c r="G26" s="116"/>
      <c r="H26" s="859"/>
      <c r="I26" s="730"/>
      <c r="J26" s="731"/>
      <c r="K26" s="731"/>
      <c r="L26" s="734"/>
      <c r="M26" s="902"/>
      <c r="N26" s="902"/>
      <c r="O26" s="1080" t="s">
        <v>177</v>
      </c>
      <c r="P26" s="673">
        <v>100</v>
      </c>
      <c r="Q26" s="34"/>
      <c r="R26" s="514"/>
      <c r="S26" s="19"/>
    </row>
    <row r="27" spans="1:23" ht="29.25" customHeight="1" x14ac:dyDescent="0.2">
      <c r="A27" s="580"/>
      <c r="B27" s="581"/>
      <c r="C27" s="652"/>
      <c r="D27" s="475" t="s">
        <v>31</v>
      </c>
      <c r="E27" s="166"/>
      <c r="F27" s="168"/>
      <c r="G27" s="390"/>
      <c r="H27" s="860"/>
      <c r="I27" s="730"/>
      <c r="J27" s="731"/>
      <c r="K27" s="731"/>
      <c r="L27" s="733"/>
      <c r="M27" s="902"/>
      <c r="N27" s="902"/>
      <c r="O27" s="626" t="s">
        <v>178</v>
      </c>
      <c r="P27" s="621">
        <v>100</v>
      </c>
      <c r="Q27" s="506"/>
      <c r="R27" s="507"/>
      <c r="S27" s="1"/>
    </row>
    <row r="28" spans="1:23" ht="28.5" customHeight="1" x14ac:dyDescent="0.2">
      <c r="A28" s="580"/>
      <c r="B28" s="581"/>
      <c r="C28" s="652"/>
      <c r="D28" s="663" t="s">
        <v>162</v>
      </c>
      <c r="E28" s="662"/>
      <c r="F28" s="168"/>
      <c r="G28" s="390"/>
      <c r="H28" s="860"/>
      <c r="I28" s="730"/>
      <c r="J28" s="731"/>
      <c r="K28" s="735"/>
      <c r="L28" s="736"/>
      <c r="M28" s="903"/>
      <c r="N28" s="903"/>
      <c r="O28" s="626" t="s">
        <v>187</v>
      </c>
      <c r="P28" s="621">
        <v>6</v>
      </c>
      <c r="Q28" s="571"/>
      <c r="R28" s="629"/>
      <c r="S28" s="1"/>
    </row>
    <row r="29" spans="1:23" ht="24" customHeight="1" x14ac:dyDescent="0.2">
      <c r="A29" s="580"/>
      <c r="B29" s="581"/>
      <c r="C29" s="652"/>
      <c r="D29" s="1501" t="s">
        <v>159</v>
      </c>
      <c r="E29" s="662"/>
      <c r="F29" s="168"/>
      <c r="G29" s="354"/>
      <c r="H29" s="860"/>
      <c r="I29" s="737"/>
      <c r="J29" s="738"/>
      <c r="K29" s="731"/>
      <c r="L29" s="733"/>
      <c r="M29" s="903"/>
      <c r="N29" s="903"/>
      <c r="O29" s="626" t="s">
        <v>192</v>
      </c>
      <c r="P29" s="634">
        <v>18065</v>
      </c>
      <c r="Q29" s="634">
        <v>18065</v>
      </c>
      <c r="R29" s="635">
        <v>18065</v>
      </c>
      <c r="S29" s="1"/>
    </row>
    <row r="30" spans="1:23" ht="17.25" customHeight="1" thickBot="1" x14ac:dyDescent="0.25">
      <c r="A30" s="582"/>
      <c r="B30" s="1065"/>
      <c r="C30" s="591"/>
      <c r="D30" s="1502"/>
      <c r="E30" s="169"/>
      <c r="F30" s="171"/>
      <c r="G30" s="236" t="s">
        <v>22</v>
      </c>
      <c r="H30" s="861">
        <f>SUM(H21:H29)</f>
        <v>3480132.0667284527</v>
      </c>
      <c r="I30" s="705">
        <f t="shared" ref="I30:N30" si="2">SUM(I21:I29)</f>
        <v>12016.2</v>
      </c>
      <c r="J30" s="739">
        <f t="shared" si="2"/>
        <v>11738.2</v>
      </c>
      <c r="K30" s="708">
        <f t="shared" si="2"/>
        <v>6647.7</v>
      </c>
      <c r="L30" s="739">
        <f t="shared" si="2"/>
        <v>278</v>
      </c>
      <c r="M30" s="854">
        <f t="shared" si="2"/>
        <v>3523980.5375347547</v>
      </c>
      <c r="N30" s="854">
        <f t="shared" si="2"/>
        <v>3451575.5329008345</v>
      </c>
      <c r="O30" s="627"/>
      <c r="P30" s="628"/>
      <c r="Q30" s="1050"/>
      <c r="R30" s="535"/>
      <c r="S30" s="19"/>
    </row>
    <row r="31" spans="1:23" ht="18" customHeight="1" x14ac:dyDescent="0.2">
      <c r="A31" s="1606" t="s">
        <v>18</v>
      </c>
      <c r="B31" s="1609" t="s">
        <v>23</v>
      </c>
      <c r="C31" s="1612" t="s">
        <v>23</v>
      </c>
      <c r="D31" s="1615" t="s">
        <v>201</v>
      </c>
      <c r="E31" s="1152"/>
      <c r="F31" s="1153" t="s">
        <v>20</v>
      </c>
      <c r="G31" s="1154" t="s">
        <v>202</v>
      </c>
      <c r="H31" s="1155">
        <f>900/3.4528*1000</f>
        <v>260658.01668211311</v>
      </c>
      <c r="I31" s="1155">
        <f t="shared" ref="I31:N31" si="3">900/3.4528*1000</f>
        <v>260658.01668211311</v>
      </c>
      <c r="J31" s="1155">
        <f t="shared" si="3"/>
        <v>260658.01668211311</v>
      </c>
      <c r="K31" s="1155">
        <f t="shared" si="3"/>
        <v>260658.01668211311</v>
      </c>
      <c r="L31" s="1155">
        <f t="shared" si="3"/>
        <v>260658.01668211311</v>
      </c>
      <c r="M31" s="1156">
        <f t="shared" si="3"/>
        <v>260658.01668211311</v>
      </c>
      <c r="N31" s="1156">
        <f t="shared" si="3"/>
        <v>260658.01668211311</v>
      </c>
      <c r="O31" s="1157" t="s">
        <v>107</v>
      </c>
      <c r="P31" s="1158">
        <v>2</v>
      </c>
      <c r="Q31" s="1158">
        <v>2</v>
      </c>
      <c r="R31" s="1159">
        <v>2</v>
      </c>
      <c r="S31" s="1"/>
      <c r="W31" s="1044"/>
    </row>
    <row r="32" spans="1:23" ht="11.25" customHeight="1" x14ac:dyDescent="0.2">
      <c r="A32" s="1607"/>
      <c r="B32" s="1610"/>
      <c r="C32" s="1613"/>
      <c r="D32" s="1616"/>
      <c r="E32" s="1140"/>
      <c r="F32" s="1141"/>
      <c r="G32" s="1123"/>
      <c r="H32" s="1124"/>
      <c r="I32" s="1124"/>
      <c r="J32" s="1160"/>
      <c r="K32" s="1160"/>
      <c r="L32" s="1160"/>
      <c r="M32" s="1125"/>
      <c r="N32" s="1125"/>
      <c r="O32" s="1161"/>
      <c r="P32" s="1162"/>
      <c r="Q32" s="1162"/>
      <c r="R32" s="1163"/>
      <c r="S32" s="1"/>
      <c r="W32" s="1044"/>
    </row>
    <row r="33" spans="1:23" ht="28.5" customHeight="1" x14ac:dyDescent="0.2">
      <c r="A33" s="1607"/>
      <c r="B33" s="1610"/>
      <c r="C33" s="1613"/>
      <c r="D33" s="1117" t="s">
        <v>86</v>
      </c>
      <c r="E33" s="1140"/>
      <c r="F33" s="1141"/>
      <c r="G33" s="1119" t="s">
        <v>202</v>
      </c>
      <c r="H33" s="1120">
        <f>200/3.4528*1000</f>
        <v>57924.003707136239</v>
      </c>
      <c r="I33" s="1120">
        <f t="shared" ref="I33:N33" si="4">200/3.4528*1000</f>
        <v>57924.003707136239</v>
      </c>
      <c r="J33" s="1120">
        <f t="shared" si="4"/>
        <v>57924.003707136239</v>
      </c>
      <c r="K33" s="1120">
        <f t="shared" si="4"/>
        <v>57924.003707136239</v>
      </c>
      <c r="L33" s="1120">
        <f t="shared" si="4"/>
        <v>57924.003707136239</v>
      </c>
      <c r="M33" s="1121">
        <f t="shared" si="4"/>
        <v>57924.003707136239</v>
      </c>
      <c r="N33" s="1122">
        <f t="shared" si="4"/>
        <v>57924.003707136239</v>
      </c>
      <c r="O33" s="1142" t="s">
        <v>79</v>
      </c>
      <c r="P33" s="1143">
        <v>60</v>
      </c>
      <c r="Q33" s="1144">
        <v>60</v>
      </c>
      <c r="R33" s="1145">
        <v>60</v>
      </c>
      <c r="S33" s="1"/>
      <c r="W33" s="1044"/>
    </row>
    <row r="34" spans="1:23" ht="19.5" customHeight="1" x14ac:dyDescent="0.2">
      <c r="A34" s="1607"/>
      <c r="B34" s="1610"/>
      <c r="C34" s="1613"/>
      <c r="D34" s="1118" t="s">
        <v>71</v>
      </c>
      <c r="E34" s="1140"/>
      <c r="F34" s="1141"/>
      <c r="G34" s="1123" t="s">
        <v>202</v>
      </c>
      <c r="H34" s="1124">
        <f>700/3.4528*1000</f>
        <v>202734.01297497685</v>
      </c>
      <c r="I34" s="1124">
        <f t="shared" ref="I34:N34" si="5">700/3.4528*1000</f>
        <v>202734.01297497685</v>
      </c>
      <c r="J34" s="1124">
        <f t="shared" si="5"/>
        <v>202734.01297497685</v>
      </c>
      <c r="K34" s="1124">
        <f t="shared" si="5"/>
        <v>202734.01297497685</v>
      </c>
      <c r="L34" s="1124">
        <f t="shared" si="5"/>
        <v>202734.01297497685</v>
      </c>
      <c r="M34" s="1125">
        <f t="shared" si="5"/>
        <v>202734.01297497685</v>
      </c>
      <c r="N34" s="1125">
        <f t="shared" si="5"/>
        <v>202734.01297497685</v>
      </c>
      <c r="O34" s="1617" t="s">
        <v>79</v>
      </c>
      <c r="P34" s="1146">
        <v>195</v>
      </c>
      <c r="Q34" s="1147">
        <v>200</v>
      </c>
      <c r="R34" s="1148">
        <v>200</v>
      </c>
      <c r="S34" s="1"/>
      <c r="W34" s="1044"/>
    </row>
    <row r="35" spans="1:23" ht="15.75" customHeight="1" thickBot="1" x14ac:dyDescent="0.25">
      <c r="A35" s="1608"/>
      <c r="B35" s="1611"/>
      <c r="C35" s="1614"/>
      <c r="D35" s="1164"/>
      <c r="E35" s="1165"/>
      <c r="F35" s="1166"/>
      <c r="G35" s="1167" t="s">
        <v>22</v>
      </c>
      <c r="H35" s="1168">
        <f>SUM(H31:H31)</f>
        <v>260658.01668211311</v>
      </c>
      <c r="I35" s="1169" t="e">
        <f>+#REF!+#REF!</f>
        <v>#REF!</v>
      </c>
      <c r="J35" s="1170" t="e">
        <f>+#REF!+#REF!</f>
        <v>#REF!</v>
      </c>
      <c r="K35" s="1171"/>
      <c r="L35" s="1172"/>
      <c r="M35" s="1173">
        <f>SUM(M31:M31)</f>
        <v>260658.01668211311</v>
      </c>
      <c r="N35" s="1173">
        <f>SUM(N31:N31)</f>
        <v>260658.01668211311</v>
      </c>
      <c r="O35" s="1618"/>
      <c r="P35" s="1149"/>
      <c r="Q35" s="1150"/>
      <c r="R35" s="1151"/>
      <c r="S35" s="1"/>
    </row>
    <row r="36" spans="1:23" ht="27" customHeight="1" x14ac:dyDescent="0.2">
      <c r="A36" s="583" t="s">
        <v>18</v>
      </c>
      <c r="B36" s="584" t="s">
        <v>23</v>
      </c>
      <c r="C36" s="585" t="s">
        <v>23</v>
      </c>
      <c r="D36" s="666" t="s">
        <v>32</v>
      </c>
      <c r="E36" s="1516" t="s">
        <v>110</v>
      </c>
      <c r="F36" s="1059" t="s">
        <v>20</v>
      </c>
      <c r="G36" s="115" t="s">
        <v>21</v>
      </c>
      <c r="H36" s="1131">
        <f>1094.4/3.4528*1000</f>
        <v>316960.14828544954</v>
      </c>
      <c r="I36" s="1132">
        <f>J36+L36</f>
        <v>194.4</v>
      </c>
      <c r="J36" s="1133">
        <v>194.4</v>
      </c>
      <c r="K36" s="1134"/>
      <c r="L36" s="1135"/>
      <c r="M36" s="1136">
        <f>1116/3.4528*1000</f>
        <v>323215.94068582024</v>
      </c>
      <c r="N36" s="1137">
        <f>1136/3.4528*1000</f>
        <v>329008.3410565338</v>
      </c>
      <c r="O36" s="13" t="s">
        <v>107</v>
      </c>
      <c r="P36" s="1138">
        <v>57</v>
      </c>
      <c r="Q36" s="1138">
        <v>57</v>
      </c>
      <c r="R36" s="1139">
        <v>57</v>
      </c>
      <c r="S36" s="1"/>
    </row>
    <row r="37" spans="1:23" ht="28.5" customHeight="1" x14ac:dyDescent="0.2">
      <c r="A37" s="586"/>
      <c r="B37" s="587"/>
      <c r="C37" s="588"/>
      <c r="D37" s="1130" t="s">
        <v>204</v>
      </c>
      <c r="E37" s="1517"/>
      <c r="F37" s="1081"/>
      <c r="G37" s="116"/>
      <c r="H37" s="859"/>
      <c r="I37" s="737"/>
      <c r="J37" s="273"/>
      <c r="K37" s="1126"/>
      <c r="L37" s="1127"/>
      <c r="M37" s="1128"/>
      <c r="N37" s="1129"/>
      <c r="O37" s="15"/>
      <c r="P37" s="1082"/>
      <c r="Q37" s="54"/>
      <c r="R37" s="20"/>
      <c r="S37" s="1"/>
    </row>
    <row r="38" spans="1:23" ht="30" customHeight="1" x14ac:dyDescent="0.2">
      <c r="A38" s="586"/>
      <c r="B38" s="587"/>
      <c r="C38" s="588"/>
      <c r="D38" s="667" t="s">
        <v>198</v>
      </c>
      <c r="E38" s="1517"/>
      <c r="F38" s="556"/>
      <c r="G38" s="116"/>
      <c r="H38" s="859"/>
      <c r="I38" s="737"/>
      <c r="J38" s="273"/>
      <c r="K38" s="743"/>
      <c r="L38" s="744"/>
      <c r="M38" s="906"/>
      <c r="N38" s="907"/>
      <c r="O38" s="676"/>
      <c r="P38" s="677"/>
      <c r="Q38" s="4"/>
      <c r="R38" s="678"/>
      <c r="S38" s="1"/>
    </row>
    <row r="39" spans="1:23" ht="28.5" customHeight="1" x14ac:dyDescent="0.2">
      <c r="A39" s="586"/>
      <c r="B39" s="587"/>
      <c r="C39" s="588"/>
      <c r="D39" s="667" t="s">
        <v>196</v>
      </c>
      <c r="E39" s="1517"/>
      <c r="F39" s="556"/>
      <c r="G39" s="116"/>
      <c r="H39" s="859"/>
      <c r="I39" s="737"/>
      <c r="J39" s="273"/>
      <c r="K39" s="745"/>
      <c r="L39" s="744"/>
      <c r="M39" s="906"/>
      <c r="N39" s="907"/>
      <c r="O39" s="15"/>
      <c r="P39" s="1052"/>
      <c r="Q39" s="1052"/>
      <c r="R39" s="20"/>
      <c r="S39" s="1"/>
    </row>
    <row r="40" spans="1:23" ht="42" customHeight="1" x14ac:dyDescent="0.2">
      <c r="A40" s="586"/>
      <c r="B40" s="587"/>
      <c r="C40" s="588"/>
      <c r="D40" s="667" t="s">
        <v>116</v>
      </c>
      <c r="E40" s="325"/>
      <c r="F40" s="556"/>
      <c r="G40" s="116"/>
      <c r="H40" s="859"/>
      <c r="I40" s="737"/>
      <c r="J40" s="273"/>
      <c r="K40" s="743"/>
      <c r="L40" s="744"/>
      <c r="M40" s="906"/>
      <c r="N40" s="907"/>
      <c r="O40" s="15"/>
      <c r="P40" s="1052"/>
      <c r="Q40" s="1052"/>
      <c r="R40" s="20"/>
      <c r="S40" s="1"/>
    </row>
    <row r="41" spans="1:23" ht="15.75" customHeight="1" x14ac:dyDescent="0.2">
      <c r="A41" s="586"/>
      <c r="B41" s="587"/>
      <c r="C41" s="588"/>
      <c r="D41" s="667" t="s">
        <v>197</v>
      </c>
      <c r="E41" s="325"/>
      <c r="F41" s="556"/>
      <c r="G41" s="116"/>
      <c r="H41" s="859"/>
      <c r="I41" s="737"/>
      <c r="J41" s="273"/>
      <c r="K41" s="743"/>
      <c r="L41" s="744"/>
      <c r="M41" s="906"/>
      <c r="N41" s="907"/>
      <c r="O41" s="15"/>
      <c r="P41" s="1052"/>
      <c r="Q41" s="1052"/>
      <c r="R41" s="20"/>
      <c r="S41" s="1"/>
    </row>
    <row r="42" spans="1:23" ht="37.5" customHeight="1" x14ac:dyDescent="0.2">
      <c r="A42" s="586"/>
      <c r="B42" s="587"/>
      <c r="C42" s="588"/>
      <c r="D42" s="1518" t="s">
        <v>151</v>
      </c>
      <c r="E42" s="325"/>
      <c r="F42" s="556"/>
      <c r="G42" s="288"/>
      <c r="H42" s="863"/>
      <c r="I42" s="746"/>
      <c r="J42" s="673"/>
      <c r="K42" s="747"/>
      <c r="L42" s="748"/>
      <c r="M42" s="908"/>
      <c r="N42" s="909"/>
      <c r="O42" s="15"/>
      <c r="P42" s="1052"/>
      <c r="Q42" s="1052"/>
      <c r="R42" s="20"/>
      <c r="S42" s="1"/>
    </row>
    <row r="43" spans="1:23" ht="20.25" customHeight="1" thickBot="1" x14ac:dyDescent="0.25">
      <c r="A43" s="589"/>
      <c r="B43" s="590"/>
      <c r="C43" s="591"/>
      <c r="D43" s="1502"/>
      <c r="E43" s="472"/>
      <c r="F43" s="557"/>
      <c r="G43" s="239" t="s">
        <v>22</v>
      </c>
      <c r="H43" s="873">
        <f>SUM(H36:H42)</f>
        <v>316960.14828544954</v>
      </c>
      <c r="I43" s="705">
        <f t="shared" ref="I43" si="6">+J43+L43</f>
        <v>194.4</v>
      </c>
      <c r="J43" s="739">
        <f>SUM(J36:J40)</f>
        <v>194.4</v>
      </c>
      <c r="K43" s="708"/>
      <c r="L43" s="715"/>
      <c r="M43" s="854">
        <f>SUM(M36:M40)</f>
        <v>323215.94068582024</v>
      </c>
      <c r="N43" s="910">
        <f>SUM(N36:N40)</f>
        <v>329008.3410565338</v>
      </c>
      <c r="O43" s="542"/>
      <c r="P43" s="1053"/>
      <c r="Q43" s="1050"/>
      <c r="R43" s="188"/>
      <c r="S43" s="1"/>
    </row>
    <row r="44" spans="1:23" ht="17.25" customHeight="1" x14ac:dyDescent="0.2">
      <c r="A44" s="592" t="s">
        <v>18</v>
      </c>
      <c r="B44" s="587" t="s">
        <v>23</v>
      </c>
      <c r="C44" s="593" t="s">
        <v>26</v>
      </c>
      <c r="D44" s="1519" t="s">
        <v>73</v>
      </c>
      <c r="E44" s="126"/>
      <c r="F44" s="1059" t="s">
        <v>20</v>
      </c>
      <c r="G44" s="115" t="s">
        <v>21</v>
      </c>
      <c r="H44" s="862">
        <f>1344.7/3.4528*1000</f>
        <v>389452.0389249305</v>
      </c>
      <c r="I44" s="848">
        <f>+J44+L44</f>
        <v>1344.7</v>
      </c>
      <c r="J44" s="799">
        <v>1344.7</v>
      </c>
      <c r="K44" s="742"/>
      <c r="L44" s="712"/>
      <c r="M44" s="1042">
        <f>1344.7/3.4528*1000</f>
        <v>389452.0389249305</v>
      </c>
      <c r="N44" s="1042">
        <f>1344.7/3.4528*1000</f>
        <v>389452.0389249305</v>
      </c>
      <c r="O44" s="1284" t="s">
        <v>90</v>
      </c>
      <c r="P44" s="289">
        <v>1977</v>
      </c>
      <c r="Q44" s="290">
        <v>1977</v>
      </c>
      <c r="R44" s="291">
        <v>1977</v>
      </c>
      <c r="S44" s="1"/>
    </row>
    <row r="45" spans="1:23" ht="30" customHeight="1" thickBot="1" x14ac:dyDescent="0.25">
      <c r="A45" s="592"/>
      <c r="B45" s="587"/>
      <c r="C45" s="593"/>
      <c r="D45" s="1518"/>
      <c r="E45" s="126"/>
      <c r="F45" s="1060"/>
      <c r="G45" s="207" t="s">
        <v>22</v>
      </c>
      <c r="H45" s="854">
        <f>H44</f>
        <v>389452.0389249305</v>
      </c>
      <c r="I45" s="704">
        <f>+J45+L45</f>
        <v>1344.7</v>
      </c>
      <c r="J45" s="749">
        <f>+J44</f>
        <v>1344.7</v>
      </c>
      <c r="K45" s="750"/>
      <c r="L45" s="751"/>
      <c r="M45" s="854">
        <f>+M44</f>
        <v>389452.0389249305</v>
      </c>
      <c r="N45" s="854">
        <f>+N44</f>
        <v>389452.0389249305</v>
      </c>
      <c r="O45" s="1285"/>
      <c r="P45" s="1053"/>
      <c r="Q45" s="1050"/>
      <c r="R45" s="188"/>
      <c r="S45" s="1"/>
    </row>
    <row r="46" spans="1:23" ht="15.75" customHeight="1" thickBot="1" x14ac:dyDescent="0.25">
      <c r="A46" s="576" t="s">
        <v>18</v>
      </c>
      <c r="B46" s="578" t="s">
        <v>23</v>
      </c>
      <c r="C46" s="1387" t="s">
        <v>27</v>
      </c>
      <c r="D46" s="1277"/>
      <c r="E46" s="1277"/>
      <c r="F46" s="1277"/>
      <c r="G46" s="1277"/>
      <c r="H46" s="855">
        <f>H45+H43+H30</f>
        <v>4186544.2539388328</v>
      </c>
      <c r="I46" s="855">
        <f t="shared" ref="I46:N46" si="7">I45+I43+I30</f>
        <v>13555.300000000001</v>
      </c>
      <c r="J46" s="855">
        <f t="shared" si="7"/>
        <v>13277.300000000001</v>
      </c>
      <c r="K46" s="855">
        <f t="shared" si="7"/>
        <v>6647.7</v>
      </c>
      <c r="L46" s="855">
        <f t="shared" si="7"/>
        <v>278</v>
      </c>
      <c r="M46" s="855">
        <f t="shared" si="7"/>
        <v>4236648.5171455052</v>
      </c>
      <c r="N46" s="855">
        <f t="shared" si="7"/>
        <v>4170035.9128822987</v>
      </c>
      <c r="O46" s="1328"/>
      <c r="P46" s="1329"/>
      <c r="Q46" s="1329"/>
      <c r="R46" s="1330"/>
      <c r="S46" s="1"/>
    </row>
    <row r="47" spans="1:23" ht="15.75" customHeight="1" thickBot="1" x14ac:dyDescent="0.25">
      <c r="A47" s="601" t="s">
        <v>18</v>
      </c>
      <c r="B47" s="602" t="s">
        <v>26</v>
      </c>
      <c r="C47" s="1331" t="s">
        <v>42</v>
      </c>
      <c r="D47" s="1331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1"/>
      <c r="P47" s="1331"/>
      <c r="Q47" s="1331"/>
      <c r="R47" s="1333"/>
      <c r="S47" s="1"/>
    </row>
    <row r="48" spans="1:23" ht="17.25" customHeight="1" x14ac:dyDescent="0.2">
      <c r="A48" s="594" t="s">
        <v>18</v>
      </c>
      <c r="B48" s="595" t="s">
        <v>26</v>
      </c>
      <c r="C48" s="1512" t="s">
        <v>18</v>
      </c>
      <c r="D48" s="682" t="s">
        <v>167</v>
      </c>
      <c r="E48" s="1340"/>
      <c r="F48" s="1514" t="s">
        <v>24</v>
      </c>
      <c r="G48" s="80"/>
      <c r="H48" s="864"/>
      <c r="I48" s="830"/>
      <c r="J48" s="810"/>
      <c r="K48" s="296"/>
      <c r="L48" s="752"/>
      <c r="M48" s="911"/>
      <c r="N48" s="911"/>
      <c r="O48" s="647"/>
      <c r="P48" s="647"/>
      <c r="Q48" s="636"/>
      <c r="R48" s="637"/>
      <c r="S48" s="1"/>
    </row>
    <row r="49" spans="1:19" ht="38.25" x14ac:dyDescent="0.2">
      <c r="A49" s="596"/>
      <c r="B49" s="597"/>
      <c r="C49" s="1513"/>
      <c r="D49" s="693" t="s">
        <v>153</v>
      </c>
      <c r="E49" s="1341"/>
      <c r="F49" s="1515"/>
      <c r="G49" s="684" t="s">
        <v>21</v>
      </c>
      <c r="H49" s="865">
        <f>500/3.4528*1000</f>
        <v>144810.00926784059</v>
      </c>
      <c r="I49" s="831">
        <f>L49+J49</f>
        <v>500</v>
      </c>
      <c r="J49" s="811"/>
      <c r="K49" s="753"/>
      <c r="L49" s="754">
        <v>500</v>
      </c>
      <c r="M49" s="912">
        <f>1308/3.4528*1000</f>
        <v>378822.98424467101</v>
      </c>
      <c r="N49" s="912">
        <f>2100/3.4528*1000</f>
        <v>608202.0389249305</v>
      </c>
      <c r="O49" s="518" t="s">
        <v>148</v>
      </c>
      <c r="P49" s="512">
        <v>100</v>
      </c>
      <c r="Q49" s="638"/>
      <c r="R49" s="639"/>
      <c r="S49" s="1"/>
    </row>
    <row r="50" spans="1:19" ht="32.25" customHeight="1" x14ac:dyDescent="0.2">
      <c r="A50" s="596"/>
      <c r="B50" s="597"/>
      <c r="C50" s="1513"/>
      <c r="D50" s="683"/>
      <c r="E50" s="1341"/>
      <c r="F50" s="1515"/>
      <c r="G50" s="685" t="s">
        <v>25</v>
      </c>
      <c r="H50" s="866">
        <f>600/3.4528*1000</f>
        <v>173772.01112140872</v>
      </c>
      <c r="I50" s="832">
        <f>L50+J50</f>
        <v>600</v>
      </c>
      <c r="J50" s="812"/>
      <c r="K50" s="755"/>
      <c r="L50" s="756">
        <v>600</v>
      </c>
      <c r="M50" s="913"/>
      <c r="N50" s="913"/>
      <c r="O50" s="631" t="s">
        <v>149</v>
      </c>
      <c r="P50" s="630"/>
      <c r="Q50" s="632">
        <v>100</v>
      </c>
      <c r="R50" s="633"/>
      <c r="S50" s="1"/>
    </row>
    <row r="51" spans="1:19" ht="25.5" x14ac:dyDescent="0.2">
      <c r="A51" s="596"/>
      <c r="B51" s="597"/>
      <c r="C51" s="1513"/>
      <c r="D51" s="683"/>
      <c r="E51" s="1341"/>
      <c r="F51" s="1515"/>
      <c r="G51" s="686"/>
      <c r="H51" s="865"/>
      <c r="I51" s="831"/>
      <c r="J51" s="813"/>
      <c r="K51" s="757"/>
      <c r="L51" s="758"/>
      <c r="M51" s="914"/>
      <c r="N51" s="914"/>
      <c r="O51" s="518" t="s">
        <v>150</v>
      </c>
      <c r="P51" s="512"/>
      <c r="Q51" s="670">
        <v>100</v>
      </c>
      <c r="R51" s="524"/>
      <c r="S51" s="1"/>
    </row>
    <row r="52" spans="1:19" ht="16.5" customHeight="1" x14ac:dyDescent="0.2">
      <c r="A52" s="596"/>
      <c r="B52" s="597"/>
      <c r="C52" s="1513"/>
      <c r="D52" s="683"/>
      <c r="E52" s="1341"/>
      <c r="F52" s="1515"/>
      <c r="G52" s="687" t="s">
        <v>22</v>
      </c>
      <c r="H52" s="867">
        <f>SUM(H49:H51)</f>
        <v>318582.02038924932</v>
      </c>
      <c r="I52" s="762">
        <f t="shared" ref="I52:N52" si="8">SUM(I48:I51)</f>
        <v>1100</v>
      </c>
      <c r="J52" s="759">
        <f t="shared" si="8"/>
        <v>0</v>
      </c>
      <c r="K52" s="760">
        <f t="shared" si="8"/>
        <v>0</v>
      </c>
      <c r="L52" s="761">
        <f t="shared" si="8"/>
        <v>1100</v>
      </c>
      <c r="M52" s="851">
        <f t="shared" si="8"/>
        <v>378822.98424467101</v>
      </c>
      <c r="N52" s="851">
        <f t="shared" si="8"/>
        <v>608202.0389249305</v>
      </c>
      <c r="O52" s="641" t="s">
        <v>158</v>
      </c>
      <c r="P52" s="642"/>
      <c r="Q52" s="643"/>
      <c r="R52" s="644">
        <v>100</v>
      </c>
      <c r="S52" s="1"/>
    </row>
    <row r="53" spans="1:19" ht="15" customHeight="1" x14ac:dyDescent="0.2">
      <c r="A53" s="611"/>
      <c r="B53" s="612"/>
      <c r="C53" s="1074"/>
      <c r="D53" s="1527" t="s">
        <v>184</v>
      </c>
      <c r="E53" s="679"/>
      <c r="F53" s="681"/>
      <c r="G53" s="476" t="s">
        <v>21</v>
      </c>
      <c r="H53" s="865">
        <f>500/3.4528*1000</f>
        <v>144810.00926784059</v>
      </c>
      <c r="I53" s="831">
        <f>J53+L53</f>
        <v>500</v>
      </c>
      <c r="J53" s="814"/>
      <c r="K53" s="753"/>
      <c r="L53" s="763">
        <v>500</v>
      </c>
      <c r="M53" s="914">
        <f>300/3.4528*1000</f>
        <v>86886.005560704361</v>
      </c>
      <c r="N53" s="915"/>
      <c r="O53" s="1530" t="s">
        <v>164</v>
      </c>
      <c r="P53" s="621">
        <v>60</v>
      </c>
      <c r="Q53" s="645">
        <v>40</v>
      </c>
      <c r="R53" s="646"/>
      <c r="S53" s="1"/>
    </row>
    <row r="54" spans="1:19" x14ac:dyDescent="0.2">
      <c r="A54" s="605"/>
      <c r="B54" s="606"/>
      <c r="C54" s="607"/>
      <c r="D54" s="1528"/>
      <c r="E54" s="680"/>
      <c r="F54" s="681"/>
      <c r="G54" s="688" t="s">
        <v>22</v>
      </c>
      <c r="H54" s="868">
        <f>H53</f>
        <v>144810.00926784059</v>
      </c>
      <c r="I54" s="767">
        <f t="shared" ref="I54:M54" si="9">SUM(I53:I53)</f>
        <v>500</v>
      </c>
      <c r="J54" s="764">
        <f t="shared" si="9"/>
        <v>0</v>
      </c>
      <c r="K54" s="765">
        <f t="shared" si="9"/>
        <v>0</v>
      </c>
      <c r="L54" s="766">
        <f t="shared" si="9"/>
        <v>500</v>
      </c>
      <c r="M54" s="916">
        <f t="shared" si="9"/>
        <v>86886.005560704361</v>
      </c>
      <c r="N54" s="916"/>
      <c r="O54" s="1531"/>
      <c r="P54" s="1052"/>
      <c r="Q54" s="1052"/>
      <c r="R54" s="1055"/>
      <c r="S54" s="1"/>
    </row>
    <row r="55" spans="1:19" ht="13.5" thickBot="1" x14ac:dyDescent="0.25">
      <c r="A55" s="608"/>
      <c r="B55" s="609"/>
      <c r="C55" s="648"/>
      <c r="D55" s="1529"/>
      <c r="E55" s="1532" t="s">
        <v>179</v>
      </c>
      <c r="F55" s="1533"/>
      <c r="G55" s="1534"/>
      <c r="H55" s="869">
        <f>H54+H52</f>
        <v>463392.02965708991</v>
      </c>
      <c r="I55" s="780">
        <f>I54+I52</f>
        <v>1600</v>
      </c>
      <c r="J55" s="769">
        <f t="shared" ref="J55:N55" si="10">J54+J52</f>
        <v>0</v>
      </c>
      <c r="K55" s="770">
        <f t="shared" si="10"/>
        <v>0</v>
      </c>
      <c r="L55" s="768">
        <f t="shared" si="10"/>
        <v>1600</v>
      </c>
      <c r="M55" s="917">
        <f t="shared" si="10"/>
        <v>465708.98980537534</v>
      </c>
      <c r="N55" s="917">
        <f t="shared" si="10"/>
        <v>608202.0389249305</v>
      </c>
      <c r="O55" s="692"/>
      <c r="P55" s="689"/>
      <c r="Q55" s="690"/>
      <c r="R55" s="691"/>
      <c r="S55" s="1"/>
    </row>
    <row r="56" spans="1:19" ht="13.5" customHeight="1" x14ac:dyDescent="0.2">
      <c r="A56" s="611" t="s">
        <v>18</v>
      </c>
      <c r="B56" s="612" t="s">
        <v>26</v>
      </c>
      <c r="C56" s="1074" t="s">
        <v>23</v>
      </c>
      <c r="D56" s="1535" t="s">
        <v>146</v>
      </c>
      <c r="E56" s="653" t="s">
        <v>137</v>
      </c>
      <c r="F56" s="180" t="s">
        <v>44</v>
      </c>
      <c r="G56" s="288" t="s">
        <v>21</v>
      </c>
      <c r="H56" s="863"/>
      <c r="I56" s="833"/>
      <c r="J56" s="815"/>
      <c r="K56" s="771"/>
      <c r="L56" s="772"/>
      <c r="M56" s="918">
        <f>2388.7/3.4528*1000</f>
        <v>691815.3382761816</v>
      </c>
      <c r="N56" s="919"/>
      <c r="O56" s="489" t="s">
        <v>142</v>
      </c>
      <c r="P56" s="490">
        <v>1</v>
      </c>
      <c r="Q56" s="490"/>
      <c r="R56" s="20"/>
      <c r="S56" s="1"/>
    </row>
    <row r="57" spans="1:19" ht="13.5" customHeight="1" x14ac:dyDescent="0.2">
      <c r="A57" s="605"/>
      <c r="B57" s="606"/>
      <c r="C57" s="607"/>
      <c r="D57" s="1535"/>
      <c r="E57" s="1536" t="s">
        <v>109</v>
      </c>
      <c r="F57" s="180"/>
      <c r="G57" s="58" t="s">
        <v>45</v>
      </c>
      <c r="H57" s="870">
        <f>2397/3.4528*1000</f>
        <v>694219.18443002773</v>
      </c>
      <c r="I57" s="834">
        <f>J57+L57</f>
        <v>2397.3000000000002</v>
      </c>
      <c r="J57" s="816"/>
      <c r="K57" s="699"/>
      <c r="L57" s="773">
        <v>2397.3000000000002</v>
      </c>
      <c r="M57" s="903">
        <f>1310/3.4528*1000</f>
        <v>379402.22428174235</v>
      </c>
      <c r="N57" s="920"/>
      <c r="O57" s="15" t="s">
        <v>143</v>
      </c>
      <c r="P57" s="1052">
        <v>30</v>
      </c>
      <c r="Q57" s="54">
        <v>100</v>
      </c>
      <c r="R57" s="1054"/>
      <c r="S57" s="1"/>
    </row>
    <row r="58" spans="1:19" ht="14.25" customHeight="1" x14ac:dyDescent="0.2">
      <c r="A58" s="605"/>
      <c r="B58" s="606"/>
      <c r="C58" s="607"/>
      <c r="D58" s="1535"/>
      <c r="E58" s="1324"/>
      <c r="F58" s="180"/>
      <c r="G58" s="376" t="s">
        <v>41</v>
      </c>
      <c r="H58" s="870">
        <f>9000/3.4528*1000</f>
        <v>2606580.1668211306</v>
      </c>
      <c r="I58" s="835">
        <f>J58+L58</f>
        <v>9000</v>
      </c>
      <c r="J58" s="817"/>
      <c r="K58" s="774"/>
      <c r="L58" s="775">
        <v>9000</v>
      </c>
      <c r="M58" s="921">
        <f>21000/3.4528*1000</f>
        <v>6082020.3892493052</v>
      </c>
      <c r="N58" s="914"/>
      <c r="O58" s="1304"/>
      <c r="P58" s="1313"/>
      <c r="Q58" s="1313"/>
      <c r="R58" s="1316"/>
      <c r="S58" s="60"/>
    </row>
    <row r="59" spans="1:19" ht="14.25" customHeight="1" x14ac:dyDescent="0.2">
      <c r="A59" s="605"/>
      <c r="B59" s="606"/>
      <c r="C59" s="607"/>
      <c r="D59" s="1535"/>
      <c r="E59" s="1324"/>
      <c r="F59" s="180"/>
      <c r="G59" s="649" t="s">
        <v>168</v>
      </c>
      <c r="H59" s="870">
        <f>1659/3.4528*1000</f>
        <v>480479.61075069511</v>
      </c>
      <c r="I59" s="835">
        <f>J59+L59</f>
        <v>1658.7</v>
      </c>
      <c r="J59" s="818"/>
      <c r="K59" s="776"/>
      <c r="L59" s="777">
        <v>1658.7</v>
      </c>
      <c r="M59" s="922"/>
      <c r="N59" s="923"/>
      <c r="O59" s="1304"/>
      <c r="P59" s="1313"/>
      <c r="Q59" s="1313"/>
      <c r="R59" s="1316"/>
      <c r="S59" s="60"/>
    </row>
    <row r="60" spans="1:19" ht="14.25" customHeight="1" x14ac:dyDescent="0.2">
      <c r="A60" s="605"/>
      <c r="B60" s="606"/>
      <c r="C60" s="607"/>
      <c r="D60" s="1535"/>
      <c r="E60" s="1324"/>
      <c r="F60" s="180"/>
      <c r="G60" s="116" t="s">
        <v>25</v>
      </c>
      <c r="H60" s="859">
        <f>750/3.4528*1000</f>
        <v>217215.01390176089</v>
      </c>
      <c r="I60" s="836">
        <f>J60+L60</f>
        <v>750</v>
      </c>
      <c r="J60" s="819"/>
      <c r="K60" s="778"/>
      <c r="L60" s="505">
        <v>750</v>
      </c>
      <c r="M60" s="903">
        <f>750/3.4528*1000</f>
        <v>217215.01390176089</v>
      </c>
      <c r="N60" s="914"/>
      <c r="O60" s="1304"/>
      <c r="P60" s="1313"/>
      <c r="Q60" s="1313"/>
      <c r="R60" s="1316"/>
      <c r="S60" s="60"/>
    </row>
    <row r="61" spans="1:19" ht="14.25" customHeight="1" thickBot="1" x14ac:dyDescent="0.25">
      <c r="A61" s="608"/>
      <c r="B61" s="609"/>
      <c r="C61" s="610"/>
      <c r="D61" s="1283"/>
      <c r="E61" s="484"/>
      <c r="F61" s="405"/>
      <c r="G61" s="377" t="s">
        <v>22</v>
      </c>
      <c r="H61" s="871">
        <f>SUM(H57:H60)</f>
        <v>3998493.9759036144</v>
      </c>
      <c r="I61" s="780">
        <f t="shared" ref="I61:L61" si="11">SUM(I56:I60)</f>
        <v>13806</v>
      </c>
      <c r="J61" s="768">
        <f t="shared" si="11"/>
        <v>0</v>
      </c>
      <c r="K61" s="769">
        <f t="shared" si="11"/>
        <v>0</v>
      </c>
      <c r="L61" s="779">
        <f t="shared" si="11"/>
        <v>13806</v>
      </c>
      <c r="M61" s="924">
        <f>SUM(M56:M60)</f>
        <v>7370452.9657089897</v>
      </c>
      <c r="N61" s="924"/>
      <c r="O61" s="1285"/>
      <c r="P61" s="1314"/>
      <c r="Q61" s="1314"/>
      <c r="R61" s="1317"/>
      <c r="S61" s="1"/>
    </row>
    <row r="62" spans="1:19" ht="30" customHeight="1" x14ac:dyDescent="0.2">
      <c r="A62" s="594" t="s">
        <v>18</v>
      </c>
      <c r="B62" s="595" t="s">
        <v>26</v>
      </c>
      <c r="C62" s="1512" t="s">
        <v>26</v>
      </c>
      <c r="D62" s="1521" t="s">
        <v>199</v>
      </c>
      <c r="E62" s="485" t="s">
        <v>137</v>
      </c>
      <c r="F62" s="1346" t="s">
        <v>44</v>
      </c>
      <c r="G62" s="374" t="s">
        <v>21</v>
      </c>
      <c r="H62" s="872">
        <f>57/3.4528*1000</f>
        <v>16508.341056533831</v>
      </c>
      <c r="I62" s="837">
        <f>L62+J62</f>
        <v>57</v>
      </c>
      <c r="J62" s="820"/>
      <c r="K62" s="781"/>
      <c r="L62" s="782">
        <v>57</v>
      </c>
      <c r="M62" s="925">
        <f>672.5/3.4528*1000</f>
        <v>194769.4624652456</v>
      </c>
      <c r="N62" s="926"/>
      <c r="O62" s="480" t="s">
        <v>142</v>
      </c>
      <c r="P62" s="488"/>
      <c r="Q62" s="481">
        <v>1</v>
      </c>
      <c r="R62" s="487"/>
      <c r="S62" s="1"/>
    </row>
    <row r="63" spans="1:19" x14ac:dyDescent="0.2">
      <c r="A63" s="596"/>
      <c r="B63" s="597"/>
      <c r="C63" s="1513"/>
      <c r="D63" s="1522"/>
      <c r="E63" s="1524" t="s">
        <v>140</v>
      </c>
      <c r="F63" s="1347"/>
      <c r="G63" s="474" t="s">
        <v>41</v>
      </c>
      <c r="H63" s="870"/>
      <c r="I63" s="831"/>
      <c r="J63" s="811"/>
      <c r="K63" s="753"/>
      <c r="L63" s="754"/>
      <c r="M63" s="914"/>
      <c r="N63" s="914">
        <f>3105.8/3.4528*1000</f>
        <v>899501.85356811865</v>
      </c>
      <c r="O63" s="1072" t="s">
        <v>145</v>
      </c>
      <c r="P63" s="491"/>
      <c r="Q63" s="482"/>
      <c r="R63" s="492">
        <v>25</v>
      </c>
      <c r="S63" s="1"/>
    </row>
    <row r="64" spans="1:19" ht="15" customHeight="1" x14ac:dyDescent="0.2">
      <c r="A64" s="596"/>
      <c r="B64" s="597"/>
      <c r="C64" s="1513"/>
      <c r="D64" s="1522"/>
      <c r="E64" s="1525"/>
      <c r="F64" s="1347"/>
      <c r="G64" s="375" t="s">
        <v>138</v>
      </c>
      <c r="H64" s="863"/>
      <c r="I64" s="831"/>
      <c r="J64" s="813"/>
      <c r="K64" s="757"/>
      <c r="L64" s="758"/>
      <c r="M64" s="918"/>
      <c r="N64" s="914">
        <f>274.1/3.4528*1000</f>
        <v>79384.847080630221</v>
      </c>
      <c r="O64" s="1061"/>
      <c r="P64" s="493"/>
      <c r="Q64" s="1078"/>
      <c r="R64" s="494"/>
      <c r="S64" s="1"/>
    </row>
    <row r="65" spans="1:19" ht="30.75" customHeight="1" x14ac:dyDescent="0.2">
      <c r="A65" s="596"/>
      <c r="B65" s="597"/>
      <c r="C65" s="1513"/>
      <c r="D65" s="1522"/>
      <c r="E65" s="1525"/>
      <c r="F65" s="1347"/>
      <c r="G65" s="486" t="s">
        <v>48</v>
      </c>
      <c r="H65" s="859"/>
      <c r="I65" s="832"/>
      <c r="J65" s="821"/>
      <c r="K65" s="783"/>
      <c r="L65" s="784"/>
      <c r="M65" s="927"/>
      <c r="N65" s="928">
        <f>274.1/3.4528*1000</f>
        <v>79384.847080630221</v>
      </c>
      <c r="O65" s="1061"/>
      <c r="P65" s="493"/>
      <c r="Q65" s="1078"/>
      <c r="R65" s="494"/>
      <c r="S65" s="1"/>
    </row>
    <row r="66" spans="1:19" ht="14.25" customHeight="1" thickBot="1" x14ac:dyDescent="0.25">
      <c r="A66" s="598"/>
      <c r="B66" s="599"/>
      <c r="C66" s="1520"/>
      <c r="D66" s="1523"/>
      <c r="E66" s="1526"/>
      <c r="F66" s="1348"/>
      <c r="G66" s="1046" t="s">
        <v>22</v>
      </c>
      <c r="H66" s="873">
        <f>SUM(H62:H65)</f>
        <v>16508.341056533831</v>
      </c>
      <c r="I66" s="740">
        <f>SUM(I62:I64)</f>
        <v>57</v>
      </c>
      <c r="J66" s="822">
        <f t="shared" ref="J66:L66" si="12">SUM(J62:J64)</f>
        <v>0</v>
      </c>
      <c r="K66" s="739">
        <f t="shared" si="12"/>
        <v>0</v>
      </c>
      <c r="L66" s="785">
        <f t="shared" si="12"/>
        <v>57</v>
      </c>
      <c r="M66" s="854">
        <f>SUM(M62:M64)</f>
        <v>194769.4624652456</v>
      </c>
      <c r="N66" s="929">
        <f>SUM(N62:N65)</f>
        <v>1058271.547729379</v>
      </c>
      <c r="O66" s="1061"/>
      <c r="P66" s="493"/>
      <c r="Q66" s="1078"/>
      <c r="R66" s="494"/>
      <c r="S66" s="1"/>
    </row>
    <row r="67" spans="1:19" ht="17.25" customHeight="1" x14ac:dyDescent="0.2">
      <c r="A67" s="594" t="s">
        <v>18</v>
      </c>
      <c r="B67" s="595" t="s">
        <v>26</v>
      </c>
      <c r="C67" s="1512" t="s">
        <v>39</v>
      </c>
      <c r="D67" s="1521" t="s">
        <v>136</v>
      </c>
      <c r="E67" s="485" t="s">
        <v>137</v>
      </c>
      <c r="F67" s="1346" t="s">
        <v>44</v>
      </c>
      <c r="G67" s="374" t="s">
        <v>21</v>
      </c>
      <c r="H67" s="872">
        <f>30/3.4528*1000</f>
        <v>8688.6005560704343</v>
      </c>
      <c r="I67" s="837">
        <f>L67+J67</f>
        <v>30</v>
      </c>
      <c r="J67" s="820"/>
      <c r="K67" s="781"/>
      <c r="L67" s="782">
        <v>30</v>
      </c>
      <c r="M67" s="925">
        <f>121.2/3.4528*1000</f>
        <v>35101.94624652456</v>
      </c>
      <c r="N67" s="926"/>
      <c r="O67" s="480" t="s">
        <v>142</v>
      </c>
      <c r="P67" s="481"/>
      <c r="Q67" s="481">
        <v>1</v>
      </c>
      <c r="R67" s="487"/>
      <c r="S67" s="1"/>
    </row>
    <row r="68" spans="1:19" x14ac:dyDescent="0.2">
      <c r="A68" s="596"/>
      <c r="B68" s="597"/>
      <c r="C68" s="1513"/>
      <c r="D68" s="1522"/>
      <c r="E68" s="1537" t="s">
        <v>139</v>
      </c>
      <c r="F68" s="1347"/>
      <c r="G68" s="474" t="s">
        <v>41</v>
      </c>
      <c r="H68" s="870"/>
      <c r="I68" s="831"/>
      <c r="J68" s="811"/>
      <c r="K68" s="753"/>
      <c r="L68" s="754"/>
      <c r="M68" s="914"/>
      <c r="N68" s="914">
        <f>250.7/3.4528*1000</f>
        <v>72607.738646895275</v>
      </c>
      <c r="O68" s="1540" t="s">
        <v>144</v>
      </c>
      <c r="P68" s="41"/>
      <c r="Q68" s="50"/>
      <c r="R68" s="1055">
        <v>25</v>
      </c>
      <c r="S68" s="1"/>
    </row>
    <row r="69" spans="1:19" x14ac:dyDescent="0.2">
      <c r="A69" s="596"/>
      <c r="B69" s="597"/>
      <c r="C69" s="1513"/>
      <c r="D69" s="1522"/>
      <c r="E69" s="1538"/>
      <c r="F69" s="1347"/>
      <c r="G69" s="375" t="s">
        <v>138</v>
      </c>
      <c r="H69" s="863"/>
      <c r="I69" s="831"/>
      <c r="J69" s="813"/>
      <c r="K69" s="757"/>
      <c r="L69" s="758"/>
      <c r="M69" s="918"/>
      <c r="N69" s="914">
        <f>411.5/3.4528*1000</f>
        <v>119178.63762743281</v>
      </c>
      <c r="O69" s="1350"/>
      <c r="P69" s="41"/>
      <c r="Q69" s="50"/>
      <c r="R69" s="1055"/>
      <c r="S69" s="1"/>
    </row>
    <row r="70" spans="1:19" x14ac:dyDescent="0.2">
      <c r="A70" s="596"/>
      <c r="B70" s="597"/>
      <c r="C70" s="1513"/>
      <c r="D70" s="1522"/>
      <c r="E70" s="1538"/>
      <c r="F70" s="1347"/>
      <c r="G70" s="486" t="s">
        <v>48</v>
      </c>
      <c r="H70" s="859"/>
      <c r="I70" s="832"/>
      <c r="J70" s="821"/>
      <c r="K70" s="783"/>
      <c r="L70" s="784"/>
      <c r="M70" s="927"/>
      <c r="N70" s="928">
        <f>100/3.4528*1000</f>
        <v>28962.001853568119</v>
      </c>
      <c r="O70" s="1057"/>
      <c r="P70" s="41"/>
      <c r="Q70" s="50"/>
      <c r="R70" s="1055"/>
      <c r="S70" s="1"/>
    </row>
    <row r="71" spans="1:19" ht="13.5" thickBot="1" x14ac:dyDescent="0.25">
      <c r="A71" s="598"/>
      <c r="B71" s="599"/>
      <c r="C71" s="1520"/>
      <c r="D71" s="1523"/>
      <c r="E71" s="1539"/>
      <c r="F71" s="1348"/>
      <c r="G71" s="1046" t="s">
        <v>22</v>
      </c>
      <c r="H71" s="873">
        <f>SUM(H67:H70)</f>
        <v>8688.6005560704343</v>
      </c>
      <c r="I71" s="740">
        <f>SUM(I67:I69)</f>
        <v>30</v>
      </c>
      <c r="J71" s="822">
        <f t="shared" ref="J71:L71" si="13">SUM(J67:J69)</f>
        <v>0</v>
      </c>
      <c r="K71" s="739">
        <f t="shared" si="13"/>
        <v>0</v>
      </c>
      <c r="L71" s="785">
        <f t="shared" si="13"/>
        <v>30</v>
      </c>
      <c r="M71" s="854">
        <f>SUM(M67:M69)</f>
        <v>35101.94624652456</v>
      </c>
      <c r="N71" s="929">
        <f>SUM(N67:N70)</f>
        <v>220748.37812789623</v>
      </c>
      <c r="O71" s="1058"/>
      <c r="P71" s="8"/>
      <c r="Q71" s="51"/>
      <c r="R71" s="1056"/>
      <c r="S71" s="1"/>
    </row>
    <row r="72" spans="1:19" ht="42.75" customHeight="1" x14ac:dyDescent="0.2">
      <c r="A72" s="611" t="s">
        <v>18</v>
      </c>
      <c r="B72" s="612" t="s">
        <v>26</v>
      </c>
      <c r="C72" s="1074" t="s">
        <v>69</v>
      </c>
      <c r="D72" s="1501" t="s">
        <v>156</v>
      </c>
      <c r="E72" s="1542" t="s">
        <v>155</v>
      </c>
      <c r="F72" s="310" t="s">
        <v>20</v>
      </c>
      <c r="G72" s="182" t="s">
        <v>21</v>
      </c>
      <c r="H72" s="874">
        <f>20/3.4528*1000</f>
        <v>5792.4003707136244</v>
      </c>
      <c r="I72" s="838">
        <f>+J72+L72</f>
        <v>20</v>
      </c>
      <c r="J72" s="823">
        <v>20</v>
      </c>
      <c r="K72" s="786"/>
      <c r="L72" s="787"/>
      <c r="M72" s="930">
        <f>20/3.4528*1000</f>
        <v>5792.4003707136244</v>
      </c>
      <c r="N72" s="930"/>
      <c r="O72" s="620" t="s">
        <v>157</v>
      </c>
      <c r="P72" s="624"/>
      <c r="Q72" s="33">
        <v>1</v>
      </c>
      <c r="R72" s="619"/>
      <c r="S72" s="1"/>
    </row>
    <row r="73" spans="1:19" ht="13.5" thickBot="1" x14ac:dyDescent="0.25">
      <c r="A73" s="605"/>
      <c r="B73" s="606"/>
      <c r="C73" s="607"/>
      <c r="D73" s="1541"/>
      <c r="E73" s="1325"/>
      <c r="F73" s="310"/>
      <c r="G73" s="377" t="s">
        <v>22</v>
      </c>
      <c r="H73" s="871">
        <f>H72</f>
        <v>5792.4003707136244</v>
      </c>
      <c r="I73" s="780">
        <f>I72</f>
        <v>20</v>
      </c>
      <c r="J73" s="768">
        <f t="shared" ref="J73" si="14">J72</f>
        <v>20</v>
      </c>
      <c r="K73" s="769"/>
      <c r="L73" s="779"/>
      <c r="M73" s="917">
        <f>M72</f>
        <v>5792.4003707136244</v>
      </c>
      <c r="N73" s="917"/>
      <c r="O73" s="622"/>
      <c r="P73" s="623"/>
      <c r="Q73" s="1053"/>
      <c r="R73" s="1056"/>
      <c r="S73" s="1"/>
    </row>
    <row r="74" spans="1:19" ht="41.25" customHeight="1" x14ac:dyDescent="0.2">
      <c r="A74" s="603" t="s">
        <v>18</v>
      </c>
      <c r="B74" s="604" t="s">
        <v>26</v>
      </c>
      <c r="C74" s="1073" t="s">
        <v>154</v>
      </c>
      <c r="D74" s="668" t="s">
        <v>47</v>
      </c>
      <c r="E74" s="564"/>
      <c r="F74" s="565" t="s">
        <v>24</v>
      </c>
      <c r="G74" s="566" t="s">
        <v>21</v>
      </c>
      <c r="H74" s="875">
        <f>250.7/3.4528*1000</f>
        <v>72607.738646895275</v>
      </c>
      <c r="I74" s="839">
        <f>J74+L74</f>
        <v>250.7</v>
      </c>
      <c r="J74" s="824">
        <v>250.7</v>
      </c>
      <c r="K74" s="788"/>
      <c r="L74" s="789"/>
      <c r="M74" s="925"/>
      <c r="N74" s="931"/>
      <c r="O74" s="567"/>
      <c r="P74" s="568"/>
      <c r="Q74" s="569"/>
      <c r="R74" s="570"/>
      <c r="S74" s="1"/>
    </row>
    <row r="75" spans="1:19" ht="30" customHeight="1" x14ac:dyDescent="0.2">
      <c r="A75" s="605"/>
      <c r="B75" s="606"/>
      <c r="C75" s="607"/>
      <c r="D75" s="1075" t="s">
        <v>200</v>
      </c>
      <c r="E75" s="358"/>
      <c r="F75" s="310"/>
      <c r="G75" s="354"/>
      <c r="H75" s="876"/>
      <c r="I75" s="840"/>
      <c r="J75" s="825"/>
      <c r="K75" s="673"/>
      <c r="L75" s="790"/>
      <c r="M75" s="932"/>
      <c r="N75" s="933"/>
      <c r="O75" s="561" t="s">
        <v>176</v>
      </c>
      <c r="P75" s="562">
        <v>100</v>
      </c>
      <c r="Q75" s="563"/>
      <c r="R75" s="546"/>
      <c r="S75" s="1"/>
    </row>
    <row r="76" spans="1:19" ht="30.75" customHeight="1" x14ac:dyDescent="0.2">
      <c r="A76" s="605"/>
      <c r="B76" s="606"/>
      <c r="C76" s="607"/>
      <c r="D76" s="669" t="s">
        <v>134</v>
      </c>
      <c r="E76" s="358"/>
      <c r="F76" s="618"/>
      <c r="G76" s="352"/>
      <c r="H76" s="877"/>
      <c r="I76" s="838"/>
      <c r="J76" s="826"/>
      <c r="K76" s="791"/>
      <c r="L76" s="792"/>
      <c r="M76" s="930"/>
      <c r="N76" s="930"/>
      <c r="O76" s="519" t="s">
        <v>175</v>
      </c>
      <c r="P76" s="483">
        <v>100</v>
      </c>
      <c r="Q76" s="544"/>
      <c r="R76" s="545"/>
      <c r="S76" s="1"/>
    </row>
    <row r="77" spans="1:19" ht="42" customHeight="1" x14ac:dyDescent="0.2">
      <c r="A77" s="605"/>
      <c r="B77" s="606"/>
      <c r="C77" s="607"/>
      <c r="D77" s="1527" t="s">
        <v>135</v>
      </c>
      <c r="E77" s="358"/>
      <c r="F77" s="310"/>
      <c r="G77" s="351"/>
      <c r="H77" s="878"/>
      <c r="I77" s="841"/>
      <c r="J77" s="827"/>
      <c r="K77" s="793"/>
      <c r="L77" s="794"/>
      <c r="M77" s="934"/>
      <c r="N77" s="934"/>
      <c r="O77" s="1530" t="s">
        <v>174</v>
      </c>
      <c r="P77" s="1555">
        <v>100</v>
      </c>
      <c r="Q77" s="527"/>
      <c r="R77" s="1055"/>
      <c r="S77" s="1"/>
    </row>
    <row r="78" spans="1:19" ht="13.5" thickBot="1" x14ac:dyDescent="0.25">
      <c r="A78" s="605"/>
      <c r="B78" s="606"/>
      <c r="C78" s="607"/>
      <c r="D78" s="1529"/>
      <c r="E78" s="359"/>
      <c r="F78" s="311"/>
      <c r="G78" s="287" t="s">
        <v>22</v>
      </c>
      <c r="H78" s="879">
        <f>SUM(H74:H77)</f>
        <v>72607.738646895275</v>
      </c>
      <c r="I78" s="767">
        <f>J78+L78</f>
        <v>250.7</v>
      </c>
      <c r="J78" s="828">
        <f>SUM(J74:J77)</f>
        <v>250.7</v>
      </c>
      <c r="K78" s="765"/>
      <c r="L78" s="795"/>
      <c r="M78" s="916">
        <f>SUM(M75:M77)</f>
        <v>0</v>
      </c>
      <c r="N78" s="916">
        <f>SUM(N75:N77)</f>
        <v>0</v>
      </c>
      <c r="O78" s="1497"/>
      <c r="P78" s="1556"/>
      <c r="Q78" s="527"/>
      <c r="R78" s="1055"/>
      <c r="S78" s="1"/>
    </row>
    <row r="79" spans="1:19" ht="30.75" customHeight="1" x14ac:dyDescent="0.2">
      <c r="A79" s="1083" t="s">
        <v>18</v>
      </c>
      <c r="B79" s="1623" t="s">
        <v>26</v>
      </c>
      <c r="C79" s="1625" t="s">
        <v>166</v>
      </c>
      <c r="D79" s="1627" t="s">
        <v>171</v>
      </c>
      <c r="E79" s="1629"/>
      <c r="F79" s="1619" t="s">
        <v>20</v>
      </c>
      <c r="G79" s="1084" t="s">
        <v>21</v>
      </c>
      <c r="H79" s="1085">
        <f>100/3.4528*1000</f>
        <v>28962.001853568119</v>
      </c>
      <c r="I79" s="1086">
        <f>J79+L79</f>
        <v>100</v>
      </c>
      <c r="J79" s="1087"/>
      <c r="K79" s="1087"/>
      <c r="L79" s="1088">
        <v>100</v>
      </c>
      <c r="M79" s="1089">
        <v>0</v>
      </c>
      <c r="N79" s="1090">
        <f>10/3.4528*1000</f>
        <v>2896.2001853568122</v>
      </c>
      <c r="O79" s="1621" t="s">
        <v>172</v>
      </c>
      <c r="P79" s="1091">
        <v>100</v>
      </c>
      <c r="Q79" s="654"/>
      <c r="R79" s="655"/>
      <c r="S79" s="656"/>
    </row>
    <row r="80" spans="1:19" ht="13.5" thickBot="1" x14ac:dyDescent="0.25">
      <c r="A80" s="1092"/>
      <c r="B80" s="1624"/>
      <c r="C80" s="1626"/>
      <c r="D80" s="1628"/>
      <c r="E80" s="1630"/>
      <c r="F80" s="1620"/>
      <c r="G80" s="1093" t="s">
        <v>22</v>
      </c>
      <c r="H80" s="1094">
        <f>H79</f>
        <v>28962.001853568119</v>
      </c>
      <c r="I80" s="1095">
        <f t="shared" ref="I80" si="15">SUM(I79:I79)</f>
        <v>100</v>
      </c>
      <c r="J80" s="1096"/>
      <c r="K80" s="1096"/>
      <c r="L80" s="1097">
        <f t="shared" ref="L80:N80" si="16">SUM(L79:L79)</f>
        <v>100</v>
      </c>
      <c r="M80" s="1094">
        <f t="shared" si="16"/>
        <v>0</v>
      </c>
      <c r="N80" s="1094">
        <f t="shared" si="16"/>
        <v>2896.2001853568122</v>
      </c>
      <c r="O80" s="1622"/>
      <c r="P80" s="1098"/>
      <c r="Q80" s="657"/>
      <c r="R80" s="658"/>
      <c r="S80" s="656"/>
    </row>
    <row r="81" spans="1:19" ht="13.5" thickBot="1" x14ac:dyDescent="0.25">
      <c r="A81" s="576" t="s">
        <v>18</v>
      </c>
      <c r="B81" s="600" t="s">
        <v>26</v>
      </c>
      <c r="C81" s="1277" t="s">
        <v>27</v>
      </c>
      <c r="D81" s="1277"/>
      <c r="E81" s="1277"/>
      <c r="F81" s="1277"/>
      <c r="G81" s="1277"/>
      <c r="H81" s="855">
        <f>H78+H73+H71+H66+H61+H55+H80</f>
        <v>4594445.088044486</v>
      </c>
      <c r="I81" s="842">
        <f>I78+I73+I66+I71+I61+I55</f>
        <v>15763.7</v>
      </c>
      <c r="J81" s="829">
        <f>J78+J73+J66+J71+J61+J55</f>
        <v>270.7</v>
      </c>
      <c r="K81" s="796">
        <f>K78+K73+K66+K71+K61+K55</f>
        <v>0</v>
      </c>
      <c r="L81" s="796">
        <f>L78+L73+L66+L71+L61+L55</f>
        <v>15493</v>
      </c>
      <c r="M81" s="935">
        <f>M78+M73+M66+M71+M61+M55</f>
        <v>8071825.7645968487</v>
      </c>
      <c r="N81" s="935">
        <f>N78+N73+N66+N71+N61+N55+N80</f>
        <v>1890118.1649675628</v>
      </c>
      <c r="O81" s="1305"/>
      <c r="P81" s="1306"/>
      <c r="Q81" s="1306"/>
      <c r="R81" s="1307"/>
      <c r="S81" s="1"/>
    </row>
    <row r="82" spans="1:19" ht="13.5" thickBot="1" x14ac:dyDescent="0.25">
      <c r="A82" s="613" t="s">
        <v>18</v>
      </c>
      <c r="B82" s="600" t="s">
        <v>39</v>
      </c>
      <c r="C82" s="1308" t="s">
        <v>78</v>
      </c>
      <c r="D82" s="1308"/>
      <c r="E82" s="1308"/>
      <c r="F82" s="1308"/>
      <c r="G82" s="1308"/>
      <c r="H82" s="1309"/>
      <c r="I82" s="1309"/>
      <c r="J82" s="1309"/>
      <c r="K82" s="1309"/>
      <c r="L82" s="1309"/>
      <c r="M82" s="1308"/>
      <c r="N82" s="1308"/>
      <c r="O82" s="1308"/>
      <c r="P82" s="1310"/>
      <c r="Q82" s="1310"/>
      <c r="R82" s="1311"/>
      <c r="S82" s="1"/>
    </row>
    <row r="83" spans="1:19" ht="29.25" customHeight="1" x14ac:dyDescent="0.2">
      <c r="A83" s="583" t="s">
        <v>18</v>
      </c>
      <c r="B83" s="584" t="s">
        <v>39</v>
      </c>
      <c r="C83" s="585" t="s">
        <v>18</v>
      </c>
      <c r="D83" s="1282" t="s">
        <v>74</v>
      </c>
      <c r="E83" s="76"/>
      <c r="F83" s="1051" t="s">
        <v>20</v>
      </c>
      <c r="G83" s="700" t="s">
        <v>21</v>
      </c>
      <c r="H83" s="880">
        <f>2314.3/3.4528*1000</f>
        <v>670267.60889712709</v>
      </c>
      <c r="I83" s="844">
        <f>+J83+L83</f>
        <v>2314.3000000000002</v>
      </c>
      <c r="J83" s="797">
        <f>2114.3+200</f>
        <v>2314.3000000000002</v>
      </c>
      <c r="K83" s="741"/>
      <c r="L83" s="712"/>
      <c r="M83" s="904">
        <f>1300/3.4528*1000</f>
        <v>376506.02409638552</v>
      </c>
      <c r="N83" s="905">
        <f>1300/3.4528*1000</f>
        <v>376506.02409638552</v>
      </c>
      <c r="O83" s="1496" t="s">
        <v>188</v>
      </c>
      <c r="P83" s="1066">
        <v>8</v>
      </c>
      <c r="Q83" s="1559">
        <v>8</v>
      </c>
      <c r="R83" s="1543">
        <v>8</v>
      </c>
      <c r="S83" s="1"/>
    </row>
    <row r="84" spans="1:19" ht="13.5" thickBot="1" x14ac:dyDescent="0.25">
      <c r="A84" s="586"/>
      <c r="B84" s="587"/>
      <c r="C84" s="588"/>
      <c r="D84" s="1535"/>
      <c r="E84" s="78"/>
      <c r="F84" s="12"/>
      <c r="G84" s="701" t="s">
        <v>22</v>
      </c>
      <c r="H84" s="879">
        <f>H83</f>
        <v>670267.60889712709</v>
      </c>
      <c r="I84" s="845">
        <f>+I83</f>
        <v>2314.3000000000002</v>
      </c>
      <c r="J84" s="714">
        <f>+J83</f>
        <v>2314.3000000000002</v>
      </c>
      <c r="K84" s="714"/>
      <c r="L84" s="798"/>
      <c r="M84" s="879">
        <f>M83</f>
        <v>376506.02409638552</v>
      </c>
      <c r="N84" s="936">
        <f>N83</f>
        <v>376506.02409638552</v>
      </c>
      <c r="O84" s="1497"/>
      <c r="P84" s="477"/>
      <c r="Q84" s="1560"/>
      <c r="R84" s="1544"/>
      <c r="S84" s="1"/>
    </row>
    <row r="85" spans="1:19" ht="30.75" customHeight="1" x14ac:dyDescent="0.2">
      <c r="A85" s="1099" t="s">
        <v>18</v>
      </c>
      <c r="B85" s="1594" t="s">
        <v>39</v>
      </c>
      <c r="C85" s="1596" t="s">
        <v>23</v>
      </c>
      <c r="D85" s="1598" t="s">
        <v>171</v>
      </c>
      <c r="E85" s="1600"/>
      <c r="F85" s="1602" t="s">
        <v>20</v>
      </c>
      <c r="G85" s="1100" t="s">
        <v>202</v>
      </c>
      <c r="H85" s="1101">
        <f>100/3.4528*1000</f>
        <v>28962.001853568119</v>
      </c>
      <c r="I85" s="1102">
        <f>J85+L85</f>
        <v>100</v>
      </c>
      <c r="J85" s="1103"/>
      <c r="K85" s="1103"/>
      <c r="L85" s="1104">
        <v>100</v>
      </c>
      <c r="M85" s="1105">
        <v>0</v>
      </c>
      <c r="N85" s="1106">
        <f>10/3.4528*1000</f>
        <v>2896.2001853568122</v>
      </c>
      <c r="O85" s="1604" t="s">
        <v>172</v>
      </c>
      <c r="P85" s="1107">
        <v>100</v>
      </c>
      <c r="Q85" s="654"/>
      <c r="R85" s="655"/>
      <c r="S85" s="656"/>
    </row>
    <row r="86" spans="1:19" ht="13.5" thickBot="1" x14ac:dyDescent="0.25">
      <c r="A86" s="1108"/>
      <c r="B86" s="1595"/>
      <c r="C86" s="1597"/>
      <c r="D86" s="1599"/>
      <c r="E86" s="1601"/>
      <c r="F86" s="1603"/>
      <c r="G86" s="1109" t="s">
        <v>22</v>
      </c>
      <c r="H86" s="1110">
        <f>H85</f>
        <v>28962.001853568119</v>
      </c>
      <c r="I86" s="1111">
        <f t="shared" ref="I86:N86" si="17">SUM(I85:I85)</f>
        <v>100</v>
      </c>
      <c r="J86" s="1112"/>
      <c r="K86" s="1112"/>
      <c r="L86" s="1113">
        <f t="shared" si="17"/>
        <v>100</v>
      </c>
      <c r="M86" s="1110">
        <f t="shared" si="17"/>
        <v>0</v>
      </c>
      <c r="N86" s="1110">
        <f t="shared" si="17"/>
        <v>2896.2001853568122</v>
      </c>
      <c r="O86" s="1605"/>
      <c r="P86" s="1114"/>
      <c r="Q86" s="657"/>
      <c r="R86" s="658"/>
      <c r="S86" s="656"/>
    </row>
    <row r="87" spans="1:19" ht="39.75" customHeight="1" x14ac:dyDescent="0.2">
      <c r="A87" s="1490" t="s">
        <v>18</v>
      </c>
      <c r="B87" s="1492" t="s">
        <v>39</v>
      </c>
      <c r="C87" s="1557" t="s">
        <v>23</v>
      </c>
      <c r="D87" s="1296" t="s">
        <v>51</v>
      </c>
      <c r="E87" s="1297"/>
      <c r="F87" s="1301" t="s">
        <v>20</v>
      </c>
      <c r="G87" s="525" t="s">
        <v>21</v>
      </c>
      <c r="H87" s="850">
        <f>50/3.4528*1000</f>
        <v>14481.00092678406</v>
      </c>
      <c r="I87" s="846">
        <f>+J87+L87</f>
        <v>50</v>
      </c>
      <c r="J87" s="799">
        <v>50</v>
      </c>
      <c r="K87" s="799"/>
      <c r="L87" s="800"/>
      <c r="M87" s="904">
        <f>50/3.4528*1000</f>
        <v>14481.00092678406</v>
      </c>
      <c r="N87" s="904">
        <f>50/3.4528*1000</f>
        <v>14481.00092678406</v>
      </c>
      <c r="O87" s="1063" t="s">
        <v>189</v>
      </c>
      <c r="P87" s="1066">
        <v>20</v>
      </c>
      <c r="Q87" s="1077">
        <v>25</v>
      </c>
      <c r="R87" s="528">
        <v>25</v>
      </c>
      <c r="S87" s="1"/>
    </row>
    <row r="88" spans="1:19" ht="56.25" customHeight="1" thickBot="1" x14ac:dyDescent="0.25">
      <c r="A88" s="1491"/>
      <c r="B88" s="1493"/>
      <c r="C88" s="1558"/>
      <c r="D88" s="1227"/>
      <c r="E88" s="1298"/>
      <c r="F88" s="1302"/>
      <c r="G88" s="239" t="s">
        <v>22</v>
      </c>
      <c r="H88" s="854">
        <f>H87</f>
        <v>14481.00092678406</v>
      </c>
      <c r="I88" s="822">
        <f>+I87</f>
        <v>50</v>
      </c>
      <c r="J88" s="739">
        <f>+J87</f>
        <v>50</v>
      </c>
      <c r="K88" s="739"/>
      <c r="L88" s="715"/>
      <c r="M88" s="937">
        <f>SUM(M87:M87)</f>
        <v>14481.00092678406</v>
      </c>
      <c r="N88" s="938">
        <f>SUM(N87:N87)</f>
        <v>14481.00092678406</v>
      </c>
      <c r="O88" s="529"/>
      <c r="P88" s="530"/>
      <c r="Q88" s="299"/>
      <c r="R88" s="300"/>
      <c r="S88" s="1"/>
    </row>
    <row r="89" spans="1:19" ht="18" customHeight="1" thickBot="1" x14ac:dyDescent="0.25">
      <c r="A89" s="576" t="s">
        <v>18</v>
      </c>
      <c r="B89" s="614" t="s">
        <v>39</v>
      </c>
      <c r="C89" s="1277" t="s">
        <v>27</v>
      </c>
      <c r="D89" s="1277"/>
      <c r="E89" s="1277"/>
      <c r="F89" s="1277"/>
      <c r="G89" s="1277"/>
      <c r="H89" s="855">
        <f>H88+H84</f>
        <v>684748.6098239111</v>
      </c>
      <c r="I89" s="706">
        <f>I84+I88+I86</f>
        <v>2464.3000000000002</v>
      </c>
      <c r="J89" s="801">
        <f t="shared" ref="J89:L89" si="18">J84+J88+J86</f>
        <v>2364.3000000000002</v>
      </c>
      <c r="K89" s="801">
        <f t="shared" si="18"/>
        <v>0</v>
      </c>
      <c r="L89" s="801">
        <f t="shared" si="18"/>
        <v>100</v>
      </c>
      <c r="M89" s="939">
        <f>M84+M88</f>
        <v>390987.02502316958</v>
      </c>
      <c r="N89" s="939">
        <f>N84+N88</f>
        <v>390987.02502316958</v>
      </c>
      <c r="O89" s="547"/>
      <c r="P89" s="548"/>
      <c r="Q89" s="548"/>
      <c r="R89" s="549"/>
      <c r="S89" s="1"/>
    </row>
    <row r="90" spans="1:19" ht="13.5" thickBot="1" x14ac:dyDescent="0.25">
      <c r="A90" s="576" t="s">
        <v>18</v>
      </c>
      <c r="B90" s="1278" t="s">
        <v>53</v>
      </c>
      <c r="C90" s="1279"/>
      <c r="D90" s="1279"/>
      <c r="E90" s="1279"/>
      <c r="F90" s="1279"/>
      <c r="G90" s="1279"/>
      <c r="H90" s="882">
        <f>H89+H81+H46+H18</f>
        <v>9518738.4151992612</v>
      </c>
      <c r="I90" s="803">
        <f>+J90+L90</f>
        <v>31966.300000000003</v>
      </c>
      <c r="J90" s="802">
        <f>+J18+J46+J89+J81</f>
        <v>16095.300000000003</v>
      </c>
      <c r="K90" s="803">
        <f>+K18+K46+K89</f>
        <v>6647.7</v>
      </c>
      <c r="L90" s="804">
        <f>+L18+L46+L89+L81</f>
        <v>15871</v>
      </c>
      <c r="M90" s="940">
        <f>+M18+M46+M89+M81</f>
        <v>12723499.768303987</v>
      </c>
      <c r="N90" s="940">
        <f>+N18+N46+N89+N81</f>
        <v>6478075.7645968497</v>
      </c>
      <c r="O90" s="550"/>
      <c r="P90" s="551"/>
      <c r="Q90" s="551"/>
      <c r="R90" s="552"/>
      <c r="S90" s="1"/>
    </row>
    <row r="91" spans="1:19" ht="13.5" thickBot="1" x14ac:dyDescent="0.25">
      <c r="A91" s="615" t="s">
        <v>54</v>
      </c>
      <c r="B91" s="1280" t="s">
        <v>55</v>
      </c>
      <c r="C91" s="1281"/>
      <c r="D91" s="1281"/>
      <c r="E91" s="1281"/>
      <c r="F91" s="1281"/>
      <c r="G91" s="1281"/>
      <c r="H91" s="883">
        <f>H90</f>
        <v>9518738.4151992612</v>
      </c>
      <c r="I91" s="806">
        <f>+I90</f>
        <v>31966.300000000003</v>
      </c>
      <c r="J91" s="805">
        <f>+J90</f>
        <v>16095.300000000003</v>
      </c>
      <c r="K91" s="806">
        <f>+K90</f>
        <v>6647.7</v>
      </c>
      <c r="L91" s="807">
        <f>+L90</f>
        <v>15871</v>
      </c>
      <c r="M91" s="941">
        <f>M90</f>
        <v>12723499.768303987</v>
      </c>
      <c r="N91" s="941">
        <f>N90</f>
        <v>6478075.7645968497</v>
      </c>
      <c r="O91" s="553"/>
      <c r="P91" s="554"/>
      <c r="Q91" s="554"/>
      <c r="R91" s="555"/>
      <c r="S91" s="1"/>
    </row>
    <row r="92" spans="1:19" ht="13.5" customHeight="1" x14ac:dyDescent="0.2">
      <c r="A92" s="694"/>
      <c r="B92" s="695"/>
      <c r="C92" s="695"/>
      <c r="D92" s="695"/>
      <c r="E92" s="695"/>
      <c r="F92" s="695"/>
      <c r="G92" s="695"/>
      <c r="H92" s="884"/>
      <c r="I92" s="808"/>
      <c r="J92" s="808"/>
      <c r="K92" s="808"/>
      <c r="L92" s="808"/>
      <c r="M92" s="942"/>
      <c r="N92" s="942"/>
      <c r="O92" s="696"/>
      <c r="P92" s="697"/>
      <c r="Q92" s="697"/>
      <c r="R92" s="697"/>
      <c r="S92" s="698"/>
    </row>
    <row r="93" spans="1:19" ht="22.5" customHeight="1" thickBot="1" x14ac:dyDescent="0.25">
      <c r="A93" s="616"/>
      <c r="B93" s="102"/>
      <c r="C93" s="617"/>
      <c r="D93" s="1567" t="s">
        <v>56</v>
      </c>
      <c r="E93" s="1567"/>
      <c r="F93" s="1567"/>
      <c r="G93" s="1567"/>
      <c r="H93" s="1567"/>
      <c r="I93" s="1567"/>
      <c r="J93" s="1567"/>
      <c r="K93" s="1567"/>
      <c r="L93" s="1567"/>
      <c r="M93" s="1567"/>
      <c r="N93" s="1567"/>
      <c r="O93" s="520"/>
      <c r="P93" s="516"/>
      <c r="Q93" s="516"/>
      <c r="R93" s="516"/>
      <c r="S93" s="1"/>
    </row>
    <row r="94" spans="1:19" ht="36.75" thickBot="1" x14ac:dyDescent="0.25">
      <c r="A94" s="1571" t="s">
        <v>57</v>
      </c>
      <c r="B94" s="1572"/>
      <c r="C94" s="1572"/>
      <c r="D94" s="1572"/>
      <c r="E94" s="1572"/>
      <c r="F94" s="1572"/>
      <c r="G94" s="1573"/>
      <c r="H94" s="885" t="s">
        <v>181</v>
      </c>
      <c r="I94" s="1568" t="s">
        <v>181</v>
      </c>
      <c r="J94" s="1569"/>
      <c r="K94" s="1569"/>
      <c r="L94" s="1570"/>
      <c r="M94" s="943" t="s">
        <v>182</v>
      </c>
      <c r="N94" s="944" t="s">
        <v>183</v>
      </c>
      <c r="O94" s="99"/>
      <c r="P94" s="1049"/>
      <c r="Q94" s="1276"/>
      <c r="R94" s="1276"/>
      <c r="S94" s="1"/>
    </row>
    <row r="95" spans="1:19" ht="18" customHeight="1" x14ac:dyDescent="0.2">
      <c r="A95" s="1259" t="s">
        <v>58</v>
      </c>
      <c r="B95" s="1260"/>
      <c r="C95" s="1260"/>
      <c r="D95" s="1260"/>
      <c r="E95" s="1260"/>
      <c r="F95" s="1260"/>
      <c r="G95" s="1261"/>
      <c r="H95" s="886">
        <f ca="1">SUM(H96:H100)</f>
        <v>6521171.223354958</v>
      </c>
      <c r="I95" s="1561">
        <f>SUM(I96:L100)</f>
        <v>21616.3</v>
      </c>
      <c r="J95" s="1562"/>
      <c r="K95" s="1562"/>
      <c r="L95" s="1563"/>
      <c r="M95" s="945">
        <f>SUM(M96:M99)</f>
        <v>6424264.3651529187</v>
      </c>
      <c r="N95" s="946">
        <f>SUM(N96:N99)</f>
        <v>5307402.6876737718</v>
      </c>
      <c r="O95" s="521"/>
      <c r="P95" s="1047"/>
      <c r="Q95" s="1243"/>
      <c r="R95" s="1243"/>
      <c r="S95" s="1"/>
    </row>
    <row r="96" spans="1:19" ht="15" customHeight="1" x14ac:dyDescent="0.2">
      <c r="A96" s="1244" t="s">
        <v>60</v>
      </c>
      <c r="B96" s="1245"/>
      <c r="C96" s="1245"/>
      <c r="D96" s="1245"/>
      <c r="E96" s="1245"/>
      <c r="F96" s="1245"/>
      <c r="G96" s="1246"/>
      <c r="H96" s="887">
        <f ca="1">SUMIF(G12:H87,"sb",H12:H87)</f>
        <v>5123436.0518999081</v>
      </c>
      <c r="I96" s="1580">
        <f>SUMIF(G12:G88,"sb",I12:I88)</f>
        <v>16790.2</v>
      </c>
      <c r="J96" s="1581"/>
      <c r="K96" s="1581"/>
      <c r="L96" s="1582"/>
      <c r="M96" s="949">
        <f>SUMIF(G12:G88,"sb",M12:M88)</f>
        <v>5821825.7645968487</v>
      </c>
      <c r="N96" s="900">
        <f>SUMIF(G12:G88,"sb",N12:N88)</f>
        <v>4976019.4624652453</v>
      </c>
      <c r="O96" s="523"/>
      <c r="P96" s="1048"/>
      <c r="Q96" s="1247"/>
      <c r="R96" s="1247"/>
      <c r="S96" s="1"/>
    </row>
    <row r="97" spans="1:19" ht="15" customHeight="1" x14ac:dyDescent="0.2">
      <c r="A97" s="1256" t="s">
        <v>61</v>
      </c>
      <c r="B97" s="1257"/>
      <c r="C97" s="1257"/>
      <c r="D97" s="1257"/>
      <c r="E97" s="1257"/>
      <c r="F97" s="1257"/>
      <c r="G97" s="1258"/>
      <c r="H97" s="888">
        <f>SUMIF(G12:G87,"sb(sp)",H12:H87)</f>
        <v>223036.3762743281</v>
      </c>
      <c r="I97" s="1580">
        <f>SUMIF(G12:G86,"sb(sp)",I12:I86)</f>
        <v>770.1</v>
      </c>
      <c r="J97" s="1581"/>
      <c r="K97" s="1581"/>
      <c r="L97" s="1582"/>
      <c r="M97" s="949">
        <f>SUMIF(G18:G86,G21,M18:M86)</f>
        <v>223036.3762743281</v>
      </c>
      <c r="N97" s="900">
        <f>SUMIF(G18:G86,G21,N18:N86)</f>
        <v>223036.3762743281</v>
      </c>
      <c r="O97" s="523"/>
      <c r="P97" s="1048"/>
      <c r="Q97" s="1247"/>
      <c r="R97" s="1247"/>
      <c r="S97" s="1"/>
    </row>
    <row r="98" spans="1:19" ht="15" customHeight="1" x14ac:dyDescent="0.2">
      <c r="A98" s="1256" t="s">
        <v>62</v>
      </c>
      <c r="B98" s="1257"/>
      <c r="C98" s="1257"/>
      <c r="D98" s="1257"/>
      <c r="E98" s="1257"/>
      <c r="F98" s="1257"/>
      <c r="G98" s="1258"/>
      <c r="H98" s="888">
        <f>SUMIF(G12:G87,"sb(p)",H12:H87)</f>
        <v>0</v>
      </c>
      <c r="I98" s="1583">
        <f>SUMIF(G12:G86,"sb(p)",I12:I86)</f>
        <v>0</v>
      </c>
      <c r="J98" s="1584"/>
      <c r="K98" s="1584"/>
      <c r="L98" s="1584"/>
      <c r="M98" s="950">
        <f>SUMIF(G12:G86,"sb(p)",M12:M86)</f>
        <v>0</v>
      </c>
      <c r="N98" s="912">
        <f>SUMIF(G18:G86,"sb(p)",N18:N86)</f>
        <v>108346.84893419834</v>
      </c>
      <c r="O98" s="523"/>
      <c r="P98" s="1048"/>
      <c r="Q98" s="1247"/>
      <c r="R98" s="1247"/>
      <c r="S98" s="1"/>
    </row>
    <row r="99" spans="1:19" ht="15" customHeight="1" x14ac:dyDescent="0.2">
      <c r="A99" s="1256" t="s">
        <v>63</v>
      </c>
      <c r="B99" s="1257"/>
      <c r="C99" s="1257"/>
      <c r="D99" s="1257"/>
      <c r="E99" s="1257"/>
      <c r="F99" s="1257"/>
      <c r="G99" s="1258"/>
      <c r="H99" s="888">
        <f>SUMIF(G12:G87,"sb(vb)",H12:H87)</f>
        <v>694219.18443002773</v>
      </c>
      <c r="I99" s="1574">
        <f>SUMIF(G12:G86,"sb(vb)",I12:I86)</f>
        <v>2397.3000000000002</v>
      </c>
      <c r="J99" s="1575"/>
      <c r="K99" s="1575"/>
      <c r="L99" s="1576"/>
      <c r="M99" s="950">
        <f>SUMIF(G18:G86,G57,M18:M86)</f>
        <v>379402.22428174235</v>
      </c>
      <c r="N99" s="912">
        <f>SUMIF(G18:G86,"sb(vb)",N18:N86)</f>
        <v>0</v>
      </c>
      <c r="O99" s="523"/>
      <c r="P99" s="1048"/>
      <c r="Q99" s="1048"/>
      <c r="R99" s="1048"/>
      <c r="S99" s="1"/>
    </row>
    <row r="100" spans="1:19" ht="15" customHeight="1" x14ac:dyDescent="0.2">
      <c r="A100" s="1256" t="s">
        <v>169</v>
      </c>
      <c r="B100" s="1257"/>
      <c r="C100" s="1257"/>
      <c r="D100" s="1257"/>
      <c r="E100" s="1257"/>
      <c r="F100" s="1257"/>
      <c r="G100" s="1258"/>
      <c r="H100" s="888">
        <f>SUMIF(G12:G87,"pf",H12:H87)</f>
        <v>480479.61075069511</v>
      </c>
      <c r="I100" s="1574">
        <f>SUMIF(G12:G86,"PF",I12:I86)</f>
        <v>1658.7</v>
      </c>
      <c r="J100" s="1575"/>
      <c r="K100" s="1575"/>
      <c r="L100" s="1576"/>
      <c r="M100" s="950"/>
      <c r="N100" s="912"/>
      <c r="O100" s="523"/>
      <c r="P100" s="1048"/>
      <c r="Q100" s="1048"/>
      <c r="R100" s="1048"/>
      <c r="S100" s="1"/>
    </row>
    <row r="101" spans="1:19" x14ac:dyDescent="0.2">
      <c r="A101" s="1585" t="s">
        <v>64</v>
      </c>
      <c r="B101" s="1586"/>
      <c r="C101" s="1586"/>
      <c r="D101" s="1586"/>
      <c r="E101" s="1586"/>
      <c r="F101" s="1586"/>
      <c r="G101" s="1587"/>
      <c r="H101" s="889">
        <f>SUM(H102:H104)</f>
        <v>2997567.1918443004</v>
      </c>
      <c r="I101" s="1577">
        <f>SUM(I102:L104)</f>
        <v>10350</v>
      </c>
      <c r="J101" s="1578"/>
      <c r="K101" s="1578"/>
      <c r="L101" s="1579"/>
      <c r="M101" s="951">
        <f>SUM(M102:M104)</f>
        <v>6299235.403151066</v>
      </c>
      <c r="N101" s="952">
        <f>SUM(N102:N104)</f>
        <v>1170673.076923077</v>
      </c>
      <c r="O101" s="521"/>
      <c r="P101" s="1047"/>
      <c r="Q101" s="1243"/>
      <c r="R101" s="1243"/>
      <c r="S101" s="1"/>
    </row>
    <row r="102" spans="1:19" x14ac:dyDescent="0.2">
      <c r="A102" s="1244" t="s">
        <v>65</v>
      </c>
      <c r="B102" s="1245"/>
      <c r="C102" s="1245"/>
      <c r="D102" s="1245"/>
      <c r="E102" s="1245"/>
      <c r="F102" s="1245"/>
      <c r="G102" s="1246"/>
      <c r="H102" s="887">
        <f>SUMIF(G12:G87,"es",H12:H87)</f>
        <v>2606580.1668211306</v>
      </c>
      <c r="I102" s="1580">
        <f>SUMIF(G12:G86,"es",I12:I86)</f>
        <v>9000</v>
      </c>
      <c r="J102" s="1581"/>
      <c r="K102" s="1581"/>
      <c r="L102" s="1582"/>
      <c r="M102" s="949">
        <f>SUMIF(G18:G86,"es",M18:M86)</f>
        <v>6082020.3892493052</v>
      </c>
      <c r="N102" s="900">
        <f>SUMIF(G18:G86,"es",N18:N86)</f>
        <v>972109.59221501392</v>
      </c>
      <c r="O102" s="523"/>
      <c r="P102" s="1048"/>
      <c r="Q102" s="1247"/>
      <c r="R102" s="1247"/>
      <c r="S102" s="1"/>
    </row>
    <row r="103" spans="1:19" x14ac:dyDescent="0.2">
      <c r="A103" s="1244" t="s">
        <v>141</v>
      </c>
      <c r="B103" s="1245"/>
      <c r="C103" s="1245"/>
      <c r="D103" s="1245"/>
      <c r="E103" s="1245"/>
      <c r="F103" s="1245"/>
      <c r="G103" s="1246"/>
      <c r="H103" s="887">
        <f>SUMIF(G12:G87,"lrvb",H12:H87)</f>
        <v>0</v>
      </c>
      <c r="I103" s="1580"/>
      <c r="J103" s="1581"/>
      <c r="K103" s="1581"/>
      <c r="L103" s="1582"/>
      <c r="M103" s="949"/>
      <c r="N103" s="900">
        <f>SUMIF(G12:G86,"lrvb",N12:N86)</f>
        <v>198563.48470806301</v>
      </c>
      <c r="O103" s="523"/>
      <c r="P103" s="1048"/>
      <c r="Q103" s="1048"/>
      <c r="R103" s="1048"/>
      <c r="S103" s="1"/>
    </row>
    <row r="104" spans="1:19" x14ac:dyDescent="0.2">
      <c r="A104" s="1244" t="s">
        <v>66</v>
      </c>
      <c r="B104" s="1245"/>
      <c r="C104" s="1245"/>
      <c r="D104" s="1245"/>
      <c r="E104" s="1245"/>
      <c r="F104" s="1245"/>
      <c r="G104" s="1246"/>
      <c r="H104" s="887">
        <f>SUMIF(G12:G87,"kt",H12:H87)</f>
        <v>390987.02502316958</v>
      </c>
      <c r="I104" s="1580">
        <f>SUMIF(G12:G86,"kt",I12:I86)</f>
        <v>1350</v>
      </c>
      <c r="J104" s="1581"/>
      <c r="K104" s="1581"/>
      <c r="L104" s="1582"/>
      <c r="M104" s="949">
        <f>SUMIF(G12:G86,"kt",M12:M86)</f>
        <v>217215.01390176089</v>
      </c>
      <c r="N104" s="900">
        <f>SUMIF(G18:G86,"kt",N18:N86)</f>
        <v>0</v>
      </c>
      <c r="O104" s="523"/>
      <c r="P104" s="1048"/>
      <c r="Q104" s="1048"/>
      <c r="R104" s="1048"/>
      <c r="S104" s="1"/>
    </row>
    <row r="105" spans="1:19" ht="12.75" customHeight="1" thickBot="1" x14ac:dyDescent="0.25">
      <c r="A105" s="1591" t="s">
        <v>22</v>
      </c>
      <c r="B105" s="1592"/>
      <c r="C105" s="1592"/>
      <c r="D105" s="1592"/>
      <c r="E105" s="1592"/>
      <c r="F105" s="1592"/>
      <c r="G105" s="1593"/>
      <c r="H105" s="890">
        <f ca="1">H101+H95</f>
        <v>9518738.4151992574</v>
      </c>
      <c r="I105" s="1588">
        <f>+I95+I101</f>
        <v>31966.3</v>
      </c>
      <c r="J105" s="1589"/>
      <c r="K105" s="1589"/>
      <c r="L105" s="1590"/>
      <c r="M105" s="871">
        <f>M101+M95</f>
        <v>12723499.768303985</v>
      </c>
      <c r="N105" s="937">
        <f>N101+N95</f>
        <v>6478075.7645968487</v>
      </c>
      <c r="O105" s="522"/>
      <c r="P105" s="1045"/>
      <c r="Q105" s="1225"/>
      <c r="R105" s="1225"/>
      <c r="S105" s="1"/>
    </row>
    <row r="106" spans="1:19" ht="12.75" customHeight="1" x14ac:dyDescent="0.2"/>
    <row r="107" spans="1:19" ht="12.75" customHeight="1" x14ac:dyDescent="0.2">
      <c r="O107" s="847"/>
    </row>
    <row r="109" spans="1:19" ht="30.75" customHeight="1" x14ac:dyDescent="0.2"/>
    <row r="114" spans="8:14" ht="12.75" customHeight="1" x14ac:dyDescent="0.2"/>
    <row r="115" spans="8:14" ht="12.75" customHeight="1" x14ac:dyDescent="0.2"/>
    <row r="119" spans="8:14" x14ac:dyDescent="0.2">
      <c r="H119"/>
      <c r="I119"/>
      <c r="J119"/>
      <c r="K119"/>
      <c r="L119"/>
      <c r="M119"/>
      <c r="N119"/>
    </row>
    <row r="120" spans="8:14" x14ac:dyDescent="0.2">
      <c r="H120"/>
      <c r="I120"/>
      <c r="J120"/>
      <c r="K120"/>
      <c r="L120"/>
      <c r="M120"/>
      <c r="N120"/>
    </row>
  </sheetData>
  <mergeCells count="151">
    <mergeCell ref="I99:L99"/>
    <mergeCell ref="A100:G100"/>
    <mergeCell ref="I100:L100"/>
    <mergeCell ref="Q58:Q61"/>
    <mergeCell ref="R58:R61"/>
    <mergeCell ref="C62:C66"/>
    <mergeCell ref="D62:D66"/>
    <mergeCell ref="F62:F66"/>
    <mergeCell ref="E63:E66"/>
    <mergeCell ref="C67:C71"/>
    <mergeCell ref="D93:N93"/>
    <mergeCell ref="A94:G94"/>
    <mergeCell ref="I94:L94"/>
    <mergeCell ref="Q94:R94"/>
    <mergeCell ref="D72:D73"/>
    <mergeCell ref="E72:E73"/>
    <mergeCell ref="D77:D78"/>
    <mergeCell ref="O77:O78"/>
    <mergeCell ref="P77:P78"/>
    <mergeCell ref="P58:P61"/>
    <mergeCell ref="B79:B80"/>
    <mergeCell ref="C79:C80"/>
    <mergeCell ref="D79:D80"/>
    <mergeCell ref="E79:E80"/>
    <mergeCell ref="F79:F80"/>
    <mergeCell ref="O79:O80"/>
    <mergeCell ref="D20:D21"/>
    <mergeCell ref="O20:O21"/>
    <mergeCell ref="O22:O24"/>
    <mergeCell ref="D29:D30"/>
    <mergeCell ref="O44:O45"/>
    <mergeCell ref="C46:G46"/>
    <mergeCell ref="O46:R46"/>
    <mergeCell ref="C47:R47"/>
    <mergeCell ref="C48:C52"/>
    <mergeCell ref="E48:E52"/>
    <mergeCell ref="F48:F52"/>
    <mergeCell ref="A8:R8"/>
    <mergeCell ref="A16:A17"/>
    <mergeCell ref="B16:B17"/>
    <mergeCell ref="C16:C17"/>
    <mergeCell ref="E16:E17"/>
    <mergeCell ref="F16:F17"/>
    <mergeCell ref="C18:G18"/>
    <mergeCell ref="O18:R18"/>
    <mergeCell ref="C19:R19"/>
    <mergeCell ref="A9:R9"/>
    <mergeCell ref="B10:R10"/>
    <mergeCell ref="C11:R11"/>
    <mergeCell ref="D12:D13"/>
    <mergeCell ref="O12:O13"/>
    <mergeCell ref="D14:D15"/>
    <mergeCell ref="D16:D17"/>
    <mergeCell ref="O16:O17"/>
    <mergeCell ref="P16:P17"/>
    <mergeCell ref="Q16:Q17"/>
    <mergeCell ref="R16:R17"/>
    <mergeCell ref="A14:A15"/>
    <mergeCell ref="B14:B15"/>
    <mergeCell ref="C14:C15"/>
    <mergeCell ref="E14:E15"/>
    <mergeCell ref="A1:S1"/>
    <mergeCell ref="A2:S2"/>
    <mergeCell ref="A3:S3"/>
    <mergeCell ref="P4:R4"/>
    <mergeCell ref="D5:D7"/>
    <mergeCell ref="I5:L7"/>
    <mergeCell ref="M5:M7"/>
    <mergeCell ref="N5:N7"/>
    <mergeCell ref="P6:R6"/>
    <mergeCell ref="A5:A7"/>
    <mergeCell ref="B5:B7"/>
    <mergeCell ref="C5:C7"/>
    <mergeCell ref="E5:E7"/>
    <mergeCell ref="F5:F7"/>
    <mergeCell ref="G5:G7"/>
    <mergeCell ref="O6:O7"/>
    <mergeCell ref="H5:H7"/>
    <mergeCell ref="O5:R5"/>
    <mergeCell ref="F14:F15"/>
    <mergeCell ref="A12:A13"/>
    <mergeCell ref="B12:B13"/>
    <mergeCell ref="C12:C13"/>
    <mergeCell ref="E12:E13"/>
    <mergeCell ref="F12:F13"/>
    <mergeCell ref="F67:F71"/>
    <mergeCell ref="E68:E71"/>
    <mergeCell ref="O68:O69"/>
    <mergeCell ref="A31:A35"/>
    <mergeCell ref="B31:B35"/>
    <mergeCell ref="C31:C35"/>
    <mergeCell ref="E36:E39"/>
    <mergeCell ref="D42:D43"/>
    <mergeCell ref="D44:D45"/>
    <mergeCell ref="D53:D55"/>
    <mergeCell ref="O53:O54"/>
    <mergeCell ref="E55:G55"/>
    <mergeCell ref="D56:D61"/>
    <mergeCell ref="E57:E60"/>
    <mergeCell ref="O58:O61"/>
    <mergeCell ref="D31:D32"/>
    <mergeCell ref="O34:O35"/>
    <mergeCell ref="D67:D71"/>
    <mergeCell ref="A103:G103"/>
    <mergeCell ref="I103:L103"/>
    <mergeCell ref="A104:G104"/>
    <mergeCell ref="I104:L104"/>
    <mergeCell ref="A105:G105"/>
    <mergeCell ref="I105:L105"/>
    <mergeCell ref="Q105:R105"/>
    <mergeCell ref="A87:A88"/>
    <mergeCell ref="B87:B88"/>
    <mergeCell ref="C87:C88"/>
    <mergeCell ref="D87:D88"/>
    <mergeCell ref="E87:E88"/>
    <mergeCell ref="F87:F88"/>
    <mergeCell ref="C89:G89"/>
    <mergeCell ref="B90:G90"/>
    <mergeCell ref="B91:G91"/>
    <mergeCell ref="A95:G95"/>
    <mergeCell ref="A96:G96"/>
    <mergeCell ref="A97:G97"/>
    <mergeCell ref="A98:G98"/>
    <mergeCell ref="I95:L95"/>
    <mergeCell ref="Q95:R95"/>
    <mergeCell ref="I96:L96"/>
    <mergeCell ref="A101:G101"/>
    <mergeCell ref="A102:G102"/>
    <mergeCell ref="I102:L102"/>
    <mergeCell ref="C81:G81"/>
    <mergeCell ref="O81:R81"/>
    <mergeCell ref="C82:R82"/>
    <mergeCell ref="D83:D84"/>
    <mergeCell ref="O83:O84"/>
    <mergeCell ref="Q83:Q84"/>
    <mergeCell ref="R83:R84"/>
    <mergeCell ref="B85:B86"/>
    <mergeCell ref="C85:C86"/>
    <mergeCell ref="D85:D86"/>
    <mergeCell ref="E85:E86"/>
    <mergeCell ref="F85:F86"/>
    <mergeCell ref="O85:O86"/>
    <mergeCell ref="Q102:R102"/>
    <mergeCell ref="I101:L101"/>
    <mergeCell ref="Q101:R101"/>
    <mergeCell ref="Q96:R96"/>
    <mergeCell ref="I97:L97"/>
    <mergeCell ref="Q97:R97"/>
    <mergeCell ref="I98:L98"/>
    <mergeCell ref="Q98:R98"/>
    <mergeCell ref="A99:G99"/>
  </mergeCells>
  <printOptions horizontalCentered="1"/>
  <pageMargins left="0" right="0" top="0.39370078740157483" bottom="0.39370078740157483" header="0.31496062992125984" footer="0.31496062992125984"/>
  <pageSetup paperSize="9" scale="77" orientation="portrait" r:id="rId1"/>
  <rowBreaks count="1" manualBreakCount="1">
    <brk id="86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workbookViewId="0">
      <selection sqref="A1:O1"/>
    </sheetView>
  </sheetViews>
  <sheetFormatPr defaultRowHeight="12.75" x14ac:dyDescent="0.2"/>
  <cols>
    <col min="1" max="3" width="3" style="1" customWidth="1"/>
    <col min="4" max="4" width="29.140625" style="1" customWidth="1"/>
    <col min="5" max="6" width="3.140625" style="1" customWidth="1"/>
    <col min="7" max="7" width="7.5703125" style="1" customWidth="1"/>
    <col min="8" max="8" width="8.85546875" style="1043" customWidth="1"/>
    <col min="9" max="9" width="8.7109375" style="146" customWidth="1"/>
    <col min="10" max="10" width="8.42578125" style="146" customWidth="1"/>
    <col min="11" max="11" width="29.28515625" style="1" customWidth="1"/>
    <col min="12" max="14" width="4.85546875" style="1" customWidth="1"/>
    <col min="15" max="16384" width="9.140625" style="1"/>
  </cols>
  <sheetData>
    <row r="1" spans="1:15" x14ac:dyDescent="0.2">
      <c r="A1" s="1414" t="s">
        <v>131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</row>
    <row r="2" spans="1:15" x14ac:dyDescent="0.2">
      <c r="A2" s="1415" t="s">
        <v>81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</row>
    <row r="3" spans="1:15" x14ac:dyDescent="0.2">
      <c r="A3" s="1416" t="s">
        <v>68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</row>
    <row r="4" spans="1:15" ht="13.5" thickBot="1" x14ac:dyDescent="0.25">
      <c r="A4" s="955"/>
      <c r="B4" s="955"/>
      <c r="C4" s="955"/>
      <c r="D4" s="955"/>
      <c r="E4" s="955"/>
      <c r="F4" s="955"/>
      <c r="G4" s="955"/>
      <c r="H4" s="998"/>
      <c r="I4" s="998"/>
      <c r="J4" s="998"/>
      <c r="K4" s="517"/>
      <c r="L4" s="1417" t="s">
        <v>0</v>
      </c>
      <c r="M4" s="1417"/>
      <c r="N4" s="1417"/>
      <c r="O4" s="955"/>
    </row>
    <row r="5" spans="1:15" ht="12.75" customHeight="1" x14ac:dyDescent="0.2">
      <c r="A5" s="1481" t="s">
        <v>1</v>
      </c>
      <c r="B5" s="1484" t="s">
        <v>2</v>
      </c>
      <c r="C5" s="1484" t="s">
        <v>3</v>
      </c>
      <c r="D5" s="1424" t="s">
        <v>4</v>
      </c>
      <c r="E5" s="1427" t="s">
        <v>5</v>
      </c>
      <c r="F5" s="1458" t="s">
        <v>6</v>
      </c>
      <c r="G5" s="1461" t="s">
        <v>7</v>
      </c>
      <c r="H5" s="1648" t="s">
        <v>180</v>
      </c>
      <c r="I5" s="1651" t="s">
        <v>87</v>
      </c>
      <c r="J5" s="1651" t="s">
        <v>132</v>
      </c>
      <c r="K5" s="1453" t="s">
        <v>8</v>
      </c>
      <c r="L5" s="1454"/>
      <c r="M5" s="1454"/>
      <c r="N5" s="1455"/>
    </row>
    <row r="6" spans="1:15" x14ac:dyDescent="0.2">
      <c r="A6" s="1482"/>
      <c r="B6" s="1485"/>
      <c r="C6" s="1485"/>
      <c r="D6" s="1425"/>
      <c r="E6" s="1428"/>
      <c r="F6" s="1459"/>
      <c r="G6" s="1462"/>
      <c r="H6" s="1649"/>
      <c r="I6" s="1652"/>
      <c r="J6" s="1652"/>
      <c r="K6" s="1433" t="s">
        <v>4</v>
      </c>
      <c r="L6" s="1435" t="s">
        <v>12</v>
      </c>
      <c r="M6" s="1436"/>
      <c r="N6" s="1437"/>
    </row>
    <row r="7" spans="1:15" ht="116.25" customHeight="1" thickBot="1" x14ac:dyDescent="0.25">
      <c r="A7" s="1483"/>
      <c r="B7" s="1486"/>
      <c r="C7" s="1486"/>
      <c r="D7" s="1426"/>
      <c r="E7" s="1429"/>
      <c r="F7" s="1460"/>
      <c r="G7" s="1463"/>
      <c r="H7" s="1650"/>
      <c r="I7" s="1653"/>
      <c r="J7" s="1653"/>
      <c r="K7" s="1434"/>
      <c r="L7" s="2" t="s">
        <v>15</v>
      </c>
      <c r="M7" s="2" t="s">
        <v>91</v>
      </c>
      <c r="N7" s="3" t="s">
        <v>133</v>
      </c>
    </row>
    <row r="8" spans="1:15" ht="13.5" thickBot="1" x14ac:dyDescent="0.25">
      <c r="A8" s="1438" t="s">
        <v>16</v>
      </c>
      <c r="B8" s="1439"/>
      <c r="C8" s="1439"/>
      <c r="D8" s="1439"/>
      <c r="E8" s="1439"/>
      <c r="F8" s="1439"/>
      <c r="G8" s="1439"/>
      <c r="H8" s="1439"/>
      <c r="I8" s="1439"/>
      <c r="J8" s="1439"/>
      <c r="K8" s="1439"/>
      <c r="L8" s="1439"/>
      <c r="M8" s="1439"/>
      <c r="N8" s="1440"/>
    </row>
    <row r="9" spans="1:15" ht="13.5" thickBot="1" x14ac:dyDescent="0.25">
      <c r="A9" s="1441" t="s">
        <v>17</v>
      </c>
      <c r="B9" s="1442"/>
      <c r="C9" s="1442"/>
      <c r="D9" s="1442"/>
      <c r="E9" s="1442"/>
      <c r="F9" s="1442"/>
      <c r="G9" s="1442"/>
      <c r="H9" s="1442"/>
      <c r="I9" s="1442"/>
      <c r="J9" s="1442"/>
      <c r="K9" s="1442"/>
      <c r="L9" s="1442"/>
      <c r="M9" s="1442"/>
      <c r="N9" s="1443"/>
    </row>
    <row r="10" spans="1:15" ht="14.25" customHeight="1" thickBot="1" x14ac:dyDescent="0.25">
      <c r="A10" s="573" t="s">
        <v>18</v>
      </c>
      <c r="B10" s="1444" t="s">
        <v>77</v>
      </c>
      <c r="C10" s="1444"/>
      <c r="D10" s="1444"/>
      <c r="E10" s="1444"/>
      <c r="F10" s="1444"/>
      <c r="G10" s="1444"/>
      <c r="H10" s="1444"/>
      <c r="I10" s="1445"/>
      <c r="J10" s="1445"/>
      <c r="K10" s="1445"/>
      <c r="L10" s="1445"/>
      <c r="M10" s="1445"/>
      <c r="N10" s="1446"/>
    </row>
    <row r="11" spans="1:15" ht="13.5" thickBot="1" x14ac:dyDescent="0.25">
      <c r="A11" s="574" t="s">
        <v>18</v>
      </c>
      <c r="B11" s="575" t="s">
        <v>18</v>
      </c>
      <c r="C11" s="1447" t="s">
        <v>88</v>
      </c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9"/>
    </row>
    <row r="12" spans="1:15" ht="34.5" customHeight="1" x14ac:dyDescent="0.2">
      <c r="A12" s="1490" t="s">
        <v>18</v>
      </c>
      <c r="B12" s="1492" t="s">
        <v>18</v>
      </c>
      <c r="C12" s="1494" t="s">
        <v>18</v>
      </c>
      <c r="D12" s="1399" t="s">
        <v>80</v>
      </c>
      <c r="E12" s="1411" t="s">
        <v>110</v>
      </c>
      <c r="F12" s="1409" t="s">
        <v>20</v>
      </c>
      <c r="G12" s="115" t="s">
        <v>21</v>
      </c>
      <c r="H12" s="999">
        <v>150</v>
      </c>
      <c r="I12" s="135">
        <v>40</v>
      </c>
      <c r="J12" s="135">
        <v>40</v>
      </c>
      <c r="K12" s="1496" t="s">
        <v>173</v>
      </c>
      <c r="L12" s="992">
        <v>1</v>
      </c>
      <c r="M12" s="994">
        <v>4</v>
      </c>
      <c r="N12" s="996">
        <v>4</v>
      </c>
    </row>
    <row r="13" spans="1:15" ht="13.5" thickBot="1" x14ac:dyDescent="0.25">
      <c r="A13" s="1491"/>
      <c r="B13" s="1493"/>
      <c r="C13" s="1495"/>
      <c r="D13" s="1400"/>
      <c r="E13" s="1412"/>
      <c r="F13" s="1410"/>
      <c r="G13" s="207" t="s">
        <v>22</v>
      </c>
      <c r="H13" s="640">
        <f>H12</f>
        <v>150</v>
      </c>
      <c r="I13" s="496">
        <f>+I12</f>
        <v>40</v>
      </c>
      <c r="J13" s="238">
        <f>+J12</f>
        <v>40</v>
      </c>
      <c r="K13" s="1497"/>
      <c r="L13" s="477"/>
      <c r="M13" s="497"/>
      <c r="N13" s="498"/>
    </row>
    <row r="14" spans="1:15" ht="41.25" customHeight="1" x14ac:dyDescent="0.2">
      <c r="A14" s="1490" t="s">
        <v>18</v>
      </c>
      <c r="B14" s="1492" t="s">
        <v>18</v>
      </c>
      <c r="C14" s="1494" t="s">
        <v>23</v>
      </c>
      <c r="D14" s="1399" t="s">
        <v>92</v>
      </c>
      <c r="E14" s="1411"/>
      <c r="F14" s="1409" t="s">
        <v>20</v>
      </c>
      <c r="G14" s="152" t="s">
        <v>21</v>
      </c>
      <c r="H14" s="1000">
        <v>10</v>
      </c>
      <c r="I14" s="134">
        <v>13</v>
      </c>
      <c r="J14" s="135">
        <v>13</v>
      </c>
      <c r="K14" s="478" t="s">
        <v>94</v>
      </c>
      <c r="L14" s="992">
        <v>10</v>
      </c>
      <c r="M14" s="994">
        <v>12</v>
      </c>
      <c r="N14" s="996">
        <v>12</v>
      </c>
    </row>
    <row r="15" spans="1:15" ht="13.5" thickBot="1" x14ac:dyDescent="0.25">
      <c r="A15" s="1491"/>
      <c r="B15" s="1493"/>
      <c r="C15" s="1495"/>
      <c r="D15" s="1400"/>
      <c r="E15" s="1412"/>
      <c r="F15" s="1410"/>
      <c r="G15" s="366" t="s">
        <v>22</v>
      </c>
      <c r="H15" s="213">
        <f>H14</f>
        <v>10</v>
      </c>
      <c r="I15" s="499">
        <f>+I14</f>
        <v>13</v>
      </c>
      <c r="J15" s="500">
        <f>+J14</f>
        <v>13</v>
      </c>
      <c r="K15" s="501"/>
      <c r="L15" s="993"/>
      <c r="M15" s="995"/>
      <c r="N15" s="997"/>
    </row>
    <row r="16" spans="1:15" ht="42" customHeight="1" x14ac:dyDescent="0.2">
      <c r="A16" s="1490" t="s">
        <v>18</v>
      </c>
      <c r="B16" s="1492" t="s">
        <v>18</v>
      </c>
      <c r="C16" s="1494" t="s">
        <v>26</v>
      </c>
      <c r="D16" s="1399" t="s">
        <v>95</v>
      </c>
      <c r="E16" s="1401"/>
      <c r="F16" s="1301" t="s">
        <v>20</v>
      </c>
      <c r="G16" s="115" t="s">
        <v>21</v>
      </c>
      <c r="H16" s="999">
        <v>23</v>
      </c>
      <c r="I16" s="135">
        <v>30</v>
      </c>
      <c r="J16" s="135">
        <v>40</v>
      </c>
      <c r="K16" s="1496" t="s">
        <v>93</v>
      </c>
      <c r="L16" s="1503">
        <v>3</v>
      </c>
      <c r="M16" s="1505">
        <v>5</v>
      </c>
      <c r="N16" s="1507">
        <v>5</v>
      </c>
    </row>
    <row r="17" spans="1:15" ht="13.5" thickBot="1" x14ac:dyDescent="0.25">
      <c r="A17" s="1491"/>
      <c r="B17" s="1493"/>
      <c r="C17" s="1495"/>
      <c r="D17" s="1400"/>
      <c r="E17" s="1402"/>
      <c r="F17" s="1302"/>
      <c r="G17" s="973" t="s">
        <v>22</v>
      </c>
      <c r="H17" s="503">
        <f>H16</f>
        <v>23</v>
      </c>
      <c r="I17" s="238">
        <f>+I16</f>
        <v>30</v>
      </c>
      <c r="J17" s="238">
        <f>+J16</f>
        <v>40</v>
      </c>
      <c r="K17" s="1497"/>
      <c r="L17" s="1504"/>
      <c r="M17" s="1506"/>
      <c r="N17" s="1508"/>
    </row>
    <row r="18" spans="1:15" ht="13.5" thickBot="1" x14ac:dyDescent="0.25">
      <c r="A18" s="576" t="s">
        <v>18</v>
      </c>
      <c r="B18" s="577" t="s">
        <v>18</v>
      </c>
      <c r="C18" s="1387" t="s">
        <v>27</v>
      </c>
      <c r="D18" s="1277"/>
      <c r="E18" s="1277"/>
      <c r="F18" s="1277"/>
      <c r="G18" s="1327"/>
      <c r="H18" s="1001">
        <f>H17+H15+H13</f>
        <v>183</v>
      </c>
      <c r="I18" s="502">
        <f t="shared" ref="I18" si="0">I17+I15+I13</f>
        <v>83</v>
      </c>
      <c r="J18" s="502">
        <f>J17+J15+J13</f>
        <v>93</v>
      </c>
      <c r="K18" s="1509"/>
      <c r="L18" s="1510"/>
      <c r="M18" s="1510"/>
      <c r="N18" s="1511"/>
    </row>
    <row r="19" spans="1:15" ht="13.5" thickBot="1" x14ac:dyDescent="0.25">
      <c r="A19" s="576" t="s">
        <v>18</v>
      </c>
      <c r="B19" s="578" t="s">
        <v>23</v>
      </c>
      <c r="C19" s="1383" t="s">
        <v>76</v>
      </c>
      <c r="D19" s="1384"/>
      <c r="E19" s="1384"/>
      <c r="F19" s="1384"/>
      <c r="G19" s="1385"/>
      <c r="H19" s="1385"/>
      <c r="I19" s="1384"/>
      <c r="J19" s="1384"/>
      <c r="K19" s="1384"/>
      <c r="L19" s="1384"/>
      <c r="M19" s="1384"/>
      <c r="N19" s="1386"/>
    </row>
    <row r="20" spans="1:15" x14ac:dyDescent="0.2">
      <c r="A20" s="579" t="s">
        <v>18</v>
      </c>
      <c r="B20" s="981" t="s">
        <v>23</v>
      </c>
      <c r="C20" s="983" t="s">
        <v>18</v>
      </c>
      <c r="D20" s="1498" t="s">
        <v>70</v>
      </c>
      <c r="E20" s="164"/>
      <c r="F20" s="194">
        <v>2</v>
      </c>
      <c r="G20" s="368"/>
      <c r="H20" s="1002"/>
      <c r="I20" s="1003"/>
      <c r="J20" s="1003"/>
      <c r="K20" s="1284" t="s">
        <v>28</v>
      </c>
      <c r="L20" s="296">
        <v>3500</v>
      </c>
      <c r="M20" s="296">
        <v>3500</v>
      </c>
      <c r="N20" s="297">
        <v>3500</v>
      </c>
      <c r="O20" s="19"/>
    </row>
    <row r="21" spans="1:15" x14ac:dyDescent="0.2">
      <c r="A21" s="580"/>
      <c r="B21" s="581"/>
      <c r="C21" s="652"/>
      <c r="D21" s="1499"/>
      <c r="E21" s="166"/>
      <c r="F21" s="168"/>
      <c r="G21" s="384" t="s">
        <v>29</v>
      </c>
      <c r="H21" s="1004">
        <v>770.1</v>
      </c>
      <c r="I21" s="133">
        <v>770.1</v>
      </c>
      <c r="J21" s="133">
        <v>770.1</v>
      </c>
      <c r="K21" s="1304"/>
      <c r="L21" s="504"/>
      <c r="M21" s="504"/>
      <c r="N21" s="505"/>
      <c r="O21" s="149"/>
    </row>
    <row r="22" spans="1:15" ht="16.5" customHeight="1" x14ac:dyDescent="0.2">
      <c r="A22" s="580"/>
      <c r="B22" s="581"/>
      <c r="C22" s="652"/>
      <c r="D22" s="978" t="s">
        <v>82</v>
      </c>
      <c r="E22" s="166"/>
      <c r="F22" s="168"/>
      <c r="G22" s="671" t="s">
        <v>21</v>
      </c>
      <c r="H22" s="1005">
        <v>11246.1</v>
      </c>
      <c r="I22" s="470">
        <f>11147.5+250</f>
        <v>11397.5</v>
      </c>
      <c r="J22" s="470">
        <v>11147.5</v>
      </c>
      <c r="K22" s="1500" t="s">
        <v>30</v>
      </c>
      <c r="L22" s="509">
        <v>13.5</v>
      </c>
      <c r="M22" s="625">
        <v>14</v>
      </c>
      <c r="N22" s="674">
        <v>14</v>
      </c>
      <c r="O22" s="149"/>
    </row>
    <row r="23" spans="1:15" ht="16.5" customHeight="1" x14ac:dyDescent="0.2">
      <c r="A23" s="580"/>
      <c r="B23" s="581"/>
      <c r="C23" s="652"/>
      <c r="D23" s="978" t="s">
        <v>83</v>
      </c>
      <c r="E23" s="166"/>
      <c r="F23" s="168"/>
      <c r="G23" s="116"/>
      <c r="H23" s="378"/>
      <c r="I23" s="1006"/>
      <c r="J23" s="1006"/>
      <c r="K23" s="1413"/>
      <c r="L23" s="513"/>
      <c r="M23" s="513"/>
      <c r="N23" s="514"/>
      <c r="O23" s="19"/>
    </row>
    <row r="24" spans="1:15" ht="29.25" customHeight="1" x14ac:dyDescent="0.2">
      <c r="A24" s="580"/>
      <c r="B24" s="581"/>
      <c r="C24" s="652"/>
      <c r="D24" s="978" t="s">
        <v>84</v>
      </c>
      <c r="E24" s="166"/>
      <c r="F24" s="168"/>
      <c r="G24" s="116"/>
      <c r="H24" s="378"/>
      <c r="I24" s="1006"/>
      <c r="J24" s="1006"/>
      <c r="K24" s="1413"/>
      <c r="L24" s="504"/>
      <c r="M24" s="34"/>
      <c r="N24" s="514"/>
      <c r="O24" s="19"/>
    </row>
    <row r="25" spans="1:15" ht="27.75" customHeight="1" x14ac:dyDescent="0.2">
      <c r="A25" s="580"/>
      <c r="B25" s="581"/>
      <c r="C25" s="652"/>
      <c r="D25" s="978" t="s">
        <v>85</v>
      </c>
      <c r="E25" s="166"/>
      <c r="F25" s="168"/>
      <c r="G25" s="116"/>
      <c r="H25" s="378"/>
      <c r="I25" s="1006"/>
      <c r="J25" s="1006"/>
      <c r="K25" s="480" t="s">
        <v>163</v>
      </c>
      <c r="L25" s="699"/>
      <c r="M25" s="479">
        <v>1</v>
      </c>
      <c r="N25" s="515"/>
      <c r="O25" s="19"/>
    </row>
    <row r="26" spans="1:15" ht="43.5" customHeight="1" x14ac:dyDescent="0.2">
      <c r="A26" s="580"/>
      <c r="B26" s="581"/>
      <c r="C26" s="652"/>
      <c r="D26" s="675" t="s">
        <v>147</v>
      </c>
      <c r="E26" s="662"/>
      <c r="F26" s="168"/>
      <c r="G26" s="116"/>
      <c r="H26" s="378"/>
      <c r="I26" s="1006"/>
      <c r="J26" s="1006"/>
      <c r="K26" s="672" t="s">
        <v>177</v>
      </c>
      <c r="L26" s="673">
        <v>100</v>
      </c>
      <c r="M26" s="34"/>
      <c r="N26" s="514"/>
      <c r="O26" s="19"/>
    </row>
    <row r="27" spans="1:15" ht="44.25" customHeight="1" x14ac:dyDescent="0.2">
      <c r="A27" s="580"/>
      <c r="B27" s="581"/>
      <c r="C27" s="652"/>
      <c r="D27" s="475" t="s">
        <v>31</v>
      </c>
      <c r="E27" s="166"/>
      <c r="F27" s="168"/>
      <c r="G27" s="390"/>
      <c r="H27" s="371"/>
      <c r="I27" s="1006"/>
      <c r="J27" s="1006"/>
      <c r="K27" s="626" t="s">
        <v>178</v>
      </c>
      <c r="L27" s="621">
        <v>100</v>
      </c>
      <c r="M27" s="506"/>
      <c r="N27" s="507"/>
    </row>
    <row r="28" spans="1:15" ht="29.25" customHeight="1" x14ac:dyDescent="0.2">
      <c r="A28" s="580"/>
      <c r="B28" s="581"/>
      <c r="C28" s="652"/>
      <c r="D28" s="663" t="s">
        <v>162</v>
      </c>
      <c r="E28" s="662"/>
      <c r="F28" s="168"/>
      <c r="G28" s="390"/>
      <c r="H28" s="371"/>
      <c r="I28" s="294"/>
      <c r="J28" s="294"/>
      <c r="K28" s="626" t="s">
        <v>160</v>
      </c>
      <c r="L28" s="621">
        <v>6</v>
      </c>
      <c r="M28" s="571"/>
      <c r="N28" s="629"/>
    </row>
    <row r="29" spans="1:15" ht="30.75" customHeight="1" x14ac:dyDescent="0.2">
      <c r="A29" s="580"/>
      <c r="B29" s="581"/>
      <c r="C29" s="652"/>
      <c r="D29" s="1501" t="s">
        <v>159</v>
      </c>
      <c r="E29" s="662"/>
      <c r="F29" s="168"/>
      <c r="G29" s="354"/>
      <c r="H29" s="371"/>
      <c r="I29" s="294"/>
      <c r="J29" s="294"/>
      <c r="K29" s="626" t="s">
        <v>161</v>
      </c>
      <c r="L29" s="634">
        <v>18065</v>
      </c>
      <c r="M29" s="634">
        <v>18065</v>
      </c>
      <c r="N29" s="635">
        <v>18065</v>
      </c>
    </row>
    <row r="30" spans="1:15" ht="13.5" thickBot="1" x14ac:dyDescent="0.25">
      <c r="A30" s="582"/>
      <c r="B30" s="982"/>
      <c r="C30" s="591"/>
      <c r="D30" s="1502"/>
      <c r="E30" s="169"/>
      <c r="F30" s="171"/>
      <c r="G30" s="236" t="s">
        <v>22</v>
      </c>
      <c r="H30" s="252">
        <f>SUM(H21:H29)</f>
        <v>12016.2</v>
      </c>
      <c r="I30" s="503">
        <f t="shared" ref="I30:J30" si="1">SUM(I21:I29)</f>
        <v>12167.6</v>
      </c>
      <c r="J30" s="503">
        <f t="shared" si="1"/>
        <v>11917.6</v>
      </c>
      <c r="K30" s="627"/>
      <c r="L30" s="628"/>
      <c r="M30" s="968"/>
      <c r="N30" s="535"/>
      <c r="O30" s="19"/>
    </row>
    <row r="31" spans="1:15" ht="31.5" customHeight="1" x14ac:dyDescent="0.2">
      <c r="A31" s="1636" t="s">
        <v>18</v>
      </c>
      <c r="B31" s="1639" t="s">
        <v>23</v>
      </c>
      <c r="C31" s="1642" t="s">
        <v>23</v>
      </c>
      <c r="D31" s="664" t="s">
        <v>72</v>
      </c>
      <c r="E31" s="1645"/>
      <c r="F31" s="1364" t="s">
        <v>20</v>
      </c>
      <c r="G31" s="153"/>
      <c r="H31" s="371"/>
      <c r="I31" s="536"/>
      <c r="J31" s="536"/>
      <c r="K31" s="537"/>
      <c r="L31" s="538"/>
      <c r="M31" s="539"/>
      <c r="N31" s="540"/>
    </row>
    <row r="32" spans="1:15" ht="29.25" customHeight="1" x14ac:dyDescent="0.2">
      <c r="A32" s="1637"/>
      <c r="B32" s="1640"/>
      <c r="C32" s="1643"/>
      <c r="D32" s="665" t="s">
        <v>86</v>
      </c>
      <c r="E32" s="1646"/>
      <c r="F32" s="1364"/>
      <c r="G32" s="154" t="s">
        <v>21</v>
      </c>
      <c r="H32" s="1007">
        <v>200</v>
      </c>
      <c r="I32" s="508">
        <v>200</v>
      </c>
      <c r="J32" s="508">
        <f>+I32</f>
        <v>200</v>
      </c>
      <c r="K32" s="480" t="s">
        <v>79</v>
      </c>
      <c r="L32" s="481">
        <v>60</v>
      </c>
      <c r="M32" s="479">
        <v>60</v>
      </c>
      <c r="N32" s="507">
        <v>60</v>
      </c>
    </row>
    <row r="33" spans="1:14" x14ac:dyDescent="0.2">
      <c r="A33" s="1637"/>
      <c r="B33" s="1640"/>
      <c r="C33" s="1643"/>
      <c r="D33" s="1631" t="s">
        <v>71</v>
      </c>
      <c r="E33" s="1646"/>
      <c r="F33" s="1364"/>
      <c r="G33" s="155" t="s">
        <v>21</v>
      </c>
      <c r="H33" s="1008">
        <v>700</v>
      </c>
      <c r="I33" s="508">
        <v>700</v>
      </c>
      <c r="J33" s="508">
        <v>700</v>
      </c>
      <c r="K33" s="1500" t="s">
        <v>79</v>
      </c>
      <c r="L33" s="482">
        <v>195</v>
      </c>
      <c r="M33" s="509">
        <v>200</v>
      </c>
      <c r="N33" s="510">
        <v>200</v>
      </c>
    </row>
    <row r="34" spans="1:14" ht="13.5" thickBot="1" x14ac:dyDescent="0.25">
      <c r="A34" s="1638"/>
      <c r="B34" s="1641"/>
      <c r="C34" s="1644"/>
      <c r="D34" s="1632"/>
      <c r="E34" s="1647"/>
      <c r="F34" s="1365"/>
      <c r="G34" s="973" t="s">
        <v>22</v>
      </c>
      <c r="H34" s="240">
        <f>SUM(H32:H33)</f>
        <v>900</v>
      </c>
      <c r="I34" s="211">
        <f>SUM(I32:I33)</f>
        <v>900</v>
      </c>
      <c r="J34" s="211">
        <f>+J32+J33</f>
        <v>900</v>
      </c>
      <c r="K34" s="1633"/>
      <c r="L34" s="989"/>
      <c r="M34" s="28"/>
      <c r="N34" s="29"/>
    </row>
    <row r="35" spans="1:14" ht="27.75" customHeight="1" x14ac:dyDescent="0.2">
      <c r="A35" s="583" t="s">
        <v>18</v>
      </c>
      <c r="B35" s="584" t="s">
        <v>23</v>
      </c>
      <c r="C35" s="585" t="s">
        <v>26</v>
      </c>
      <c r="D35" s="666" t="s">
        <v>32</v>
      </c>
      <c r="E35" s="1634" t="s">
        <v>110</v>
      </c>
      <c r="F35" s="958" t="s">
        <v>20</v>
      </c>
      <c r="G35" s="115" t="s">
        <v>21</v>
      </c>
      <c r="H35" s="1009">
        <v>194.4</v>
      </c>
      <c r="I35" s="181">
        <v>216</v>
      </c>
      <c r="J35" s="136">
        <v>236</v>
      </c>
      <c r="K35" s="13" t="s">
        <v>107</v>
      </c>
      <c r="L35" s="14">
        <v>55</v>
      </c>
      <c r="M35" s="14">
        <v>55</v>
      </c>
      <c r="N35" s="541">
        <v>55</v>
      </c>
    </row>
    <row r="36" spans="1:14" ht="27.75" customHeight="1" x14ac:dyDescent="0.2">
      <c r="A36" s="586"/>
      <c r="B36" s="587"/>
      <c r="C36" s="588"/>
      <c r="D36" s="667" t="s">
        <v>33</v>
      </c>
      <c r="E36" s="1635"/>
      <c r="F36" s="556"/>
      <c r="G36" s="116"/>
      <c r="H36" s="378"/>
      <c r="I36" s="1010"/>
      <c r="J36" s="1011"/>
      <c r="K36" s="676"/>
      <c r="L36" s="677"/>
      <c r="M36" s="4"/>
      <c r="N36" s="678"/>
    </row>
    <row r="37" spans="1:14" ht="28.5" customHeight="1" x14ac:dyDescent="0.2">
      <c r="A37" s="586"/>
      <c r="B37" s="587"/>
      <c r="C37" s="588"/>
      <c r="D37" s="667" t="s">
        <v>35</v>
      </c>
      <c r="E37" s="1635"/>
      <c r="F37" s="556"/>
      <c r="G37" s="116"/>
      <c r="H37" s="378"/>
      <c r="I37" s="1010"/>
      <c r="J37" s="1011"/>
      <c r="K37" s="15"/>
      <c r="L37" s="960"/>
      <c r="M37" s="960"/>
      <c r="N37" s="20"/>
    </row>
    <row r="38" spans="1:14" ht="41.25" customHeight="1" x14ac:dyDescent="0.2">
      <c r="A38" s="586"/>
      <c r="B38" s="587"/>
      <c r="C38" s="588"/>
      <c r="D38" s="667" t="s">
        <v>38</v>
      </c>
      <c r="E38" s="325"/>
      <c r="F38" s="556"/>
      <c r="G38" s="116"/>
      <c r="H38" s="378"/>
      <c r="I38" s="1010"/>
      <c r="J38" s="1011"/>
      <c r="K38" s="15"/>
      <c r="L38" s="960"/>
      <c r="M38" s="960"/>
      <c r="N38" s="20"/>
    </row>
    <row r="39" spans="1:14" ht="15" customHeight="1" x14ac:dyDescent="0.2">
      <c r="A39" s="586"/>
      <c r="B39" s="587"/>
      <c r="C39" s="588"/>
      <c r="D39" s="667" t="s">
        <v>34</v>
      </c>
      <c r="E39" s="325"/>
      <c r="F39" s="556"/>
      <c r="G39" s="116"/>
      <c r="H39" s="378"/>
      <c r="I39" s="1010"/>
      <c r="J39" s="1011"/>
      <c r="K39" s="15"/>
      <c r="L39" s="960"/>
      <c r="M39" s="960"/>
      <c r="N39" s="20"/>
    </row>
    <row r="40" spans="1:14" ht="41.25" customHeight="1" x14ac:dyDescent="0.2">
      <c r="A40" s="586"/>
      <c r="B40" s="587"/>
      <c r="C40" s="588"/>
      <c r="D40" s="1518" t="s">
        <v>151</v>
      </c>
      <c r="E40" s="325"/>
      <c r="F40" s="556"/>
      <c r="G40" s="288"/>
      <c r="H40" s="1012"/>
      <c r="I40" s="558"/>
      <c r="J40" s="559"/>
      <c r="K40" s="15"/>
      <c r="L40" s="960"/>
      <c r="M40" s="960"/>
      <c r="N40" s="20"/>
    </row>
    <row r="41" spans="1:14" ht="13.5" thickBot="1" x14ac:dyDescent="0.25">
      <c r="A41" s="589"/>
      <c r="B41" s="590"/>
      <c r="C41" s="591"/>
      <c r="D41" s="1502"/>
      <c r="E41" s="472"/>
      <c r="F41" s="557"/>
      <c r="G41" s="239" t="s">
        <v>22</v>
      </c>
      <c r="H41" s="1013">
        <f>SUM(H35:H40)</f>
        <v>194.4</v>
      </c>
      <c r="I41" s="503">
        <f>SUM(I35:I38)</f>
        <v>216</v>
      </c>
      <c r="J41" s="473">
        <f>SUM(J35:J38)</f>
        <v>236</v>
      </c>
      <c r="K41" s="542"/>
      <c r="L41" s="961"/>
      <c r="M41" s="968"/>
      <c r="N41" s="188"/>
    </row>
    <row r="42" spans="1:14" ht="31.5" customHeight="1" x14ac:dyDescent="0.2">
      <c r="A42" s="592" t="s">
        <v>18</v>
      </c>
      <c r="B42" s="587" t="s">
        <v>23</v>
      </c>
      <c r="C42" s="593" t="s">
        <v>39</v>
      </c>
      <c r="D42" s="1519" t="s">
        <v>73</v>
      </c>
      <c r="E42" s="126"/>
      <c r="F42" s="958" t="s">
        <v>20</v>
      </c>
      <c r="G42" s="115" t="s">
        <v>21</v>
      </c>
      <c r="H42" s="1009">
        <v>1344.7</v>
      </c>
      <c r="I42" s="511">
        <v>1344.7</v>
      </c>
      <c r="J42" s="511">
        <v>1344.7</v>
      </c>
      <c r="K42" s="1284" t="s">
        <v>90</v>
      </c>
      <c r="L42" s="289">
        <v>1600</v>
      </c>
      <c r="M42" s="290">
        <v>1600</v>
      </c>
      <c r="N42" s="291">
        <v>1600</v>
      </c>
    </row>
    <row r="43" spans="1:14" ht="13.5" thickBot="1" x14ac:dyDescent="0.25">
      <c r="A43" s="592"/>
      <c r="B43" s="587"/>
      <c r="C43" s="593"/>
      <c r="D43" s="1518"/>
      <c r="E43" s="126"/>
      <c r="F43" s="959"/>
      <c r="G43" s="207" t="s">
        <v>22</v>
      </c>
      <c r="H43" s="503">
        <f>H42</f>
        <v>1344.7</v>
      </c>
      <c r="I43" s="213">
        <f>+I42</f>
        <v>1344.7</v>
      </c>
      <c r="J43" s="213">
        <f>+J42</f>
        <v>1344.7</v>
      </c>
      <c r="K43" s="1285"/>
      <c r="L43" s="961"/>
      <c r="M43" s="968"/>
      <c r="N43" s="188"/>
    </row>
    <row r="44" spans="1:14" ht="13.5" thickBot="1" x14ac:dyDescent="0.25">
      <c r="A44" s="576" t="s">
        <v>18</v>
      </c>
      <c r="B44" s="578" t="s">
        <v>23</v>
      </c>
      <c r="C44" s="1387" t="s">
        <v>27</v>
      </c>
      <c r="D44" s="1277"/>
      <c r="E44" s="1277"/>
      <c r="F44" s="1277"/>
      <c r="G44" s="1277"/>
      <c r="H44" s="1001">
        <f>H43+H41+H34+H30</f>
        <v>14455.300000000001</v>
      </c>
      <c r="I44" s="962">
        <f t="shared" ref="I44:J44" si="2">I43+I41+I34+I30</f>
        <v>14628.3</v>
      </c>
      <c r="J44" s="1014">
        <f t="shared" si="2"/>
        <v>14398.3</v>
      </c>
      <c r="K44" s="1328"/>
      <c r="L44" s="1329"/>
      <c r="M44" s="1329"/>
      <c r="N44" s="1330"/>
    </row>
    <row r="45" spans="1:14" ht="13.5" thickBot="1" x14ac:dyDescent="0.25">
      <c r="A45" s="601" t="s">
        <v>18</v>
      </c>
      <c r="B45" s="602" t="s">
        <v>26</v>
      </c>
      <c r="C45" s="1331" t="s">
        <v>42</v>
      </c>
      <c r="D45" s="1331"/>
      <c r="E45" s="1332"/>
      <c r="F45" s="1332"/>
      <c r="G45" s="1332"/>
      <c r="H45" s="1332"/>
      <c r="I45" s="1332"/>
      <c r="J45" s="1332"/>
      <c r="K45" s="1331"/>
      <c r="L45" s="1331"/>
      <c r="M45" s="1331"/>
      <c r="N45" s="1333"/>
    </row>
    <row r="46" spans="1:14" ht="17.25" customHeight="1" x14ac:dyDescent="0.2">
      <c r="A46" s="594" t="s">
        <v>18</v>
      </c>
      <c r="B46" s="595" t="s">
        <v>26</v>
      </c>
      <c r="C46" s="1512" t="s">
        <v>18</v>
      </c>
      <c r="D46" s="682" t="s">
        <v>167</v>
      </c>
      <c r="E46" s="1340"/>
      <c r="F46" s="1514" t="s">
        <v>24</v>
      </c>
      <c r="G46" s="80"/>
      <c r="H46" s="1015"/>
      <c r="I46" s="526"/>
      <c r="J46" s="526"/>
      <c r="K46" s="647"/>
      <c r="L46" s="647"/>
      <c r="M46" s="636"/>
      <c r="N46" s="637"/>
    </row>
    <row r="47" spans="1:14" ht="40.5" customHeight="1" x14ac:dyDescent="0.2">
      <c r="A47" s="596"/>
      <c r="B47" s="597"/>
      <c r="C47" s="1513"/>
      <c r="D47" s="693" t="s">
        <v>153</v>
      </c>
      <c r="E47" s="1341"/>
      <c r="F47" s="1515"/>
      <c r="G47" s="684" t="s">
        <v>21</v>
      </c>
      <c r="H47" s="1016">
        <v>500</v>
      </c>
      <c r="I47" s="163">
        <v>1308</v>
      </c>
      <c r="J47" s="163">
        <v>2100</v>
      </c>
      <c r="K47" s="518" t="s">
        <v>148</v>
      </c>
      <c r="L47" s="512">
        <v>100</v>
      </c>
      <c r="M47" s="638"/>
      <c r="N47" s="639"/>
    </row>
    <row r="48" spans="1:14" ht="30" customHeight="1" x14ac:dyDescent="0.2">
      <c r="A48" s="596"/>
      <c r="B48" s="597"/>
      <c r="C48" s="1513"/>
      <c r="D48" s="683"/>
      <c r="E48" s="1341"/>
      <c r="F48" s="1515"/>
      <c r="G48" s="685" t="s">
        <v>25</v>
      </c>
      <c r="H48" s="1017">
        <v>600</v>
      </c>
      <c r="I48" s="1018"/>
      <c r="J48" s="1018"/>
      <c r="K48" s="631" t="s">
        <v>149</v>
      </c>
      <c r="L48" s="630"/>
      <c r="M48" s="632">
        <v>100</v>
      </c>
      <c r="N48" s="633"/>
    </row>
    <row r="49" spans="1:15" ht="30" customHeight="1" x14ac:dyDescent="0.2">
      <c r="A49" s="596"/>
      <c r="B49" s="597"/>
      <c r="C49" s="1513"/>
      <c r="D49" s="683"/>
      <c r="E49" s="1341"/>
      <c r="F49" s="1515"/>
      <c r="G49" s="686"/>
      <c r="H49" s="1016"/>
      <c r="I49" s="44"/>
      <c r="J49" s="44"/>
      <c r="K49" s="518" t="s">
        <v>150</v>
      </c>
      <c r="L49" s="512"/>
      <c r="M49" s="670">
        <v>100</v>
      </c>
      <c r="N49" s="524"/>
    </row>
    <row r="50" spans="1:15" ht="42.75" customHeight="1" x14ac:dyDescent="0.2">
      <c r="A50" s="596"/>
      <c r="B50" s="597"/>
      <c r="C50" s="1513"/>
      <c r="D50" s="683"/>
      <c r="E50" s="1341"/>
      <c r="F50" s="1515"/>
      <c r="G50" s="687" t="s">
        <v>22</v>
      </c>
      <c r="H50" s="1019">
        <f>SUM(H47:H49)</f>
        <v>1100</v>
      </c>
      <c r="I50" s="640">
        <f t="shared" ref="I50:J50" si="3">SUM(I46:I49)</f>
        <v>1308</v>
      </c>
      <c r="J50" s="640">
        <f t="shared" si="3"/>
        <v>2100</v>
      </c>
      <c r="K50" s="641" t="s">
        <v>158</v>
      </c>
      <c r="L50" s="642"/>
      <c r="M50" s="643"/>
      <c r="N50" s="644">
        <v>100</v>
      </c>
    </row>
    <row r="51" spans="1:15" x14ac:dyDescent="0.2">
      <c r="A51" s="611"/>
      <c r="B51" s="612"/>
      <c r="C51" s="987"/>
      <c r="D51" s="1527" t="s">
        <v>165</v>
      </c>
      <c r="E51" s="679"/>
      <c r="F51" s="681"/>
      <c r="G51" s="476" t="s">
        <v>21</v>
      </c>
      <c r="H51" s="1016">
        <v>500</v>
      </c>
      <c r="I51" s="44">
        <v>300</v>
      </c>
      <c r="J51" s="1020"/>
      <c r="K51" s="1530" t="s">
        <v>164</v>
      </c>
      <c r="L51" s="621">
        <v>60</v>
      </c>
      <c r="M51" s="645">
        <v>40</v>
      </c>
      <c r="N51" s="646"/>
    </row>
    <row r="52" spans="1:15" x14ac:dyDescent="0.2">
      <c r="A52" s="605"/>
      <c r="B52" s="606"/>
      <c r="C52" s="607"/>
      <c r="D52" s="1528"/>
      <c r="E52" s="680"/>
      <c r="F52" s="681"/>
      <c r="G52" s="688" t="s">
        <v>22</v>
      </c>
      <c r="H52" s="268">
        <f>H51</f>
        <v>500</v>
      </c>
      <c r="I52" s="255">
        <f t="shared" ref="I52" si="4">SUM(I51:I51)</f>
        <v>300</v>
      </c>
      <c r="J52" s="255"/>
      <c r="K52" s="1531"/>
      <c r="L52" s="960"/>
      <c r="M52" s="960"/>
      <c r="N52" s="966"/>
    </row>
    <row r="53" spans="1:15" ht="13.5" thickBot="1" x14ac:dyDescent="0.25">
      <c r="A53" s="608"/>
      <c r="B53" s="609"/>
      <c r="C53" s="648"/>
      <c r="D53" s="1529"/>
      <c r="E53" s="1532" t="s">
        <v>179</v>
      </c>
      <c r="F53" s="1533"/>
      <c r="G53" s="1534"/>
      <c r="H53" s="1021">
        <f>H52+H50</f>
        <v>1600</v>
      </c>
      <c r="I53" s="379">
        <f t="shared" ref="I53:J53" si="5">I52+I50</f>
        <v>1608</v>
      </c>
      <c r="J53" s="379">
        <f t="shared" si="5"/>
        <v>2100</v>
      </c>
      <c r="K53" s="692"/>
      <c r="L53" s="689"/>
      <c r="M53" s="690"/>
      <c r="N53" s="691"/>
    </row>
    <row r="54" spans="1:15" ht="15.75" customHeight="1" x14ac:dyDescent="0.2">
      <c r="A54" s="611" t="s">
        <v>18</v>
      </c>
      <c r="B54" s="612" t="s">
        <v>26</v>
      </c>
      <c r="C54" s="987" t="s">
        <v>23</v>
      </c>
      <c r="D54" s="1535" t="s">
        <v>146</v>
      </c>
      <c r="E54" s="653" t="s">
        <v>137</v>
      </c>
      <c r="F54" s="180" t="s">
        <v>44</v>
      </c>
      <c r="G54" s="288" t="s">
        <v>21</v>
      </c>
      <c r="H54" s="1012"/>
      <c r="I54" s="543">
        <v>2388.6999999999998</v>
      </c>
      <c r="J54" s="1022"/>
      <c r="K54" s="489" t="s">
        <v>142</v>
      </c>
      <c r="L54" s="490">
        <v>1</v>
      </c>
      <c r="M54" s="490"/>
      <c r="N54" s="20"/>
    </row>
    <row r="55" spans="1:15" ht="14.25" customHeight="1" x14ac:dyDescent="0.2">
      <c r="A55" s="605"/>
      <c r="B55" s="606"/>
      <c r="C55" s="607"/>
      <c r="D55" s="1535"/>
      <c r="E55" s="1536" t="s">
        <v>109</v>
      </c>
      <c r="F55" s="180"/>
      <c r="G55" s="58" t="s">
        <v>45</v>
      </c>
      <c r="H55" s="1023">
        <v>2397</v>
      </c>
      <c r="I55" s="294">
        <v>1310</v>
      </c>
      <c r="J55" s="179"/>
      <c r="K55" s="15" t="s">
        <v>143</v>
      </c>
      <c r="L55" s="960">
        <v>30</v>
      </c>
      <c r="M55" s="54">
        <v>100</v>
      </c>
      <c r="N55" s="965"/>
    </row>
    <row r="56" spans="1:15" x14ac:dyDescent="0.2">
      <c r="A56" s="605"/>
      <c r="B56" s="606"/>
      <c r="C56" s="607"/>
      <c r="D56" s="1535"/>
      <c r="E56" s="1324"/>
      <c r="F56" s="180"/>
      <c r="G56" s="376" t="s">
        <v>41</v>
      </c>
      <c r="H56" s="1023">
        <v>9000</v>
      </c>
      <c r="I56" s="295">
        <v>21000</v>
      </c>
      <c r="J56" s="44"/>
      <c r="K56" s="1304"/>
      <c r="L56" s="1313"/>
      <c r="M56" s="1313"/>
      <c r="N56" s="1316"/>
      <c r="O56" s="60"/>
    </row>
    <row r="57" spans="1:15" x14ac:dyDescent="0.2">
      <c r="A57" s="605"/>
      <c r="B57" s="606"/>
      <c r="C57" s="607"/>
      <c r="D57" s="1535"/>
      <c r="E57" s="1324"/>
      <c r="F57" s="180"/>
      <c r="G57" s="649" t="s">
        <v>168</v>
      </c>
      <c r="H57" s="1023">
        <v>1659</v>
      </c>
      <c r="I57" s="650"/>
      <c r="J57" s="651"/>
      <c r="K57" s="1304"/>
      <c r="L57" s="1313"/>
      <c r="M57" s="1313"/>
      <c r="N57" s="1316"/>
      <c r="O57" s="60"/>
    </row>
    <row r="58" spans="1:15" x14ac:dyDescent="0.2">
      <c r="A58" s="605"/>
      <c r="B58" s="606"/>
      <c r="C58" s="607"/>
      <c r="D58" s="1535"/>
      <c r="E58" s="1324"/>
      <c r="F58" s="180"/>
      <c r="G58" s="116" t="s">
        <v>25</v>
      </c>
      <c r="H58" s="378">
        <v>750</v>
      </c>
      <c r="I58" s="294">
        <v>750</v>
      </c>
      <c r="J58" s="44"/>
      <c r="K58" s="1304"/>
      <c r="L58" s="1313"/>
      <c r="M58" s="1313"/>
      <c r="N58" s="1316"/>
      <c r="O58" s="60"/>
    </row>
    <row r="59" spans="1:15" ht="13.5" thickBot="1" x14ac:dyDescent="0.25">
      <c r="A59" s="608"/>
      <c r="B59" s="609"/>
      <c r="C59" s="610"/>
      <c r="D59" s="1283"/>
      <c r="E59" s="484"/>
      <c r="F59" s="405"/>
      <c r="G59" s="377" t="s">
        <v>22</v>
      </c>
      <c r="H59" s="974">
        <f>SUM(H55:H58)</f>
        <v>13806</v>
      </c>
      <c r="I59" s="253">
        <f>SUM(I54:I58)</f>
        <v>25448.7</v>
      </c>
      <c r="J59" s="253"/>
      <c r="K59" s="1285"/>
      <c r="L59" s="1314"/>
      <c r="M59" s="1314"/>
      <c r="N59" s="1317"/>
    </row>
    <row r="60" spans="1:15" ht="24" customHeight="1" x14ac:dyDescent="0.2">
      <c r="A60" s="594" t="s">
        <v>18</v>
      </c>
      <c r="B60" s="595" t="s">
        <v>26</v>
      </c>
      <c r="C60" s="1512" t="s">
        <v>26</v>
      </c>
      <c r="D60" s="1521" t="s">
        <v>170</v>
      </c>
      <c r="E60" s="485" t="s">
        <v>137</v>
      </c>
      <c r="F60" s="1346" t="s">
        <v>44</v>
      </c>
      <c r="G60" s="374" t="s">
        <v>21</v>
      </c>
      <c r="H60" s="1024">
        <v>57</v>
      </c>
      <c r="I60" s="23">
        <v>672.5</v>
      </c>
      <c r="J60" s="40"/>
      <c r="K60" s="480" t="s">
        <v>142</v>
      </c>
      <c r="L60" s="488"/>
      <c r="M60" s="481">
        <v>1</v>
      </c>
      <c r="N60" s="487"/>
    </row>
    <row r="61" spans="1:15" ht="24" customHeight="1" x14ac:dyDescent="0.2">
      <c r="A61" s="596"/>
      <c r="B61" s="597"/>
      <c r="C61" s="1513"/>
      <c r="D61" s="1522"/>
      <c r="E61" s="1524" t="s">
        <v>140</v>
      </c>
      <c r="F61" s="1347"/>
      <c r="G61" s="474" t="s">
        <v>41</v>
      </c>
      <c r="H61" s="1023"/>
      <c r="I61" s="44"/>
      <c r="J61" s="44">
        <v>3105.8</v>
      </c>
      <c r="K61" s="991" t="s">
        <v>145</v>
      </c>
      <c r="L61" s="491"/>
      <c r="M61" s="482"/>
      <c r="N61" s="492">
        <v>25</v>
      </c>
    </row>
    <row r="62" spans="1:15" ht="24" customHeight="1" x14ac:dyDescent="0.2">
      <c r="A62" s="596"/>
      <c r="B62" s="597"/>
      <c r="C62" s="1513"/>
      <c r="D62" s="1522"/>
      <c r="E62" s="1525"/>
      <c r="F62" s="1347"/>
      <c r="G62" s="375" t="s">
        <v>138</v>
      </c>
      <c r="H62" s="1012"/>
      <c r="I62" s="543"/>
      <c r="J62" s="44">
        <v>274.10000000000002</v>
      </c>
      <c r="K62" s="954"/>
      <c r="L62" s="493"/>
      <c r="M62" s="988"/>
      <c r="N62" s="494"/>
    </row>
    <row r="63" spans="1:15" ht="24" customHeight="1" x14ac:dyDescent="0.2">
      <c r="A63" s="596"/>
      <c r="B63" s="597"/>
      <c r="C63" s="1513"/>
      <c r="D63" s="1522"/>
      <c r="E63" s="1525"/>
      <c r="F63" s="1347"/>
      <c r="G63" s="486" t="s">
        <v>48</v>
      </c>
      <c r="H63" s="378"/>
      <c r="I63" s="68"/>
      <c r="J63" s="495">
        <v>274.10000000000002</v>
      </c>
      <c r="K63" s="954"/>
      <c r="L63" s="493"/>
      <c r="M63" s="988"/>
      <c r="N63" s="494"/>
    </row>
    <row r="64" spans="1:15" ht="13.5" thickBot="1" x14ac:dyDescent="0.25">
      <c r="A64" s="598"/>
      <c r="B64" s="599"/>
      <c r="C64" s="1520"/>
      <c r="D64" s="1523"/>
      <c r="E64" s="1526"/>
      <c r="F64" s="1348"/>
      <c r="G64" s="973" t="s">
        <v>22</v>
      </c>
      <c r="H64" s="208">
        <f>SUM(H60:H63)</f>
        <v>57</v>
      </c>
      <c r="I64" s="503">
        <f>SUM(I60:I62)</f>
        <v>672.5</v>
      </c>
      <c r="J64" s="976">
        <f>SUM(J60:J63)</f>
        <v>3654</v>
      </c>
      <c r="K64" s="954"/>
      <c r="L64" s="493"/>
      <c r="M64" s="988"/>
      <c r="N64" s="494"/>
    </row>
    <row r="65" spans="1:14" ht="15" customHeight="1" x14ac:dyDescent="0.2">
      <c r="A65" s="594" t="s">
        <v>18</v>
      </c>
      <c r="B65" s="595" t="s">
        <v>26</v>
      </c>
      <c r="C65" s="1512" t="s">
        <v>39</v>
      </c>
      <c r="D65" s="1521" t="s">
        <v>136</v>
      </c>
      <c r="E65" s="485" t="s">
        <v>137</v>
      </c>
      <c r="F65" s="1346" t="s">
        <v>44</v>
      </c>
      <c r="G65" s="374" t="s">
        <v>21</v>
      </c>
      <c r="H65" s="1024">
        <v>30</v>
      </c>
      <c r="I65" s="23">
        <v>121.2</v>
      </c>
      <c r="J65" s="40"/>
      <c r="K65" s="480" t="s">
        <v>142</v>
      </c>
      <c r="L65" s="481"/>
      <c r="M65" s="481">
        <v>1</v>
      </c>
      <c r="N65" s="487"/>
    </row>
    <row r="66" spans="1:14" x14ac:dyDescent="0.2">
      <c r="A66" s="596"/>
      <c r="B66" s="597"/>
      <c r="C66" s="1513"/>
      <c r="D66" s="1522"/>
      <c r="E66" s="1537" t="s">
        <v>139</v>
      </c>
      <c r="F66" s="1347"/>
      <c r="G66" s="474" t="s">
        <v>41</v>
      </c>
      <c r="H66" s="1023"/>
      <c r="I66" s="44"/>
      <c r="J66" s="44">
        <v>250.7</v>
      </c>
      <c r="K66" s="1540" t="s">
        <v>144</v>
      </c>
      <c r="L66" s="41"/>
      <c r="M66" s="50"/>
      <c r="N66" s="966">
        <v>25</v>
      </c>
    </row>
    <row r="67" spans="1:14" x14ac:dyDescent="0.2">
      <c r="A67" s="596"/>
      <c r="B67" s="597"/>
      <c r="C67" s="1513"/>
      <c r="D67" s="1522"/>
      <c r="E67" s="1538"/>
      <c r="F67" s="1347"/>
      <c r="G67" s="375" t="s">
        <v>138</v>
      </c>
      <c r="H67" s="1012"/>
      <c r="I67" s="543"/>
      <c r="J67" s="44">
        <v>411.5</v>
      </c>
      <c r="K67" s="1350"/>
      <c r="L67" s="41"/>
      <c r="M67" s="50"/>
      <c r="N67" s="966"/>
    </row>
    <row r="68" spans="1:14" x14ac:dyDescent="0.2">
      <c r="A68" s="596"/>
      <c r="B68" s="597"/>
      <c r="C68" s="1513"/>
      <c r="D68" s="1522"/>
      <c r="E68" s="1538"/>
      <c r="F68" s="1347"/>
      <c r="G68" s="486" t="s">
        <v>48</v>
      </c>
      <c r="H68" s="378"/>
      <c r="I68" s="68"/>
      <c r="J68" s="495">
        <v>100</v>
      </c>
      <c r="K68" s="963"/>
      <c r="L68" s="41"/>
      <c r="M68" s="50"/>
      <c r="N68" s="966"/>
    </row>
    <row r="69" spans="1:14" ht="13.5" thickBot="1" x14ac:dyDescent="0.25">
      <c r="A69" s="598"/>
      <c r="B69" s="599"/>
      <c r="C69" s="1520"/>
      <c r="D69" s="1523"/>
      <c r="E69" s="1539"/>
      <c r="F69" s="1348"/>
      <c r="G69" s="973" t="s">
        <v>22</v>
      </c>
      <c r="H69" s="208">
        <f>SUM(H65:H68)</f>
        <v>30</v>
      </c>
      <c r="I69" s="503">
        <f>SUM(I65:I67)</f>
        <v>121.2</v>
      </c>
      <c r="J69" s="976">
        <f>SUM(J65:J68)</f>
        <v>762.2</v>
      </c>
      <c r="K69" s="964"/>
      <c r="L69" s="8"/>
      <c r="M69" s="51"/>
      <c r="N69" s="967"/>
    </row>
    <row r="70" spans="1:14" x14ac:dyDescent="0.2">
      <c r="A70" s="611" t="s">
        <v>18</v>
      </c>
      <c r="B70" s="612" t="s">
        <v>26</v>
      </c>
      <c r="C70" s="987" t="s">
        <v>69</v>
      </c>
      <c r="D70" s="1501" t="s">
        <v>156</v>
      </c>
      <c r="E70" s="1542" t="s">
        <v>155</v>
      </c>
      <c r="F70" s="310" t="s">
        <v>20</v>
      </c>
      <c r="G70" s="182" t="s">
        <v>21</v>
      </c>
      <c r="H70" s="1025">
        <v>20</v>
      </c>
      <c r="I70" s="353">
        <v>20</v>
      </c>
      <c r="J70" s="353"/>
      <c r="K70" s="620" t="s">
        <v>157</v>
      </c>
      <c r="L70" s="624"/>
      <c r="M70" s="33">
        <v>1</v>
      </c>
      <c r="N70" s="619"/>
    </row>
    <row r="71" spans="1:14" ht="13.5" thickBot="1" x14ac:dyDescent="0.25">
      <c r="A71" s="605"/>
      <c r="B71" s="606"/>
      <c r="C71" s="607"/>
      <c r="D71" s="1541"/>
      <c r="E71" s="1325"/>
      <c r="F71" s="310"/>
      <c r="G71" s="377" t="s">
        <v>22</v>
      </c>
      <c r="H71" s="974">
        <f>H70</f>
        <v>20</v>
      </c>
      <c r="I71" s="379">
        <f>I70</f>
        <v>20</v>
      </c>
      <c r="J71" s="379"/>
      <c r="K71" s="622"/>
      <c r="L71" s="623"/>
      <c r="M71" s="961"/>
      <c r="N71" s="967"/>
    </row>
    <row r="72" spans="1:14" ht="41.25" customHeight="1" x14ac:dyDescent="0.2">
      <c r="A72" s="603" t="s">
        <v>18</v>
      </c>
      <c r="B72" s="604" t="s">
        <v>26</v>
      </c>
      <c r="C72" s="986" t="s">
        <v>154</v>
      </c>
      <c r="D72" s="668" t="s">
        <v>47</v>
      </c>
      <c r="E72" s="564"/>
      <c r="F72" s="565" t="s">
        <v>24</v>
      </c>
      <c r="G72" s="566" t="s">
        <v>21</v>
      </c>
      <c r="H72" s="1026">
        <v>250.7</v>
      </c>
      <c r="I72" s="23"/>
      <c r="J72" s="1027"/>
      <c r="K72" s="567"/>
      <c r="L72" s="568"/>
      <c r="M72" s="569"/>
      <c r="N72" s="570"/>
    </row>
    <row r="73" spans="1:14" ht="30" customHeight="1" x14ac:dyDescent="0.2">
      <c r="A73" s="605"/>
      <c r="B73" s="606"/>
      <c r="C73" s="607"/>
      <c r="D73" s="990" t="s">
        <v>152</v>
      </c>
      <c r="E73" s="358"/>
      <c r="F73" s="310"/>
      <c r="G73" s="354"/>
      <c r="H73" s="1028"/>
      <c r="I73" s="560"/>
      <c r="J73" s="186"/>
      <c r="K73" s="561" t="s">
        <v>176</v>
      </c>
      <c r="L73" s="562">
        <v>100</v>
      </c>
      <c r="M73" s="563"/>
      <c r="N73" s="546"/>
    </row>
    <row r="74" spans="1:14" ht="30.75" customHeight="1" x14ac:dyDescent="0.2">
      <c r="A74" s="605"/>
      <c r="B74" s="606"/>
      <c r="C74" s="607"/>
      <c r="D74" s="669" t="s">
        <v>134</v>
      </c>
      <c r="E74" s="358"/>
      <c r="F74" s="618"/>
      <c r="G74" s="352"/>
      <c r="H74" s="1029"/>
      <c r="I74" s="353"/>
      <c r="J74" s="353"/>
      <c r="K74" s="519" t="s">
        <v>175</v>
      </c>
      <c r="L74" s="483">
        <v>100</v>
      </c>
      <c r="M74" s="544"/>
      <c r="N74" s="545"/>
    </row>
    <row r="75" spans="1:14" ht="42" customHeight="1" x14ac:dyDescent="0.2">
      <c r="A75" s="605"/>
      <c r="B75" s="606"/>
      <c r="C75" s="607"/>
      <c r="D75" s="1527" t="s">
        <v>135</v>
      </c>
      <c r="E75" s="358"/>
      <c r="F75" s="310"/>
      <c r="G75" s="351"/>
      <c r="H75" s="1030"/>
      <c r="I75" s="572"/>
      <c r="J75" s="572"/>
      <c r="K75" s="1530" t="s">
        <v>174</v>
      </c>
      <c r="L75" s="1555">
        <v>100</v>
      </c>
      <c r="M75" s="527"/>
      <c r="N75" s="966"/>
    </row>
    <row r="76" spans="1:14" ht="13.5" thickBot="1" x14ac:dyDescent="0.25">
      <c r="A76" s="605"/>
      <c r="B76" s="606"/>
      <c r="C76" s="607"/>
      <c r="D76" s="1529"/>
      <c r="E76" s="359"/>
      <c r="F76" s="311"/>
      <c r="G76" s="287" t="s">
        <v>22</v>
      </c>
      <c r="H76" s="1031">
        <f>SUM(H72:H75)</f>
        <v>250.7</v>
      </c>
      <c r="I76" s="255">
        <f>SUM(I73:I75)</f>
        <v>0</v>
      </c>
      <c r="J76" s="255">
        <f>SUM(J73:J75)</f>
        <v>0</v>
      </c>
      <c r="K76" s="1497"/>
      <c r="L76" s="1556"/>
      <c r="M76" s="527"/>
      <c r="N76" s="966"/>
    </row>
    <row r="77" spans="1:14" ht="13.5" thickBot="1" x14ac:dyDescent="0.25">
      <c r="A77" s="576" t="s">
        <v>18</v>
      </c>
      <c r="B77" s="600" t="s">
        <v>26</v>
      </c>
      <c r="C77" s="1277" t="s">
        <v>27</v>
      </c>
      <c r="D77" s="1277"/>
      <c r="E77" s="1277"/>
      <c r="F77" s="1277"/>
      <c r="G77" s="1277"/>
      <c r="H77" s="1001">
        <f>H76+H71+H69+H64+H59+H53</f>
        <v>15763.7</v>
      </c>
      <c r="I77" s="190">
        <f t="shared" ref="I77:J77" si="6">I76+I71+I64+I69+I59+I53</f>
        <v>27870.400000000001</v>
      </c>
      <c r="J77" s="190">
        <f t="shared" si="6"/>
        <v>6516.2</v>
      </c>
      <c r="K77" s="1305"/>
      <c r="L77" s="1306"/>
      <c r="M77" s="1306"/>
      <c r="N77" s="1307"/>
    </row>
    <row r="78" spans="1:14" ht="13.5" thickBot="1" x14ac:dyDescent="0.25">
      <c r="A78" s="613" t="s">
        <v>18</v>
      </c>
      <c r="B78" s="600" t="s">
        <v>39</v>
      </c>
      <c r="C78" s="1308" t="s">
        <v>78</v>
      </c>
      <c r="D78" s="1308"/>
      <c r="E78" s="1308"/>
      <c r="F78" s="1308"/>
      <c r="G78" s="1308"/>
      <c r="H78" s="1309"/>
      <c r="I78" s="1308"/>
      <c r="J78" s="1308"/>
      <c r="K78" s="1308"/>
      <c r="L78" s="1310"/>
      <c r="M78" s="1310"/>
      <c r="N78" s="1311"/>
    </row>
    <row r="79" spans="1:14" ht="29.25" customHeight="1" x14ac:dyDescent="0.2">
      <c r="A79" s="583" t="s">
        <v>18</v>
      </c>
      <c r="B79" s="584" t="s">
        <v>39</v>
      </c>
      <c r="C79" s="585" t="s">
        <v>18</v>
      </c>
      <c r="D79" s="1282" t="s">
        <v>74</v>
      </c>
      <c r="E79" s="76"/>
      <c r="F79" s="957" t="s">
        <v>20</v>
      </c>
      <c r="G79" s="700" t="s">
        <v>21</v>
      </c>
      <c r="H79" s="1032">
        <v>2314.3000000000002</v>
      </c>
      <c r="I79" s="181">
        <v>1300</v>
      </c>
      <c r="J79" s="136">
        <v>1300</v>
      </c>
      <c r="K79" s="1496" t="s">
        <v>96</v>
      </c>
      <c r="L79" s="992">
        <v>8</v>
      </c>
      <c r="M79" s="1559">
        <v>8</v>
      </c>
      <c r="N79" s="1543">
        <v>8</v>
      </c>
    </row>
    <row r="80" spans="1:14" ht="13.5" thickBot="1" x14ac:dyDescent="0.25">
      <c r="A80" s="586"/>
      <c r="B80" s="587"/>
      <c r="C80" s="588"/>
      <c r="D80" s="1535"/>
      <c r="E80" s="78"/>
      <c r="F80" s="12"/>
      <c r="G80" s="701" t="s">
        <v>22</v>
      </c>
      <c r="H80" s="1031">
        <f>H79</f>
        <v>2314.3000000000002</v>
      </c>
      <c r="I80" s="1031">
        <f>I79</f>
        <v>1300</v>
      </c>
      <c r="J80" s="269">
        <f>J79</f>
        <v>1300</v>
      </c>
      <c r="K80" s="1497"/>
      <c r="L80" s="477"/>
      <c r="M80" s="1560"/>
      <c r="N80" s="1544"/>
    </row>
    <row r="81" spans="1:15" ht="30.75" customHeight="1" x14ac:dyDescent="0.2">
      <c r="A81" s="583" t="s">
        <v>18</v>
      </c>
      <c r="B81" s="1492" t="s">
        <v>39</v>
      </c>
      <c r="C81" s="1545" t="s">
        <v>23</v>
      </c>
      <c r="D81" s="1547" t="s">
        <v>171</v>
      </c>
      <c r="E81" s="1549"/>
      <c r="F81" s="1551" t="s">
        <v>20</v>
      </c>
      <c r="G81" s="702" t="s">
        <v>21</v>
      </c>
      <c r="H81" s="1026">
        <v>100</v>
      </c>
      <c r="I81" s="659">
        <v>0</v>
      </c>
      <c r="J81" s="660">
        <v>10</v>
      </c>
      <c r="K81" s="1553" t="s">
        <v>172</v>
      </c>
      <c r="L81" s="661">
        <v>100</v>
      </c>
      <c r="M81" s="654"/>
      <c r="N81" s="655"/>
      <c r="O81" s="656"/>
    </row>
    <row r="82" spans="1:15" ht="13.5" thickBot="1" x14ac:dyDescent="0.25">
      <c r="A82" s="589"/>
      <c r="B82" s="1493"/>
      <c r="C82" s="1546"/>
      <c r="D82" s="1548"/>
      <c r="E82" s="1550"/>
      <c r="F82" s="1552"/>
      <c r="G82" s="843" t="s">
        <v>22</v>
      </c>
      <c r="H82" s="238">
        <f>H81</f>
        <v>100</v>
      </c>
      <c r="I82" s="238">
        <f t="shared" ref="I82:J82" si="7">SUM(I81:I81)</f>
        <v>0</v>
      </c>
      <c r="J82" s="238">
        <f t="shared" si="7"/>
        <v>10</v>
      </c>
      <c r="K82" s="1554"/>
      <c r="L82" s="657"/>
      <c r="M82" s="657"/>
      <c r="N82" s="658"/>
      <c r="O82" s="656"/>
    </row>
    <row r="83" spans="1:15" ht="42" customHeight="1" x14ac:dyDescent="0.2">
      <c r="A83" s="1490" t="s">
        <v>18</v>
      </c>
      <c r="B83" s="1492" t="s">
        <v>39</v>
      </c>
      <c r="C83" s="1557" t="s">
        <v>26</v>
      </c>
      <c r="D83" s="1296" t="s">
        <v>51</v>
      </c>
      <c r="E83" s="1297"/>
      <c r="F83" s="1301" t="s">
        <v>20</v>
      </c>
      <c r="G83" s="525" t="s">
        <v>21</v>
      </c>
      <c r="H83" s="999">
        <v>50</v>
      </c>
      <c r="I83" s="181">
        <v>50</v>
      </c>
      <c r="J83" s="136">
        <v>50</v>
      </c>
      <c r="K83" s="984" t="s">
        <v>52</v>
      </c>
      <c r="L83" s="992">
        <v>20</v>
      </c>
      <c r="M83" s="985">
        <v>25</v>
      </c>
      <c r="N83" s="528">
        <v>25</v>
      </c>
    </row>
    <row r="84" spans="1:15" ht="13.5" thickBot="1" x14ac:dyDescent="0.25">
      <c r="A84" s="1491"/>
      <c r="B84" s="1493"/>
      <c r="C84" s="1558"/>
      <c r="D84" s="1227"/>
      <c r="E84" s="1298"/>
      <c r="F84" s="1302"/>
      <c r="G84" s="239" t="s">
        <v>22</v>
      </c>
      <c r="H84" s="503">
        <f>H83</f>
        <v>50</v>
      </c>
      <c r="I84" s="237">
        <f>SUM(I83:I83)</f>
        <v>50</v>
      </c>
      <c r="J84" s="977">
        <f>SUM(J83:J83)</f>
        <v>50</v>
      </c>
      <c r="K84" s="529"/>
      <c r="L84" s="530"/>
      <c r="M84" s="299"/>
      <c r="N84" s="300"/>
    </row>
    <row r="85" spans="1:15" ht="13.5" thickBot="1" x14ac:dyDescent="0.25">
      <c r="A85" s="576" t="s">
        <v>18</v>
      </c>
      <c r="B85" s="614" t="s">
        <v>39</v>
      </c>
      <c r="C85" s="1277" t="s">
        <v>27</v>
      </c>
      <c r="D85" s="1277"/>
      <c r="E85" s="1277"/>
      <c r="F85" s="1277"/>
      <c r="G85" s="1277"/>
      <c r="H85" s="1001">
        <f>H84+H82+H80</f>
        <v>2464.3000000000002</v>
      </c>
      <c r="I85" s="956">
        <f t="shared" ref="I85:J85" si="8">I80+I84+I82</f>
        <v>1350</v>
      </c>
      <c r="J85" s="956">
        <f t="shared" si="8"/>
        <v>1360</v>
      </c>
      <c r="K85" s="547"/>
      <c r="L85" s="548"/>
      <c r="M85" s="548"/>
      <c r="N85" s="549"/>
    </row>
    <row r="86" spans="1:15" ht="13.5" thickBot="1" x14ac:dyDescent="0.25">
      <c r="A86" s="576" t="s">
        <v>18</v>
      </c>
      <c r="B86" s="1278" t="s">
        <v>53</v>
      </c>
      <c r="C86" s="1279"/>
      <c r="D86" s="1279"/>
      <c r="E86" s="1279"/>
      <c r="F86" s="1279"/>
      <c r="G86" s="1279"/>
      <c r="H86" s="1033">
        <f>H85+H77+H44+H18</f>
        <v>32866.300000000003</v>
      </c>
      <c r="I86" s="533">
        <f>+I18+I44+I85+I77</f>
        <v>43931.7</v>
      </c>
      <c r="J86" s="533">
        <f>+J18+J44+J85+J77</f>
        <v>22367.5</v>
      </c>
      <c r="K86" s="550"/>
      <c r="L86" s="551"/>
      <c r="M86" s="551"/>
      <c r="N86" s="552"/>
    </row>
    <row r="87" spans="1:15" ht="13.5" thickBot="1" x14ac:dyDescent="0.25">
      <c r="A87" s="615" t="s">
        <v>54</v>
      </c>
      <c r="B87" s="1280" t="s">
        <v>55</v>
      </c>
      <c r="C87" s="1281"/>
      <c r="D87" s="1281"/>
      <c r="E87" s="1281"/>
      <c r="F87" s="1281"/>
      <c r="G87" s="1281"/>
      <c r="H87" s="1034">
        <f>H86</f>
        <v>32866.300000000003</v>
      </c>
      <c r="I87" s="534">
        <f>I86</f>
        <v>43931.7</v>
      </c>
      <c r="J87" s="534">
        <f>J86</f>
        <v>22367.5</v>
      </c>
      <c r="K87" s="553"/>
      <c r="L87" s="554"/>
      <c r="M87" s="554"/>
      <c r="N87" s="555"/>
    </row>
    <row r="88" spans="1:15" x14ac:dyDescent="0.2">
      <c r="A88" s="694"/>
      <c r="B88" s="695"/>
      <c r="C88" s="695"/>
      <c r="D88" s="695"/>
      <c r="E88" s="695"/>
      <c r="F88" s="695"/>
      <c r="G88" s="695"/>
      <c r="H88" s="1035"/>
      <c r="I88" s="1036"/>
      <c r="J88" s="1036"/>
      <c r="K88" s="696"/>
      <c r="L88" s="697"/>
      <c r="M88" s="697"/>
      <c r="N88" s="697"/>
      <c r="O88" s="698"/>
    </row>
    <row r="89" spans="1:15" ht="15" thickBot="1" x14ac:dyDescent="0.25">
      <c r="A89" s="616"/>
      <c r="B89" s="102"/>
      <c r="C89" s="617"/>
      <c r="D89" s="1567" t="s">
        <v>56</v>
      </c>
      <c r="E89" s="1567"/>
      <c r="F89" s="1567"/>
      <c r="G89" s="1567"/>
      <c r="H89" s="1567"/>
      <c r="I89" s="1567"/>
      <c r="J89" s="1567"/>
      <c r="K89" s="520"/>
      <c r="L89" s="516"/>
      <c r="M89" s="516"/>
      <c r="N89" s="516"/>
    </row>
    <row r="90" spans="1:15" ht="36.75" thickBot="1" x14ac:dyDescent="0.25">
      <c r="A90" s="1571" t="s">
        <v>57</v>
      </c>
      <c r="B90" s="1572"/>
      <c r="C90" s="1572"/>
      <c r="D90" s="1572"/>
      <c r="E90" s="1572"/>
      <c r="F90" s="1572"/>
      <c r="G90" s="1573"/>
      <c r="H90" s="1037" t="s">
        <v>181</v>
      </c>
      <c r="I90" s="1038" t="s">
        <v>182</v>
      </c>
      <c r="J90" s="1039" t="s">
        <v>183</v>
      </c>
      <c r="K90" s="99"/>
      <c r="L90" s="971"/>
      <c r="M90" s="1276"/>
      <c r="N90" s="1276"/>
    </row>
    <row r="91" spans="1:15" x14ac:dyDescent="0.2">
      <c r="A91" s="1259" t="s">
        <v>58</v>
      </c>
      <c r="B91" s="1260"/>
      <c r="C91" s="1260"/>
      <c r="D91" s="1260"/>
      <c r="E91" s="1260"/>
      <c r="F91" s="1260"/>
      <c r="G91" s="1261"/>
      <c r="H91" s="1040">
        <f ca="1">SUM(H92:H96)</f>
        <v>22516.3</v>
      </c>
      <c r="I91" s="531">
        <f>SUM(I92:I95)</f>
        <v>22181.7</v>
      </c>
      <c r="J91" s="532">
        <f>SUM(J92:J95)</f>
        <v>18325.399999999998</v>
      </c>
      <c r="K91" s="521"/>
      <c r="L91" s="970"/>
      <c r="M91" s="1243"/>
      <c r="N91" s="1243"/>
    </row>
    <row r="92" spans="1:15" x14ac:dyDescent="0.2">
      <c r="A92" s="1244" t="s">
        <v>60</v>
      </c>
      <c r="B92" s="1245"/>
      <c r="C92" s="1245"/>
      <c r="D92" s="1245"/>
      <c r="E92" s="1245"/>
      <c r="F92" s="1245"/>
      <c r="G92" s="1246"/>
      <c r="H92" s="979">
        <f ca="1">SUMIF(G12:H83,"sb",H12:H83)</f>
        <v>17690.2</v>
      </c>
      <c r="I92" s="157">
        <f>SUMIF(G12:G84,"sb",I12:I84)</f>
        <v>20101.600000000002</v>
      </c>
      <c r="J92" s="162">
        <f>SUMIF(G12:G84,"sb",J12:J84)</f>
        <v>17181.2</v>
      </c>
      <c r="K92" s="523"/>
      <c r="L92" s="969"/>
      <c r="M92" s="1247"/>
      <c r="N92" s="1247"/>
    </row>
    <row r="93" spans="1:15" ht="12.75" customHeight="1" x14ac:dyDescent="0.2">
      <c r="A93" s="1256" t="s">
        <v>61</v>
      </c>
      <c r="B93" s="1257"/>
      <c r="C93" s="1257"/>
      <c r="D93" s="1257"/>
      <c r="E93" s="1257"/>
      <c r="F93" s="1257"/>
      <c r="G93" s="1258"/>
      <c r="H93" s="980">
        <f>SUMIF(G12:G83,"sb(sp)",H12:H83)</f>
        <v>770.1</v>
      </c>
      <c r="I93" s="158">
        <f>SUMIF(G18:G82,G21,I18:I82)</f>
        <v>770.1</v>
      </c>
      <c r="J93" s="133">
        <f>SUMIF(G18:G82,G21,J18:J82)</f>
        <v>770.1</v>
      </c>
      <c r="K93" s="523"/>
      <c r="L93" s="969"/>
      <c r="M93" s="1247"/>
      <c r="N93" s="1247"/>
    </row>
    <row r="94" spans="1:15" x14ac:dyDescent="0.2">
      <c r="A94" s="1256" t="s">
        <v>62</v>
      </c>
      <c r="B94" s="1257"/>
      <c r="C94" s="1257"/>
      <c r="D94" s="1257"/>
      <c r="E94" s="1257"/>
      <c r="F94" s="1257"/>
      <c r="G94" s="1258"/>
      <c r="H94" s="980">
        <f>SUMIF(G12:G83,"sb(p)",H12:H83)</f>
        <v>0</v>
      </c>
      <c r="I94" s="159">
        <f>SUMIF(G12:G82,"sb(p)",I12:I82)</f>
        <v>0</v>
      </c>
      <c r="J94" s="163">
        <f>SUMIF(G18:G82,"sb(p)",J18:J82)</f>
        <v>374.1</v>
      </c>
      <c r="K94" s="523"/>
      <c r="L94" s="969"/>
      <c r="M94" s="1247"/>
      <c r="N94" s="1247"/>
    </row>
    <row r="95" spans="1:15" ht="16.5" customHeight="1" x14ac:dyDescent="0.2">
      <c r="A95" s="1256" t="s">
        <v>63</v>
      </c>
      <c r="B95" s="1257"/>
      <c r="C95" s="1257"/>
      <c r="D95" s="1257"/>
      <c r="E95" s="1257"/>
      <c r="F95" s="1257"/>
      <c r="G95" s="1258"/>
      <c r="H95" s="980">
        <f>SUMIF(G12:G83,"sb(vb)",H12:H83)</f>
        <v>2397</v>
      </c>
      <c r="I95" s="159">
        <f>SUMIF(G18:G82,G55,I18:I82)</f>
        <v>1310</v>
      </c>
      <c r="J95" s="163">
        <f>SUMIF(G18:G82,"sb(vb)",J18:J82)</f>
        <v>0</v>
      </c>
      <c r="K95" s="523"/>
      <c r="L95" s="969"/>
      <c r="M95" s="969"/>
      <c r="N95" s="969"/>
    </row>
    <row r="96" spans="1:15" ht="12.75" customHeight="1" x14ac:dyDescent="0.2">
      <c r="A96" s="1256" t="s">
        <v>169</v>
      </c>
      <c r="B96" s="1257"/>
      <c r="C96" s="1257"/>
      <c r="D96" s="1257"/>
      <c r="E96" s="1257"/>
      <c r="F96" s="1257"/>
      <c r="G96" s="1258"/>
      <c r="H96" s="980">
        <f>SUMIF(G12:G83,"pf",H12:H83)</f>
        <v>1659</v>
      </c>
      <c r="I96" s="159"/>
      <c r="J96" s="163"/>
      <c r="K96" s="523"/>
      <c r="L96" s="969"/>
      <c r="M96" s="969"/>
      <c r="N96" s="969"/>
    </row>
    <row r="97" spans="1:14" x14ac:dyDescent="0.2">
      <c r="A97" s="1585" t="s">
        <v>64</v>
      </c>
      <c r="B97" s="1586"/>
      <c r="C97" s="1586"/>
      <c r="D97" s="1586"/>
      <c r="E97" s="1586"/>
      <c r="F97" s="1586"/>
      <c r="G97" s="1587"/>
      <c r="H97" s="1041">
        <f>SUM(H98:H100)</f>
        <v>10350</v>
      </c>
      <c r="I97" s="975">
        <f>SUM(I98:I100)</f>
        <v>21750</v>
      </c>
      <c r="J97" s="172">
        <f>SUM(J98:J100)</f>
        <v>4042.1</v>
      </c>
      <c r="K97" s="521"/>
      <c r="L97" s="970"/>
      <c r="M97" s="1243"/>
      <c r="N97" s="1243"/>
    </row>
    <row r="98" spans="1:14" x14ac:dyDescent="0.2">
      <c r="A98" s="1244" t="s">
        <v>65</v>
      </c>
      <c r="B98" s="1245"/>
      <c r="C98" s="1245"/>
      <c r="D98" s="1245"/>
      <c r="E98" s="1245"/>
      <c r="F98" s="1245"/>
      <c r="G98" s="1246"/>
      <c r="H98" s="979">
        <f>SUMIF(G12:G83,"es",H12:H83)</f>
        <v>9000</v>
      </c>
      <c r="I98" s="158">
        <f>SUMIF(G18:G82,"es",I18:I82)</f>
        <v>21000</v>
      </c>
      <c r="J98" s="133">
        <f>SUMIF(G18:G82,"es",J18:J82)</f>
        <v>3356.5</v>
      </c>
      <c r="K98" s="523"/>
      <c r="L98" s="969"/>
      <c r="M98" s="1247"/>
      <c r="N98" s="1247"/>
    </row>
    <row r="99" spans="1:14" x14ac:dyDescent="0.2">
      <c r="A99" s="1244" t="s">
        <v>141</v>
      </c>
      <c r="B99" s="1245"/>
      <c r="C99" s="1245"/>
      <c r="D99" s="1245"/>
      <c r="E99" s="1245"/>
      <c r="F99" s="1245"/>
      <c r="G99" s="1246"/>
      <c r="H99" s="979">
        <f>SUMIF(G12:G83,"lrvb",H12:H83)</f>
        <v>0</v>
      </c>
      <c r="I99" s="158"/>
      <c r="J99" s="133">
        <f>SUMIF(G12:G82,"lrvb",J12:J82)</f>
        <v>685.6</v>
      </c>
      <c r="K99" s="523"/>
      <c r="L99" s="969"/>
      <c r="M99" s="969"/>
      <c r="N99" s="969"/>
    </row>
    <row r="100" spans="1:14" x14ac:dyDescent="0.2">
      <c r="A100" s="1244" t="s">
        <v>66</v>
      </c>
      <c r="B100" s="1245"/>
      <c r="C100" s="1245"/>
      <c r="D100" s="1245"/>
      <c r="E100" s="1245"/>
      <c r="F100" s="1245"/>
      <c r="G100" s="1246"/>
      <c r="H100" s="979">
        <f>SUMIF(G12:G83,"kt",H12:H83)</f>
        <v>1350</v>
      </c>
      <c r="I100" s="158">
        <f>SUMIF(G12:G82,"kt",I12:I82)</f>
        <v>750</v>
      </c>
      <c r="J100" s="133">
        <f>SUMIF(G18:G82,"kt",J18:J82)</f>
        <v>0</v>
      </c>
      <c r="K100" s="523"/>
      <c r="L100" s="969"/>
      <c r="M100" s="969"/>
      <c r="N100" s="969"/>
    </row>
    <row r="101" spans="1:14" ht="13.5" thickBot="1" x14ac:dyDescent="0.25">
      <c r="A101" s="1591" t="s">
        <v>22</v>
      </c>
      <c r="B101" s="1592"/>
      <c r="C101" s="1592"/>
      <c r="D101" s="1592"/>
      <c r="E101" s="1592"/>
      <c r="F101" s="1592"/>
      <c r="G101" s="1593"/>
      <c r="H101" s="214">
        <f ca="1">H97+H91</f>
        <v>32866.300000000003</v>
      </c>
      <c r="I101" s="974">
        <f>I97+I91</f>
        <v>43931.7</v>
      </c>
      <c r="J101" s="237">
        <f>J97+J91</f>
        <v>22367.499999999996</v>
      </c>
      <c r="K101" s="522"/>
      <c r="L101" s="972"/>
      <c r="M101" s="1225"/>
      <c r="N101" s="1225"/>
    </row>
    <row r="103" spans="1:14" x14ac:dyDescent="0.2">
      <c r="K103" s="847"/>
    </row>
  </sheetData>
  <mergeCells count="134">
    <mergeCell ref="G5:G7"/>
    <mergeCell ref="H5:H7"/>
    <mergeCell ref="I5:I7"/>
    <mergeCell ref="J5:J7"/>
    <mergeCell ref="K5:N5"/>
    <mergeCell ref="K6:K7"/>
    <mergeCell ref="L6:N6"/>
    <mergeCell ref="A1:O1"/>
    <mergeCell ref="A2:O2"/>
    <mergeCell ref="A3:O3"/>
    <mergeCell ref="L4:N4"/>
    <mergeCell ref="A5:A7"/>
    <mergeCell ref="B5:B7"/>
    <mergeCell ref="C5:C7"/>
    <mergeCell ref="D5:D7"/>
    <mergeCell ref="E5:E7"/>
    <mergeCell ref="F5:F7"/>
    <mergeCell ref="K12:K13"/>
    <mergeCell ref="A14:A15"/>
    <mergeCell ref="B14:B15"/>
    <mergeCell ref="C14:C15"/>
    <mergeCell ref="D14:D15"/>
    <mergeCell ref="E14:E15"/>
    <mergeCell ref="F14:F15"/>
    <mergeCell ref="A8:N8"/>
    <mergeCell ref="A9:N9"/>
    <mergeCell ref="B10:N10"/>
    <mergeCell ref="C11:N11"/>
    <mergeCell ref="A12:A13"/>
    <mergeCell ref="B12:B13"/>
    <mergeCell ref="C12:C13"/>
    <mergeCell ref="D12:D13"/>
    <mergeCell ref="E12:E13"/>
    <mergeCell ref="F12:F13"/>
    <mergeCell ref="K16:K17"/>
    <mergeCell ref="L16:L17"/>
    <mergeCell ref="M16:M17"/>
    <mergeCell ref="N16:N17"/>
    <mergeCell ref="C18:G18"/>
    <mergeCell ref="K18:N18"/>
    <mergeCell ref="A16:A17"/>
    <mergeCell ref="B16:B17"/>
    <mergeCell ref="C16:C17"/>
    <mergeCell ref="D16:D17"/>
    <mergeCell ref="E16:E17"/>
    <mergeCell ref="F16:F17"/>
    <mergeCell ref="C19:N19"/>
    <mergeCell ref="D20:D21"/>
    <mergeCell ref="K20:K21"/>
    <mergeCell ref="K22:K24"/>
    <mergeCell ref="D29:D30"/>
    <mergeCell ref="A31:A34"/>
    <mergeCell ref="B31:B34"/>
    <mergeCell ref="C31:C34"/>
    <mergeCell ref="E31:E34"/>
    <mergeCell ref="F31:F34"/>
    <mergeCell ref="C44:G44"/>
    <mergeCell ref="K44:N44"/>
    <mergeCell ref="C45:N45"/>
    <mergeCell ref="C46:C50"/>
    <mergeCell ref="E46:E50"/>
    <mergeCell ref="F46:F50"/>
    <mergeCell ref="D33:D34"/>
    <mergeCell ref="K33:K34"/>
    <mergeCell ref="E35:E37"/>
    <mergeCell ref="D40:D41"/>
    <mergeCell ref="D42:D43"/>
    <mergeCell ref="K42:K43"/>
    <mergeCell ref="L56:L59"/>
    <mergeCell ref="M56:M59"/>
    <mergeCell ref="N56:N59"/>
    <mergeCell ref="C60:C64"/>
    <mergeCell ref="D60:D64"/>
    <mergeCell ref="F60:F64"/>
    <mergeCell ref="E61:E64"/>
    <mergeCell ref="D51:D53"/>
    <mergeCell ref="K51:K52"/>
    <mergeCell ref="E53:G53"/>
    <mergeCell ref="D54:D59"/>
    <mergeCell ref="E55:E58"/>
    <mergeCell ref="K56:K59"/>
    <mergeCell ref="D75:D76"/>
    <mergeCell ref="K75:K76"/>
    <mergeCell ref="L75:L76"/>
    <mergeCell ref="C77:G77"/>
    <mergeCell ref="K77:N77"/>
    <mergeCell ref="C78:N78"/>
    <mergeCell ref="C65:C69"/>
    <mergeCell ref="D65:D69"/>
    <mergeCell ref="F65:F69"/>
    <mergeCell ref="E66:E69"/>
    <mergeCell ref="K66:K67"/>
    <mergeCell ref="D70:D71"/>
    <mergeCell ref="E70:E71"/>
    <mergeCell ref="D79:D80"/>
    <mergeCell ref="K79:K80"/>
    <mergeCell ref="M79:M80"/>
    <mergeCell ref="N79:N80"/>
    <mergeCell ref="B81:B82"/>
    <mergeCell ref="C81:C82"/>
    <mergeCell ref="D81:D82"/>
    <mergeCell ref="E81:E82"/>
    <mergeCell ref="F81:F82"/>
    <mergeCell ref="K81:K82"/>
    <mergeCell ref="C85:G85"/>
    <mergeCell ref="B86:G86"/>
    <mergeCell ref="B87:G87"/>
    <mergeCell ref="D89:J89"/>
    <mergeCell ref="A90:G90"/>
    <mergeCell ref="A83:A84"/>
    <mergeCell ref="B83:B84"/>
    <mergeCell ref="C83:C84"/>
    <mergeCell ref="D83:D84"/>
    <mergeCell ref="E83:E84"/>
    <mergeCell ref="F83:F84"/>
    <mergeCell ref="A93:G93"/>
    <mergeCell ref="M93:N93"/>
    <mergeCell ref="A94:G94"/>
    <mergeCell ref="M94:N94"/>
    <mergeCell ref="M90:N90"/>
    <mergeCell ref="A91:G91"/>
    <mergeCell ref="M91:N91"/>
    <mergeCell ref="A92:G92"/>
    <mergeCell ref="M92:N92"/>
    <mergeCell ref="A100:G100"/>
    <mergeCell ref="A101:G101"/>
    <mergeCell ref="M101:N101"/>
    <mergeCell ref="M97:N97"/>
    <mergeCell ref="A98:G98"/>
    <mergeCell ref="M98:N98"/>
    <mergeCell ref="A99:G99"/>
    <mergeCell ref="A95:G95"/>
    <mergeCell ref="A96:G96"/>
    <mergeCell ref="A97:G9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6</vt:i4>
      </vt:variant>
    </vt:vector>
  </HeadingPairs>
  <TitlesOfParts>
    <vt:vector size="11" baseType="lpstr">
      <vt:lpstr>SVP 2014-2016</vt:lpstr>
      <vt:lpstr>Asignavimu valdytoju kodai</vt:lpstr>
      <vt:lpstr>11 programa</vt:lpstr>
      <vt:lpstr>Lyginamasis</vt:lpstr>
      <vt:lpstr>11 pr. Lt</vt:lpstr>
      <vt:lpstr>'11 programa'!Print_Area</vt:lpstr>
      <vt:lpstr>Lyginamasis!Print_Area</vt:lpstr>
      <vt:lpstr>'SVP 2014-2016'!Print_Area</vt:lpstr>
      <vt:lpstr>'11 programa'!Print_Titles</vt:lpstr>
      <vt:lpstr>Lyginamasis!Print_Titles</vt:lpstr>
      <vt:lpstr>'SVP 2014-2016'!Print_Titles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Snieguole Kacerauskaite</cp:lastModifiedBy>
  <cp:lastPrinted>2014-12-18T09:02:29Z</cp:lastPrinted>
  <dcterms:created xsi:type="dcterms:W3CDTF">2013-09-20T07:05:01Z</dcterms:created>
  <dcterms:modified xsi:type="dcterms:W3CDTF">2014-12-18T09:02:35Z</dcterms:modified>
</cp:coreProperties>
</file>