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0860" firstSheet="3" activeTab="3"/>
  </bookViews>
  <sheets>
    <sheet name="SVP 2014-2016" sheetId="16" state="hidden" r:id="rId1"/>
    <sheet name="Asignavimų valdytojai" sheetId="11" state="hidden" r:id="rId2"/>
    <sheet name="Lyginamasis" sheetId="17" state="hidden" r:id="rId3"/>
    <sheet name="12 programa" sheetId="18" r:id="rId4"/>
    <sheet name="Aiškinamoji lentelė" sheetId="15" state="hidden" r:id="rId5"/>
    <sheet name="12 pr. Lt" sheetId="20" state="hidden" r:id="rId6"/>
  </sheets>
  <definedNames>
    <definedName name="_xlnm.Print_Area" localSheetId="5">'12 pr. Lt'!$A$1:$R$173</definedName>
    <definedName name="_xlnm.Print_Area" localSheetId="3">'12 programa'!$A$1:$N$171</definedName>
    <definedName name="_xlnm.Print_Area" localSheetId="4">'Aiškinamoji lentelė'!$A$1:$AB$224</definedName>
    <definedName name="_xlnm.Print_Area" localSheetId="0">'SVP 2014-2016'!$A$1:$R$155</definedName>
    <definedName name="_xlnm.Print_Titles" localSheetId="5">'12 pr. Lt'!$5:$7</definedName>
    <definedName name="_xlnm.Print_Titles" localSheetId="3">'12 programa'!$5:$7</definedName>
    <definedName name="_xlnm.Print_Titles" localSheetId="4">'Aiškinamoji lentelė'!$5:$7</definedName>
    <definedName name="_xlnm.Print_Titles" localSheetId="0">'SVP 2014-2016'!$5:$7</definedName>
  </definedNames>
  <calcPr calcId="145621"/>
</workbook>
</file>

<file path=xl/calcChain.xml><?xml version="1.0" encoding="utf-8"?>
<calcChain xmlns="http://schemas.openxmlformats.org/spreadsheetml/2006/main">
  <c r="P136" i="15" l="1"/>
  <c r="P37" i="15"/>
  <c r="P135" i="15"/>
  <c r="J29" i="18" l="1"/>
  <c r="I29" i="18"/>
  <c r="H29" i="18"/>
  <c r="I29" i="20"/>
  <c r="I104" i="20"/>
  <c r="J104" i="20"/>
  <c r="K104" i="20"/>
  <c r="L104" i="20"/>
  <c r="I91" i="20"/>
  <c r="J91" i="20"/>
  <c r="K91" i="20"/>
  <c r="J83" i="20"/>
  <c r="J76" i="20"/>
  <c r="I61" i="20"/>
  <c r="J61" i="20"/>
  <c r="K61" i="20"/>
  <c r="L61" i="20"/>
  <c r="I38" i="20"/>
  <c r="I37" i="20"/>
  <c r="I36" i="20"/>
  <c r="I35" i="20"/>
  <c r="I108" i="20"/>
  <c r="I106" i="20"/>
  <c r="I107" i="20"/>
  <c r="I111" i="20"/>
  <c r="L117" i="20"/>
  <c r="I117" i="20" s="1"/>
  <c r="I116" i="20"/>
  <c r="I115" i="20"/>
  <c r="I172" i="20"/>
  <c r="I171" i="20"/>
  <c r="I170" i="20"/>
  <c r="I168" i="20"/>
  <c r="I167" i="20"/>
  <c r="I166" i="20"/>
  <c r="I165" i="20"/>
  <c r="I164" i="20"/>
  <c r="I94" i="20"/>
  <c r="J94" i="20"/>
  <c r="K94" i="20"/>
  <c r="L94" i="20"/>
  <c r="I83" i="20"/>
  <c r="I79" i="20"/>
  <c r="J79" i="20"/>
  <c r="L79" i="20"/>
  <c r="I76" i="20"/>
  <c r="J72" i="20"/>
  <c r="I33" i="20"/>
  <c r="J18" i="20"/>
  <c r="J33" i="20" s="1"/>
  <c r="K33" i="20"/>
  <c r="I128" i="20"/>
  <c r="L111" i="20"/>
  <c r="I110" i="20"/>
  <c r="I109" i="20"/>
  <c r="K98" i="20"/>
  <c r="M98" i="20"/>
  <c r="N98" i="20"/>
  <c r="I21" i="20"/>
  <c r="O223" i="15"/>
  <c r="O219" i="15"/>
  <c r="O218" i="15"/>
  <c r="O217" i="15"/>
  <c r="O216" i="15"/>
  <c r="O215" i="15"/>
  <c r="O214" i="15" l="1"/>
  <c r="I163" i="20"/>
  <c r="J98" i="20"/>
  <c r="L98" i="20"/>
  <c r="I112" i="20"/>
  <c r="H170" i="18"/>
  <c r="H169" i="18"/>
  <c r="H168" i="18"/>
  <c r="H166" i="18"/>
  <c r="H165" i="18"/>
  <c r="H164" i="18"/>
  <c r="H163" i="18"/>
  <c r="H162" i="18"/>
  <c r="H161" i="18" s="1"/>
  <c r="R147" i="15"/>
  <c r="O147" i="15" s="1"/>
  <c r="H129" i="18" l="1"/>
  <c r="H128" i="18"/>
  <c r="H127" i="18"/>
  <c r="H116" i="18"/>
  <c r="O155" i="15"/>
  <c r="O156" i="15"/>
  <c r="P156" i="15"/>
  <c r="Q156" i="15"/>
  <c r="R156" i="15"/>
  <c r="R155" i="15"/>
  <c r="H111" i="18"/>
  <c r="H110" i="18"/>
  <c r="H109" i="18"/>
  <c r="H108" i="18"/>
  <c r="O154" i="15"/>
  <c r="O153" i="15"/>
  <c r="H79" i="18"/>
  <c r="O205" i="15"/>
  <c r="O121" i="15"/>
  <c r="O35" i="15"/>
  <c r="P123" i="15"/>
  <c r="P35" i="15"/>
  <c r="H93" i="18"/>
  <c r="H90" i="18"/>
  <c r="H82" i="18"/>
  <c r="H97" i="18" s="1"/>
  <c r="H78" i="18"/>
  <c r="H75" i="18"/>
  <c r="H71" i="18"/>
  <c r="H60" i="18"/>
  <c r="H18" i="18"/>
  <c r="J13" i="18"/>
  <c r="I13" i="18"/>
  <c r="H13" i="18"/>
  <c r="H35" i="18"/>
  <c r="J12" i="18"/>
  <c r="J18" i="18" s="1"/>
  <c r="I12" i="18"/>
  <c r="H12" i="18"/>
  <c r="I18" i="18" l="1"/>
  <c r="J35" i="18" l="1"/>
  <c r="I35" i="18"/>
  <c r="X102" i="15"/>
  <c r="W102" i="15"/>
  <c r="X97" i="15"/>
  <c r="X99" i="15" s="1"/>
  <c r="X105" i="15" s="1"/>
  <c r="W97" i="15"/>
  <c r="W99" i="15" s="1"/>
  <c r="X94" i="15"/>
  <c r="X96" i="15" s="1"/>
  <c r="W94" i="15"/>
  <c r="W96" i="15" s="1"/>
  <c r="X93" i="15"/>
  <c r="W93" i="15"/>
  <c r="X88" i="15"/>
  <c r="W88" i="15"/>
  <c r="X83" i="15"/>
  <c r="W83" i="15"/>
  <c r="X78" i="15"/>
  <c r="W78" i="15"/>
  <c r="X74" i="15"/>
  <c r="W74" i="15"/>
  <c r="W65" i="15"/>
  <c r="X61" i="15"/>
  <c r="X65" i="15" s="1"/>
  <c r="W61" i="15"/>
  <c r="X60" i="15"/>
  <c r="W60" i="15"/>
  <c r="X49" i="15"/>
  <c r="W49" i="15"/>
  <c r="P105" i="15"/>
  <c r="Q105" i="15"/>
  <c r="R105" i="15"/>
  <c r="S105" i="15"/>
  <c r="T105" i="15"/>
  <c r="U105" i="15"/>
  <c r="V105" i="15"/>
  <c r="O105" i="15"/>
  <c r="Q100" i="15"/>
  <c r="P100" i="15"/>
  <c r="O100" i="15" s="1"/>
  <c r="Q97" i="15"/>
  <c r="P97" i="15"/>
  <c r="O97" i="15" s="1"/>
  <c r="Q94" i="15"/>
  <c r="P94" i="15"/>
  <c r="O94" i="15"/>
  <c r="Q90" i="15"/>
  <c r="P90" i="15"/>
  <c r="O90" i="15" s="1"/>
  <c r="Q86" i="15"/>
  <c r="P86" i="15"/>
  <c r="O86" i="15"/>
  <c r="Q82" i="15"/>
  <c r="P82" i="15"/>
  <c r="O82" i="15"/>
  <c r="Q75" i="15"/>
  <c r="P75" i="15"/>
  <c r="O75" i="15" s="1"/>
  <c r="Q66" i="15"/>
  <c r="P66" i="15"/>
  <c r="O66" i="15"/>
  <c r="Q61" i="15"/>
  <c r="P61" i="15"/>
  <c r="O61" i="15"/>
  <c r="W105" i="15" l="1"/>
  <c r="Q50" i="15"/>
  <c r="P50" i="15"/>
  <c r="O50" i="15"/>
  <c r="Q42" i="15"/>
  <c r="P42" i="15"/>
  <c r="O42" i="15"/>
  <c r="J19" i="18" l="1"/>
  <c r="I19" i="18"/>
  <c r="W26" i="15"/>
  <c r="W217" i="15"/>
  <c r="W18" i="15"/>
  <c r="I38" i="18"/>
  <c r="H135" i="18"/>
  <c r="J150" i="18"/>
  <c r="I150" i="18"/>
  <c r="J145" i="18"/>
  <c r="I145" i="18"/>
  <c r="J141" i="18"/>
  <c r="I141" i="18"/>
  <c r="J140" i="18"/>
  <c r="I140" i="18"/>
  <c r="J137" i="18"/>
  <c r="I137" i="18"/>
  <c r="J136" i="18"/>
  <c r="I136" i="18"/>
  <c r="I124" i="18"/>
  <c r="J121" i="18"/>
  <c r="I121" i="18"/>
  <c r="J120" i="18"/>
  <c r="I120" i="18"/>
  <c r="J83" i="18"/>
  <c r="I83" i="18"/>
  <c r="J81" i="18"/>
  <c r="I81" i="18"/>
  <c r="J80" i="18"/>
  <c r="I80" i="18"/>
  <c r="J79" i="18"/>
  <c r="I79" i="18"/>
  <c r="J77" i="18"/>
  <c r="I77" i="18"/>
  <c r="H77" i="18"/>
  <c r="J76" i="18"/>
  <c r="I76" i="18"/>
  <c r="H76" i="18"/>
  <c r="J72" i="18"/>
  <c r="I72" i="18"/>
  <c r="J63" i="18"/>
  <c r="I63" i="18"/>
  <c r="J61" i="18"/>
  <c r="I61" i="18"/>
  <c r="J39" i="18"/>
  <c r="I39" i="18"/>
  <c r="J38" i="18"/>
  <c r="J37" i="18"/>
  <c r="I37" i="18"/>
  <c r="J36" i="18"/>
  <c r="I36" i="18"/>
  <c r="I60" i="18" s="1"/>
  <c r="J31" i="18"/>
  <c r="I31" i="18"/>
  <c r="J27" i="18"/>
  <c r="I27" i="18"/>
  <c r="J25" i="18"/>
  <c r="I25" i="18"/>
  <c r="J23" i="18"/>
  <c r="I23" i="18"/>
  <c r="J21" i="18"/>
  <c r="I21" i="18"/>
  <c r="J60" i="18" l="1"/>
  <c r="H154" i="18"/>
  <c r="H150" i="18"/>
  <c r="H145" i="18"/>
  <c r="H139" i="18"/>
  <c r="H132" i="18"/>
  <c r="H126" i="18"/>
  <c r="H124" i="18"/>
  <c r="H123" i="18"/>
  <c r="H117" i="18"/>
  <c r="H115" i="18"/>
  <c r="H114" i="18"/>
  <c r="H113" i="18"/>
  <c r="H106" i="18"/>
  <c r="H105" i="18"/>
  <c r="H104" i="18"/>
  <c r="H102" i="18"/>
  <c r="H101" i="18"/>
  <c r="H100" i="18"/>
  <c r="H94" i="18"/>
  <c r="H92" i="18"/>
  <c r="H91" i="18"/>
  <c r="H89" i="18"/>
  <c r="H88" i="18"/>
  <c r="H87" i="18"/>
  <c r="H83" i="18"/>
  <c r="H81" i="18"/>
  <c r="H80" i="18"/>
  <c r="H74" i="18"/>
  <c r="H72" i="18"/>
  <c r="H63" i="18"/>
  <c r="H61" i="18"/>
  <c r="H39" i="18"/>
  <c r="H38" i="18"/>
  <c r="H37" i="18"/>
  <c r="H36" i="18"/>
  <c r="H31" i="18"/>
  <c r="H27" i="18"/>
  <c r="H25" i="18"/>
  <c r="H23" i="18"/>
  <c r="H21" i="18"/>
  <c r="H19" i="18"/>
  <c r="H167" i="18" l="1"/>
  <c r="N172" i="20" l="1"/>
  <c r="M172" i="20"/>
  <c r="N171" i="20"/>
  <c r="M171" i="20"/>
  <c r="N170" i="20"/>
  <c r="N169" i="20" s="1"/>
  <c r="M170" i="20"/>
  <c r="M169" i="20" s="1"/>
  <c r="N167" i="20"/>
  <c r="M167" i="20"/>
  <c r="N166" i="20"/>
  <c r="M166" i="20"/>
  <c r="N165" i="20"/>
  <c r="M165" i="20"/>
  <c r="N164" i="20"/>
  <c r="N163" i="20" s="1"/>
  <c r="N173" i="20" s="1"/>
  <c r="M164" i="20"/>
  <c r="M163" i="20" s="1"/>
  <c r="M173" i="20" s="1"/>
  <c r="L156" i="20"/>
  <c r="K156" i="20"/>
  <c r="J156" i="20"/>
  <c r="I156" i="20"/>
  <c r="H156" i="20"/>
  <c r="I155" i="20"/>
  <c r="N153" i="20"/>
  <c r="M153" i="20"/>
  <c r="L153" i="20"/>
  <c r="K153" i="20"/>
  <c r="J153" i="20"/>
  <c r="I153" i="20"/>
  <c r="H153" i="20"/>
  <c r="I146" i="20"/>
  <c r="K144" i="20"/>
  <c r="J144" i="20"/>
  <c r="N143" i="20"/>
  <c r="M143" i="20"/>
  <c r="M144" i="20" s="1"/>
  <c r="L143" i="20"/>
  <c r="L144" i="20" s="1"/>
  <c r="L157" i="20" s="1"/>
  <c r="H143" i="20"/>
  <c r="I140" i="20"/>
  <c r="I143" i="20" s="1"/>
  <c r="N139" i="20"/>
  <c r="N144" i="20" s="1"/>
  <c r="M139" i="20"/>
  <c r="L139" i="20"/>
  <c r="H139" i="20"/>
  <c r="I136" i="20"/>
  <c r="I139" i="20" s="1"/>
  <c r="L135" i="20"/>
  <c r="I135" i="20"/>
  <c r="H135" i="20"/>
  <c r="I133" i="20"/>
  <c r="N128" i="20"/>
  <c r="M128" i="20"/>
  <c r="L128" i="20"/>
  <c r="K128" i="20"/>
  <c r="J128" i="20"/>
  <c r="H128" i="20"/>
  <c r="I125" i="20"/>
  <c r="I124" i="20"/>
  <c r="N123" i="20"/>
  <c r="M123" i="20"/>
  <c r="M129" i="20" s="1"/>
  <c r="M130" i="20" s="1"/>
  <c r="L120" i="20"/>
  <c r="I120" i="20"/>
  <c r="H120" i="20"/>
  <c r="I118" i="20"/>
  <c r="K117" i="20"/>
  <c r="K129" i="20" s="1"/>
  <c r="J117" i="20"/>
  <c r="H117" i="20"/>
  <c r="H129" i="20" s="1"/>
  <c r="I114" i="20"/>
  <c r="L112" i="20"/>
  <c r="K112" i="20"/>
  <c r="K111" i="20"/>
  <c r="J111" i="20"/>
  <c r="H111" i="20"/>
  <c r="H112" i="20" s="1"/>
  <c r="L108" i="20"/>
  <c r="K108" i="20"/>
  <c r="J108" i="20"/>
  <c r="H108" i="20"/>
  <c r="I105" i="20"/>
  <c r="H104" i="20"/>
  <c r="I103" i="20"/>
  <c r="I102" i="20"/>
  <c r="I101" i="20"/>
  <c r="J97" i="20"/>
  <c r="H97" i="20"/>
  <c r="I95" i="20"/>
  <c r="I97" i="20" s="1"/>
  <c r="H94" i="20"/>
  <c r="J93" i="20"/>
  <c r="I93" i="20"/>
  <c r="J92" i="20"/>
  <c r="I92" i="20"/>
  <c r="H91" i="20"/>
  <c r="I90" i="20"/>
  <c r="I89" i="20"/>
  <c r="I88" i="20"/>
  <c r="N86" i="20"/>
  <c r="M86" i="20"/>
  <c r="L86" i="20"/>
  <c r="I86" i="20" s="1"/>
  <c r="J86" i="20"/>
  <c r="H86" i="20"/>
  <c r="N83" i="20"/>
  <c r="M83" i="20"/>
  <c r="H83" i="20"/>
  <c r="I82" i="20"/>
  <c r="I81" i="20"/>
  <c r="I80" i="20"/>
  <c r="N79" i="20"/>
  <c r="M79" i="20"/>
  <c r="H79" i="20"/>
  <c r="I78" i="20"/>
  <c r="I77" i="20"/>
  <c r="N76" i="20"/>
  <c r="M76" i="20"/>
  <c r="H76" i="20"/>
  <c r="N72" i="20"/>
  <c r="M72" i="20"/>
  <c r="H72" i="20"/>
  <c r="I64" i="20"/>
  <c r="I72" i="20" s="1"/>
  <c r="N63" i="20"/>
  <c r="M63" i="20"/>
  <c r="J63" i="20"/>
  <c r="I63" i="20"/>
  <c r="H63" i="20"/>
  <c r="N61" i="20"/>
  <c r="M61" i="20"/>
  <c r="H61" i="20"/>
  <c r="I39" i="20"/>
  <c r="L35" i="20"/>
  <c r="N32" i="20"/>
  <c r="M32" i="20"/>
  <c r="H32" i="20"/>
  <c r="J31" i="20"/>
  <c r="J32" i="20" s="1"/>
  <c r="I32" i="20" s="1"/>
  <c r="N30" i="20"/>
  <c r="M30" i="20"/>
  <c r="J30" i="20"/>
  <c r="I30" i="20"/>
  <c r="H30" i="20"/>
  <c r="N28" i="20"/>
  <c r="M28" i="20"/>
  <c r="J28" i="20"/>
  <c r="I28" i="20" s="1"/>
  <c r="H28" i="20"/>
  <c r="I27" i="20"/>
  <c r="N26" i="20"/>
  <c r="M26" i="20"/>
  <c r="J26" i="20"/>
  <c r="I26" i="20" s="1"/>
  <c r="H26" i="20"/>
  <c r="I25" i="20"/>
  <c r="N24" i="20"/>
  <c r="M24" i="20"/>
  <c r="H24" i="20"/>
  <c r="I23" i="20"/>
  <c r="J23" i="20" s="1"/>
  <c r="J24" i="20" s="1"/>
  <c r="I24" i="20" s="1"/>
  <c r="N22" i="20"/>
  <c r="M22" i="20"/>
  <c r="K22" i="20"/>
  <c r="J22" i="20"/>
  <c r="I22" i="20" s="1"/>
  <c r="H22" i="20"/>
  <c r="N20" i="20"/>
  <c r="M20" i="20"/>
  <c r="K20" i="20"/>
  <c r="J20" i="20"/>
  <c r="I20" i="20"/>
  <c r="H20" i="20"/>
  <c r="I19" i="20"/>
  <c r="N18" i="20"/>
  <c r="M18" i="20"/>
  <c r="H18" i="20"/>
  <c r="I14" i="20"/>
  <c r="I18" i="20" s="1"/>
  <c r="K130" i="20" l="1"/>
  <c r="K158" i="20" s="1"/>
  <c r="K159" i="20" s="1"/>
  <c r="J112" i="20"/>
  <c r="L129" i="20"/>
  <c r="L130" i="20" s="1"/>
  <c r="L158" i="20" s="1"/>
  <c r="L159" i="20" s="1"/>
  <c r="J157" i="20"/>
  <c r="H98" i="20"/>
  <c r="I144" i="20"/>
  <c r="K157" i="20"/>
  <c r="I98" i="20"/>
  <c r="J129" i="20"/>
  <c r="J130" i="20" s="1"/>
  <c r="N129" i="20"/>
  <c r="N130" i="20" s="1"/>
  <c r="H144" i="20"/>
  <c r="H157" i="20" s="1"/>
  <c r="I129" i="20"/>
  <c r="I130" i="20" s="1"/>
  <c r="M157" i="20"/>
  <c r="I157" i="20"/>
  <c r="H33" i="20"/>
  <c r="N33" i="20"/>
  <c r="M33" i="20"/>
  <c r="H171" i="18"/>
  <c r="H130" i="20"/>
  <c r="H158" i="20"/>
  <c r="H159" i="20" s="1"/>
  <c r="N157" i="20"/>
  <c r="O186" i="15"/>
  <c r="I169" i="20" l="1"/>
  <c r="M158" i="20"/>
  <c r="M159" i="20" s="1"/>
  <c r="N158" i="20"/>
  <c r="N159" i="20" s="1"/>
  <c r="J158" i="20"/>
  <c r="J159" i="20" s="1"/>
  <c r="I158" i="20"/>
  <c r="I159" i="20" s="1"/>
  <c r="H155" i="18"/>
  <c r="H152" i="18"/>
  <c r="H142" i="18"/>
  <c r="H138" i="18"/>
  <c r="H134" i="18"/>
  <c r="H119" i="18"/>
  <c r="H107" i="18"/>
  <c r="H103" i="18"/>
  <c r="H96" i="18"/>
  <c r="H85" i="18"/>
  <c r="H62" i="18"/>
  <c r="I173" i="20" l="1"/>
  <c r="J174" i="20" s="1"/>
  <c r="H143" i="18"/>
  <c r="H156" i="18" s="1"/>
  <c r="H32" i="18"/>
  <c r="H30" i="18"/>
  <c r="H33" i="18" s="1"/>
  <c r="H28" i="18"/>
  <c r="H26" i="18"/>
  <c r="H24" i="18"/>
  <c r="H22" i="18"/>
  <c r="H20" i="18"/>
  <c r="H157" i="18" l="1"/>
  <c r="H158" i="18" s="1"/>
  <c r="L119" i="15" l="1"/>
  <c r="X119" i="15"/>
  <c r="W119" i="15"/>
  <c r="S117" i="15"/>
  <c r="K117" i="15"/>
  <c r="K119" i="15" s="1"/>
  <c r="O203" i="15" l="1"/>
  <c r="O72" i="15"/>
  <c r="L74" i="15"/>
  <c r="M74" i="15"/>
  <c r="N74" i="15"/>
  <c r="R74" i="15"/>
  <c r="T74" i="15"/>
  <c r="U74" i="15"/>
  <c r="V74" i="15"/>
  <c r="K73" i="15"/>
  <c r="P119" i="15"/>
  <c r="O118" i="15"/>
  <c r="O138" i="15"/>
  <c r="I127" i="18" l="1"/>
  <c r="J127" i="18"/>
  <c r="I71" i="18"/>
  <c r="I97" i="18" s="1"/>
  <c r="J71" i="18"/>
  <c r="J97" i="18" s="1"/>
  <c r="J170" i="18" l="1"/>
  <c r="I170" i="18"/>
  <c r="J169" i="18"/>
  <c r="I169" i="18"/>
  <c r="J168" i="18"/>
  <c r="I168" i="18"/>
  <c r="J165" i="18"/>
  <c r="I165" i="18"/>
  <c r="J164" i="18"/>
  <c r="I164" i="18"/>
  <c r="J163" i="18"/>
  <c r="I163" i="18"/>
  <c r="I162" i="18"/>
  <c r="J152" i="18"/>
  <c r="I152" i="18"/>
  <c r="J142" i="18"/>
  <c r="I142" i="18"/>
  <c r="J138" i="18"/>
  <c r="I138" i="18"/>
  <c r="J122" i="18"/>
  <c r="J128" i="18" s="1"/>
  <c r="J129" i="18" s="1"/>
  <c r="I122" i="18"/>
  <c r="I128" i="18" s="1"/>
  <c r="I129" i="18" s="1"/>
  <c r="J85" i="18"/>
  <c r="I85" i="18"/>
  <c r="J82" i="18"/>
  <c r="I82" i="18"/>
  <c r="J78" i="18"/>
  <c r="I78" i="18"/>
  <c r="J75" i="18"/>
  <c r="I75" i="18"/>
  <c r="J62" i="18"/>
  <c r="I62" i="18"/>
  <c r="J32" i="18"/>
  <c r="I32" i="18"/>
  <c r="J30" i="18"/>
  <c r="I30" i="18"/>
  <c r="J28" i="18"/>
  <c r="I28" i="18"/>
  <c r="J26" i="18"/>
  <c r="I26" i="18"/>
  <c r="J24" i="18"/>
  <c r="I24" i="18"/>
  <c r="J22" i="18"/>
  <c r="I22" i="18"/>
  <c r="J20" i="18"/>
  <c r="I20" i="18"/>
  <c r="I167" i="18" l="1"/>
  <c r="J167" i="18"/>
  <c r="I143" i="18"/>
  <c r="I156" i="18" s="1"/>
  <c r="I33" i="18"/>
  <c r="J143" i="18"/>
  <c r="J156" i="18" s="1"/>
  <c r="I161" i="18"/>
  <c r="J33" i="18"/>
  <c r="J162" i="18"/>
  <c r="J161" i="18" s="1"/>
  <c r="J171" i="18" s="1"/>
  <c r="I171" i="18" l="1"/>
  <c r="I157" i="18"/>
  <c r="I158" i="18" s="1"/>
  <c r="J157" i="18"/>
  <c r="J158" i="18" s="1"/>
  <c r="O12" i="15"/>
  <c r="O132" i="15"/>
  <c r="K22" i="15" l="1"/>
  <c r="O22" i="15"/>
  <c r="P194" i="15" l="1"/>
  <c r="Q194" i="15"/>
  <c r="T194" i="15"/>
  <c r="U194" i="15"/>
  <c r="R185" i="15"/>
  <c r="O185" i="15" s="1"/>
  <c r="N185" i="15"/>
  <c r="N194" i="15" s="1"/>
  <c r="K184" i="15"/>
  <c r="O183" i="15"/>
  <c r="K183" i="15"/>
  <c r="K185" i="15" l="1"/>
  <c r="K194" i="15" s="1"/>
  <c r="O87" i="15"/>
  <c r="Q88" i="15"/>
  <c r="Q74" i="15"/>
  <c r="P74" i="15" l="1"/>
  <c r="P88" i="15"/>
  <c r="O88" i="15" s="1"/>
  <c r="O167" i="15"/>
  <c r="X168" i="15" l="1"/>
  <c r="X203" i="15"/>
  <c r="X104" i="15"/>
  <c r="W104" i="15"/>
  <c r="V104" i="15"/>
  <c r="U104" i="15"/>
  <c r="T104" i="15"/>
  <c r="R104" i="15"/>
  <c r="Q104" i="15"/>
  <c r="P104" i="15"/>
  <c r="O104" i="15"/>
  <c r="S103" i="15"/>
  <c r="S104" i="15" s="1"/>
  <c r="L140" i="15"/>
  <c r="M140" i="15"/>
  <c r="N140" i="15"/>
  <c r="O140" i="15"/>
  <c r="P140" i="15"/>
  <c r="Q140" i="15"/>
  <c r="R140" i="15"/>
  <c r="K140" i="15"/>
  <c r="V140" i="15"/>
  <c r="U140" i="15"/>
  <c r="T140" i="15"/>
  <c r="S140" i="15"/>
  <c r="O114" i="15"/>
  <c r="O164" i="15" l="1"/>
  <c r="W168" i="15" l="1"/>
  <c r="V168" i="15"/>
  <c r="S168" i="15" s="1"/>
  <c r="R168" i="15"/>
  <c r="S167" i="15"/>
  <c r="O168" i="15" l="1"/>
  <c r="L18" i="15"/>
  <c r="K18" i="15" s="1"/>
  <c r="X18" i="15"/>
  <c r="P18" i="15"/>
  <c r="T18" i="15"/>
  <c r="S18" i="15" s="1"/>
  <c r="S17" i="15"/>
  <c r="O17" i="15"/>
  <c r="S16" i="15"/>
  <c r="O16" i="15"/>
  <c r="P134" i="15" l="1"/>
  <c r="O134" i="15" l="1"/>
  <c r="S114" i="15"/>
  <c r="X115" i="15"/>
  <c r="W115" i="15"/>
  <c r="O131" i="15" l="1"/>
  <c r="O133" i="15" l="1"/>
  <c r="O98" i="15"/>
  <c r="O95" i="15"/>
  <c r="O92" i="15"/>
  <c r="O91" i="15"/>
  <c r="P93" i="15"/>
  <c r="O93" i="15" s="1"/>
  <c r="Q93" i="15"/>
  <c r="O85" i="15"/>
  <c r="O81" i="15"/>
  <c r="O80" i="15"/>
  <c r="O79" i="15"/>
  <c r="O67" i="15"/>
  <c r="O74" i="15" s="1"/>
  <c r="P62" i="15"/>
  <c r="O62" i="15"/>
  <c r="O58" i="15"/>
  <c r="O53" i="15"/>
  <c r="O27" i="15"/>
  <c r="O25" i="15"/>
  <c r="O23" i="15"/>
  <c r="O21" i="15"/>
  <c r="O20" i="15"/>
  <c r="O19" i="15"/>
  <c r="X216" i="15" l="1"/>
  <c r="W216" i="15" l="1"/>
  <c r="W215" i="15"/>
  <c r="S201" i="15" l="1"/>
  <c r="K201" i="15"/>
  <c r="X173" i="15"/>
  <c r="W173" i="15"/>
  <c r="W179" i="15" s="1"/>
  <c r="V173" i="15"/>
  <c r="S172" i="15"/>
  <c r="S171" i="15"/>
  <c r="V170" i="15"/>
  <c r="U170" i="15"/>
  <c r="T170" i="15"/>
  <c r="S170" i="15"/>
  <c r="R170" i="15"/>
  <c r="Q170" i="15"/>
  <c r="P170" i="15"/>
  <c r="O170" i="15"/>
  <c r="R166" i="15"/>
  <c r="X179" i="15" l="1"/>
  <c r="X180" i="15" s="1"/>
  <c r="S173" i="15"/>
  <c r="O136" i="15"/>
  <c r="O222" i="15" s="1"/>
  <c r="L136" i="15"/>
  <c r="K136" i="15" s="1"/>
  <c r="L135" i="15"/>
  <c r="K135" i="15" s="1"/>
  <c r="Q137" i="15"/>
  <c r="R137" i="15"/>
  <c r="M137" i="15"/>
  <c r="N137" i="15"/>
  <c r="P137" i="15" l="1"/>
  <c r="L137" i="15"/>
  <c r="O135" i="15"/>
  <c r="K137" i="15"/>
  <c r="X222" i="15"/>
  <c r="X193" i="15"/>
  <c r="X189" i="15"/>
  <c r="X126" i="15"/>
  <c r="X122" i="15"/>
  <c r="X26" i="15"/>
  <c r="W189" i="15"/>
  <c r="W193" i="15"/>
  <c r="W194" i="15" s="1"/>
  <c r="R193" i="15"/>
  <c r="O137" i="15" l="1"/>
  <c r="O221" i="15"/>
  <c r="X194" i="15"/>
  <c r="V189" i="15"/>
  <c r="V194" i="15" s="1"/>
  <c r="R189" i="15"/>
  <c r="R194" i="15" s="1"/>
  <c r="O190" i="15"/>
  <c r="O193" i="15" s="1"/>
  <c r="O189" i="15"/>
  <c r="O158" i="15"/>
  <c r="Q161" i="15"/>
  <c r="Q179" i="15" s="1"/>
  <c r="P161" i="15"/>
  <c r="O160" i="15"/>
  <c r="O159" i="15"/>
  <c r="O194" i="15" l="1"/>
  <c r="O148" i="15"/>
  <c r="R151" i="15"/>
  <c r="P151" i="15"/>
  <c r="O149" i="15"/>
  <c r="O150" i="15"/>
  <c r="O144" i="15"/>
  <c r="O145" i="15"/>
  <c r="O146" i="15"/>
  <c r="O151" i="15" l="1"/>
  <c r="W122" i="15" l="1"/>
  <c r="L122" i="15"/>
  <c r="N122" i="15"/>
  <c r="P122" i="15"/>
  <c r="R122" i="15"/>
  <c r="O120" i="15"/>
  <c r="O122" i="15" l="1"/>
  <c r="R203" i="15" l="1"/>
  <c r="O102" i="15" l="1"/>
  <c r="P96" i="15"/>
  <c r="R96" i="15"/>
  <c r="P126" i="15"/>
  <c r="O126" i="15" s="1"/>
  <c r="P83" i="15"/>
  <c r="O83" i="15" s="1"/>
  <c r="P78" i="15"/>
  <c r="R60" i="15"/>
  <c r="P60" i="15"/>
  <c r="Q83" i="15"/>
  <c r="Q65" i="15"/>
  <c r="Q60" i="15"/>
  <c r="P49" i="15"/>
  <c r="Q49" i="15"/>
  <c r="K219" i="15"/>
  <c r="L203" i="15"/>
  <c r="N147" i="15"/>
  <c r="L126" i="15"/>
  <c r="K126" i="15" s="1"/>
  <c r="L115" i="15"/>
  <c r="K115" i="15" s="1"/>
  <c r="W203" i="15"/>
  <c r="M203" i="15"/>
  <c r="N203" i="15"/>
  <c r="Q203" i="15"/>
  <c r="T203" i="15"/>
  <c r="U203" i="15"/>
  <c r="V203" i="15"/>
  <c r="P198" i="15"/>
  <c r="P203" i="15" s="1"/>
  <c r="K203" i="15" l="1"/>
  <c r="O60" i="15"/>
  <c r="K127" i="15" l="1"/>
  <c r="O125" i="15"/>
  <c r="O124" i="15"/>
  <c r="O123" i="15"/>
  <c r="P111" i="15"/>
  <c r="P115" i="15" s="1"/>
  <c r="O115" i="15" s="1"/>
  <c r="M93" i="15"/>
  <c r="M88" i="15"/>
  <c r="M83" i="15"/>
  <c r="M78" i="15"/>
  <c r="L78" i="15"/>
  <c r="M65" i="15"/>
  <c r="N60" i="15"/>
  <c r="M60" i="15"/>
  <c r="L60" i="15"/>
  <c r="M49" i="15"/>
  <c r="O96" i="15"/>
  <c r="O76" i="15"/>
  <c r="Q78" i="15"/>
  <c r="R78" i="15"/>
  <c r="AB61" i="15"/>
  <c r="AA61" i="15"/>
  <c r="Z61" i="15"/>
  <c r="P65" i="15"/>
  <c r="O55" i="15"/>
  <c r="O54" i="15"/>
  <c r="O56" i="15"/>
  <c r="R49" i="15"/>
  <c r="O49" i="15"/>
  <c r="O65" i="15" l="1"/>
  <c r="O99" i="15"/>
  <c r="O78" i="15"/>
  <c r="O33" i="15"/>
  <c r="O31" i="15"/>
  <c r="O29" i="15"/>
  <c r="P29" i="15" s="1"/>
  <c r="Q26" i="15"/>
  <c r="O15" i="15"/>
  <c r="O14" i="15"/>
  <c r="O18" i="15" l="1"/>
  <c r="P26" i="15"/>
  <c r="O26" i="15" s="1"/>
  <c r="W223" i="15"/>
  <c r="W221" i="15"/>
  <c r="W218" i="15"/>
  <c r="M26" i="15"/>
  <c r="S80" i="15"/>
  <c r="S14" i="15"/>
  <c r="S27" i="15"/>
  <c r="S55" i="15"/>
  <c r="S130" i="15"/>
  <c r="S132" i="15"/>
  <c r="S133" i="15"/>
  <c r="S131" i="15"/>
  <c r="T78" i="15"/>
  <c r="N206" i="15"/>
  <c r="N207" i="15" s="1"/>
  <c r="M206" i="15"/>
  <c r="M207" i="15" s="1"/>
  <c r="L206" i="15"/>
  <c r="L207" i="15" s="1"/>
  <c r="K205" i="15"/>
  <c r="K206" i="15" s="1"/>
  <c r="K207" i="15" s="1"/>
  <c r="K200" i="15"/>
  <c r="K199" i="15"/>
  <c r="K198" i="15"/>
  <c r="K197" i="15"/>
  <c r="K196" i="15"/>
  <c r="N178" i="15"/>
  <c r="K176" i="15"/>
  <c r="N166" i="15"/>
  <c r="K166" i="15" s="1"/>
  <c r="K164" i="15"/>
  <c r="L175" i="15"/>
  <c r="K174" i="15"/>
  <c r="L163" i="15"/>
  <c r="K163" i="15" s="1"/>
  <c r="K162" i="15"/>
  <c r="N161" i="15"/>
  <c r="M161" i="15"/>
  <c r="M179" i="15" s="1"/>
  <c r="L161" i="15"/>
  <c r="K160" i="15"/>
  <c r="K159" i="15"/>
  <c r="K158" i="15"/>
  <c r="N155" i="15"/>
  <c r="M155" i="15"/>
  <c r="L155" i="15"/>
  <c r="K154" i="15"/>
  <c r="K153" i="15"/>
  <c r="K152" i="15"/>
  <c r="N151" i="15"/>
  <c r="M151" i="15"/>
  <c r="L151" i="15"/>
  <c r="K150" i="15"/>
  <c r="K149" i="15"/>
  <c r="K148" i="15"/>
  <c r="M147" i="15"/>
  <c r="L147" i="15"/>
  <c r="K147" i="15" s="1"/>
  <c r="K146" i="15"/>
  <c r="K145" i="15"/>
  <c r="K144" i="15"/>
  <c r="M132" i="15"/>
  <c r="M134" i="15" s="1"/>
  <c r="L132" i="15"/>
  <c r="L134" i="15" s="1"/>
  <c r="K132" i="15"/>
  <c r="N129" i="15"/>
  <c r="L129" i="15"/>
  <c r="K125" i="15"/>
  <c r="K124" i="15"/>
  <c r="K123" i="15"/>
  <c r="K121" i="15"/>
  <c r="K120" i="15"/>
  <c r="K113" i="15"/>
  <c r="K112" i="15"/>
  <c r="K111" i="15"/>
  <c r="K110" i="15"/>
  <c r="K109" i="15"/>
  <c r="L107" i="15"/>
  <c r="K107" i="15" s="1"/>
  <c r="K106" i="15"/>
  <c r="N99" i="15"/>
  <c r="M99" i="15"/>
  <c r="L99" i="15"/>
  <c r="K99" i="15"/>
  <c r="N96" i="15"/>
  <c r="M96" i="15"/>
  <c r="L96" i="15"/>
  <c r="K96" i="15"/>
  <c r="N102" i="15"/>
  <c r="M102" i="15"/>
  <c r="L102" i="15"/>
  <c r="K100" i="15"/>
  <c r="K102" i="15" s="1"/>
  <c r="L92" i="15"/>
  <c r="L93" i="15" s="1"/>
  <c r="K93" i="15" s="1"/>
  <c r="K91" i="15"/>
  <c r="K90" i="15"/>
  <c r="K86" i="15"/>
  <c r="L85" i="15"/>
  <c r="L88" i="15" s="1"/>
  <c r="K88" i="15" s="1"/>
  <c r="K84" i="15"/>
  <c r="K82" i="15"/>
  <c r="L81" i="15"/>
  <c r="L83" i="15" s="1"/>
  <c r="K79" i="15"/>
  <c r="N78" i="15"/>
  <c r="K76" i="15"/>
  <c r="K75" i="15"/>
  <c r="K67" i="15"/>
  <c r="K66" i="15"/>
  <c r="L62" i="15"/>
  <c r="L65" i="15" s="1"/>
  <c r="K61" i="15"/>
  <c r="K58" i="15"/>
  <c r="K56" i="15"/>
  <c r="K53" i="15"/>
  <c r="K50" i="15"/>
  <c r="L47" i="15"/>
  <c r="L49" i="15" s="1"/>
  <c r="K42" i="15"/>
  <c r="L38" i="15"/>
  <c r="K37" i="15"/>
  <c r="K38" i="15" s="1"/>
  <c r="L36" i="15"/>
  <c r="K35" i="15"/>
  <c r="L34" i="15"/>
  <c r="K33" i="15"/>
  <c r="K34" i="15" s="1"/>
  <c r="L32" i="15"/>
  <c r="K32" i="15" s="1"/>
  <c r="K31" i="15"/>
  <c r="L29" i="15"/>
  <c r="K29" i="15" s="1"/>
  <c r="M28" i="15"/>
  <c r="L28" i="15"/>
  <c r="K21" i="15"/>
  <c r="K20" i="15"/>
  <c r="L19" i="15"/>
  <c r="L26" i="15" s="1"/>
  <c r="K15" i="15"/>
  <c r="K12" i="15"/>
  <c r="K74" i="15" l="1"/>
  <c r="M39" i="15"/>
  <c r="L179" i="15"/>
  <c r="N179" i="15"/>
  <c r="K223" i="15"/>
  <c r="K218" i="15"/>
  <c r="K62" i="15"/>
  <c r="K65" i="15" s="1"/>
  <c r="K78" i="15"/>
  <c r="K151" i="15"/>
  <c r="K161" i="15"/>
  <c r="N105" i="15"/>
  <c r="N141" i="15" s="1"/>
  <c r="K36" i="15"/>
  <c r="K215" i="15"/>
  <c r="K60" i="15"/>
  <c r="K155" i="15"/>
  <c r="K175" i="15"/>
  <c r="K178" i="15"/>
  <c r="M105" i="15"/>
  <c r="M141" i="15" s="1"/>
  <c r="K222" i="15"/>
  <c r="K221" i="15"/>
  <c r="L156" i="15"/>
  <c r="M156" i="15"/>
  <c r="M180" i="15" s="1"/>
  <c r="K26" i="15"/>
  <c r="N156" i="15"/>
  <c r="K19" i="15"/>
  <c r="K85" i="15"/>
  <c r="K92" i="15"/>
  <c r="K28" i="15"/>
  <c r="L30" i="15"/>
  <c r="K30" i="15" s="1"/>
  <c r="K47" i="15"/>
  <c r="K122" i="15"/>
  <c r="K129" i="15"/>
  <c r="K134" i="15"/>
  <c r="K81" i="15"/>
  <c r="K83" i="15" s="1"/>
  <c r="R69" i="17"/>
  <c r="S69" i="17"/>
  <c r="T69" i="17"/>
  <c r="Q69" i="17"/>
  <c r="T139" i="17"/>
  <c r="S139" i="17"/>
  <c r="S140" i="17" s="1"/>
  <c r="R139" i="17"/>
  <c r="Q138" i="17"/>
  <c r="Q139" i="17" s="1"/>
  <c r="R135" i="17"/>
  <c r="R140" i="17" s="1"/>
  <c r="Q129" i="17"/>
  <c r="Q128" i="17"/>
  <c r="T127" i="17"/>
  <c r="T140" i="17" s="1"/>
  <c r="Q127" i="17"/>
  <c r="Q126" i="17"/>
  <c r="Q124" i="17"/>
  <c r="T120" i="17"/>
  <c r="S120" i="17"/>
  <c r="R117" i="17"/>
  <c r="Q117" i="17" s="1"/>
  <c r="Q120" i="17" s="1"/>
  <c r="Q114" i="17"/>
  <c r="T113" i="17"/>
  <c r="Q113" i="17"/>
  <c r="Q111" i="17"/>
  <c r="T110" i="17"/>
  <c r="Q110" i="17"/>
  <c r="Q108" i="17"/>
  <c r="T107" i="17"/>
  <c r="S107" i="17"/>
  <c r="R107" i="17"/>
  <c r="Q107" i="17"/>
  <c r="Q106" i="17"/>
  <c r="Q105" i="17"/>
  <c r="Q103" i="17"/>
  <c r="T100" i="17"/>
  <c r="T101" i="17" s="1"/>
  <c r="S100" i="17"/>
  <c r="S101" i="17" s="1"/>
  <c r="R100" i="17"/>
  <c r="R101" i="17" s="1"/>
  <c r="Q99" i="17"/>
  <c r="Q98" i="17"/>
  <c r="Q97" i="17"/>
  <c r="T96" i="17"/>
  <c r="S96" i="17"/>
  <c r="R96" i="17"/>
  <c r="Q96" i="17" s="1"/>
  <c r="Q95" i="17"/>
  <c r="Q94" i="17"/>
  <c r="Q93" i="17"/>
  <c r="T92" i="17"/>
  <c r="S92" i="17"/>
  <c r="R92" i="17"/>
  <c r="Q92" i="17" s="1"/>
  <c r="Q91" i="17"/>
  <c r="Q90" i="17"/>
  <c r="Q89" i="17"/>
  <c r="T85" i="17"/>
  <c r="T86" i="17" s="1"/>
  <c r="S85" i="17"/>
  <c r="R85" i="17"/>
  <c r="R86" i="17" s="1"/>
  <c r="Q85" i="17"/>
  <c r="Q84" i="17"/>
  <c r="Q83" i="17"/>
  <c r="S82" i="17"/>
  <c r="R82" i="17"/>
  <c r="Q82" i="17" s="1"/>
  <c r="S80" i="17"/>
  <c r="R80" i="17"/>
  <c r="Q80" i="17"/>
  <c r="T77" i="17"/>
  <c r="Q77" i="17" s="1"/>
  <c r="R77" i="17"/>
  <c r="Q75" i="17"/>
  <c r="R74" i="17"/>
  <c r="Q74" i="17" s="1"/>
  <c r="Q73" i="17"/>
  <c r="Q72" i="17"/>
  <c r="Q71" i="17"/>
  <c r="T70" i="17"/>
  <c r="R70" i="17"/>
  <c r="Q70" i="17"/>
  <c r="R67" i="17"/>
  <c r="Q67" i="17"/>
  <c r="Q66" i="17"/>
  <c r="R65" i="17"/>
  <c r="Q65" i="17"/>
  <c r="Q60" i="17"/>
  <c r="Q59" i="17"/>
  <c r="R58" i="17"/>
  <c r="Q58" i="17"/>
  <c r="Q57" i="17"/>
  <c r="T56" i="17"/>
  <c r="R56" i="17"/>
  <c r="S37" i="17"/>
  <c r="S56" i="17" s="1"/>
  <c r="R37" i="17"/>
  <c r="Q37" i="17"/>
  <c r="Q36" i="17"/>
  <c r="Q56" i="17" s="1"/>
  <c r="Q35" i="17"/>
  <c r="Q34" i="17"/>
  <c r="Q33" i="17"/>
  <c r="S30" i="17"/>
  <c r="R30" i="17"/>
  <c r="Q30" i="17"/>
  <c r="Q29" i="17"/>
  <c r="S28" i="17"/>
  <c r="R28" i="17"/>
  <c r="Q28" i="17"/>
  <c r="Q27" i="17"/>
  <c r="S26" i="17"/>
  <c r="R26" i="17"/>
  <c r="Q26" i="17"/>
  <c r="Q25" i="17"/>
  <c r="S24" i="17"/>
  <c r="R24" i="17"/>
  <c r="Q24" i="17" s="1"/>
  <c r="Q23" i="17"/>
  <c r="T22" i="17"/>
  <c r="S22" i="17"/>
  <c r="S31" i="17" s="1"/>
  <c r="R21" i="17"/>
  <c r="R22" i="17" s="1"/>
  <c r="Q22" i="17" s="1"/>
  <c r="Q21" i="17"/>
  <c r="T20" i="17"/>
  <c r="S20" i="17"/>
  <c r="R20" i="17"/>
  <c r="Q20" i="17"/>
  <c r="T18" i="17"/>
  <c r="S18" i="17"/>
  <c r="R18" i="17"/>
  <c r="Q18" i="17"/>
  <c r="Q17" i="17"/>
  <c r="R16" i="17"/>
  <c r="Q16" i="17"/>
  <c r="Q12" i="17"/>
  <c r="K179" i="15" l="1"/>
  <c r="L39" i="15"/>
  <c r="K39" i="15" s="1"/>
  <c r="K156" i="15"/>
  <c r="M208" i="15"/>
  <c r="M209" i="15" s="1"/>
  <c r="K217" i="15"/>
  <c r="K49" i="15"/>
  <c r="K105" i="15" s="1"/>
  <c r="K141" i="15" s="1"/>
  <c r="K216" i="15"/>
  <c r="K214" i="15" s="1"/>
  <c r="K220" i="15"/>
  <c r="L105" i="15"/>
  <c r="L141" i="15" s="1"/>
  <c r="L180" i="15"/>
  <c r="N180" i="15"/>
  <c r="N208" i="15" s="1"/>
  <c r="N209" i="15" s="1"/>
  <c r="R31" i="17"/>
  <c r="Q31" i="17" s="1"/>
  <c r="Q86" i="17"/>
  <c r="S121" i="17"/>
  <c r="S141" i="17" s="1"/>
  <c r="S142" i="17" s="1"/>
  <c r="R141" i="17"/>
  <c r="S86" i="17"/>
  <c r="T121" i="17"/>
  <c r="T141" i="17"/>
  <c r="T142" i="17" s="1"/>
  <c r="Q100" i="17"/>
  <c r="Q101" i="17" s="1"/>
  <c r="Q121" i="17" s="1"/>
  <c r="R120" i="17"/>
  <c r="R121" i="17" s="1"/>
  <c r="Q135" i="17"/>
  <c r="Q140" i="17" s="1"/>
  <c r="K180" i="15" l="1"/>
  <c r="K208" i="15" s="1"/>
  <c r="K209" i="15" s="1"/>
  <c r="L208" i="15"/>
  <c r="L209" i="15" s="1"/>
  <c r="K224" i="15"/>
  <c r="R142" i="17"/>
  <c r="Q142" i="17" s="1"/>
  <c r="Q141" i="17"/>
  <c r="P139" i="17" l="1"/>
  <c r="O139" i="17"/>
  <c r="O140" i="17" s="1"/>
  <c r="N139" i="17"/>
  <c r="M138" i="17"/>
  <c r="M139" i="17" s="1"/>
  <c r="N135" i="17"/>
  <c r="N140" i="17" s="1"/>
  <c r="M129" i="17"/>
  <c r="M128" i="17"/>
  <c r="P127" i="17"/>
  <c r="P140" i="17" s="1"/>
  <c r="M126" i="17"/>
  <c r="M127" i="17" s="1"/>
  <c r="M124" i="17"/>
  <c r="N117" i="17"/>
  <c r="M117" i="17" s="1"/>
  <c r="M114" i="17"/>
  <c r="P113" i="17"/>
  <c r="M113" i="17"/>
  <c r="M111" i="17"/>
  <c r="P110" i="17"/>
  <c r="M110" i="17" s="1"/>
  <c r="M108" i="17"/>
  <c r="P107" i="17"/>
  <c r="O107" i="17"/>
  <c r="O120" i="17" s="1"/>
  <c r="N107" i="17"/>
  <c r="M107" i="17" s="1"/>
  <c r="M106" i="17"/>
  <c r="M105" i="17"/>
  <c r="M103" i="17"/>
  <c r="P100" i="17"/>
  <c r="O100" i="17"/>
  <c r="N100" i="17"/>
  <c r="M99" i="17"/>
  <c r="M98" i="17"/>
  <c r="M97" i="17"/>
  <c r="P96" i="17"/>
  <c r="O96" i="17"/>
  <c r="N96" i="17"/>
  <c r="M95" i="17"/>
  <c r="M94" i="17"/>
  <c r="M93" i="17"/>
  <c r="P92" i="17"/>
  <c r="O92" i="17"/>
  <c r="N92" i="17"/>
  <c r="M92" i="17" s="1"/>
  <c r="M91" i="17"/>
  <c r="M90" i="17"/>
  <c r="M89" i="17"/>
  <c r="P85" i="17"/>
  <c r="M85" i="17" s="1"/>
  <c r="O85" i="17"/>
  <c r="N85" i="17"/>
  <c r="M84" i="17"/>
  <c r="M83" i="17"/>
  <c r="O80" i="17"/>
  <c r="O82" i="17" s="1"/>
  <c r="N80" i="17"/>
  <c r="N82" i="17" s="1"/>
  <c r="M82" i="17" s="1"/>
  <c r="M80" i="17"/>
  <c r="P77" i="17"/>
  <c r="N77" i="17"/>
  <c r="M77" i="17" s="1"/>
  <c r="M75" i="17"/>
  <c r="N74" i="17"/>
  <c r="M74" i="17" s="1"/>
  <c r="M73" i="17"/>
  <c r="M72" i="17"/>
  <c r="M71" i="17"/>
  <c r="P70" i="17"/>
  <c r="N70" i="17"/>
  <c r="M70" i="17"/>
  <c r="M69" i="17"/>
  <c r="M68" i="17"/>
  <c r="N67" i="17"/>
  <c r="M67" i="17"/>
  <c r="M66" i="17"/>
  <c r="N65" i="17"/>
  <c r="M65" i="17" s="1"/>
  <c r="M60" i="17"/>
  <c r="M59" i="17"/>
  <c r="N58" i="17"/>
  <c r="M58" i="17" s="1"/>
  <c r="M57" i="17"/>
  <c r="P56" i="17"/>
  <c r="O37" i="17"/>
  <c r="O56" i="17" s="1"/>
  <c r="N37" i="17"/>
  <c r="N56" i="17" s="1"/>
  <c r="M36" i="17"/>
  <c r="M35" i="17"/>
  <c r="M34" i="17"/>
  <c r="M33" i="17"/>
  <c r="O30" i="17"/>
  <c r="N30" i="17"/>
  <c r="M29" i="17"/>
  <c r="M30" i="17" s="1"/>
  <c r="O28" i="17"/>
  <c r="N28" i="17"/>
  <c r="M27" i="17"/>
  <c r="M28" i="17" s="1"/>
  <c r="O26" i="17"/>
  <c r="N26" i="17"/>
  <c r="M25" i="17"/>
  <c r="M26" i="17" s="1"/>
  <c r="O24" i="17"/>
  <c r="N24" i="17"/>
  <c r="M24" i="17" s="1"/>
  <c r="M23" i="17"/>
  <c r="P22" i="17"/>
  <c r="O22" i="17"/>
  <c r="N22" i="17"/>
  <c r="M22" i="17" s="1"/>
  <c r="N21" i="17"/>
  <c r="M21" i="17" s="1"/>
  <c r="P20" i="17"/>
  <c r="O20" i="17"/>
  <c r="N20" i="17"/>
  <c r="M20" i="17" s="1"/>
  <c r="P18" i="17"/>
  <c r="M18" i="17" s="1"/>
  <c r="O18" i="17"/>
  <c r="N18" i="17"/>
  <c r="M17" i="17"/>
  <c r="N16" i="17"/>
  <c r="M16" i="17" s="1"/>
  <c r="M12" i="17"/>
  <c r="L139" i="17"/>
  <c r="K139" i="17"/>
  <c r="K140" i="17" s="1"/>
  <c r="J139" i="17"/>
  <c r="I139" i="17"/>
  <c r="I138" i="17"/>
  <c r="J135" i="17"/>
  <c r="I129" i="17"/>
  <c r="I128" i="17"/>
  <c r="L127" i="17"/>
  <c r="L140" i="17" s="1"/>
  <c r="I126" i="17"/>
  <c r="I124" i="17"/>
  <c r="J117" i="17"/>
  <c r="J120" i="17" s="1"/>
  <c r="I114" i="17"/>
  <c r="L113" i="17"/>
  <c r="I113" i="17" s="1"/>
  <c r="I111" i="17"/>
  <c r="L110" i="17"/>
  <c r="I110" i="17" s="1"/>
  <c r="I108" i="17"/>
  <c r="L107" i="17"/>
  <c r="K107" i="17"/>
  <c r="K120" i="17" s="1"/>
  <c r="J107" i="17"/>
  <c r="I107" i="17" s="1"/>
  <c r="I106" i="17"/>
  <c r="I105" i="17"/>
  <c r="I103" i="17"/>
  <c r="L100" i="17"/>
  <c r="K100" i="17"/>
  <c r="K101" i="17" s="1"/>
  <c r="J100" i="17"/>
  <c r="I100" i="17"/>
  <c r="I99" i="17"/>
  <c r="I98" i="17"/>
  <c r="I97" i="17"/>
  <c r="L96" i="17"/>
  <c r="K96" i="17"/>
  <c r="J96" i="17"/>
  <c r="I95" i="17"/>
  <c r="I94" i="17"/>
  <c r="I93" i="17"/>
  <c r="L92" i="17"/>
  <c r="K92" i="17"/>
  <c r="J92" i="17"/>
  <c r="I92" i="17" s="1"/>
  <c r="I91" i="17"/>
  <c r="I90" i="17"/>
  <c r="I89" i="17"/>
  <c r="I149" i="17" s="1"/>
  <c r="L85" i="17"/>
  <c r="I85" i="17" s="1"/>
  <c r="K85" i="17"/>
  <c r="J85" i="17"/>
  <c r="I84" i="17"/>
  <c r="I83" i="17"/>
  <c r="I151" i="17" s="1"/>
  <c r="K80" i="17"/>
  <c r="K82" i="17" s="1"/>
  <c r="J80" i="17"/>
  <c r="J82" i="17" s="1"/>
  <c r="I82" i="17" s="1"/>
  <c r="I80" i="17"/>
  <c r="L77" i="17"/>
  <c r="J77" i="17"/>
  <c r="I77" i="17" s="1"/>
  <c r="I75" i="17"/>
  <c r="J74" i="17"/>
  <c r="I74" i="17" s="1"/>
  <c r="I73" i="17"/>
  <c r="I72" i="17"/>
  <c r="I71" i="17"/>
  <c r="L70" i="17"/>
  <c r="J70" i="17"/>
  <c r="I69" i="17"/>
  <c r="I68" i="17"/>
  <c r="J67" i="17"/>
  <c r="I67" i="17"/>
  <c r="I66" i="17"/>
  <c r="J65" i="17"/>
  <c r="I65" i="17" s="1"/>
  <c r="I60" i="17"/>
  <c r="I59" i="17"/>
  <c r="J58" i="17"/>
  <c r="I58" i="17" s="1"/>
  <c r="I57" i="17"/>
  <c r="L56" i="17"/>
  <c r="K37" i="17"/>
  <c r="K56" i="17" s="1"/>
  <c r="J37" i="17"/>
  <c r="J56" i="17" s="1"/>
  <c r="I36" i="17"/>
  <c r="I35" i="17"/>
  <c r="I153" i="17" s="1"/>
  <c r="I34" i="17"/>
  <c r="I147" i="17" s="1"/>
  <c r="I33" i="17"/>
  <c r="K30" i="17"/>
  <c r="J30" i="17"/>
  <c r="I29" i="17"/>
  <c r="I30" i="17" s="1"/>
  <c r="K28" i="17"/>
  <c r="J28" i="17"/>
  <c r="I27" i="17"/>
  <c r="I146" i="17" s="1"/>
  <c r="K26" i="17"/>
  <c r="J26" i="17"/>
  <c r="I25" i="17"/>
  <c r="I26" i="17" s="1"/>
  <c r="K24" i="17"/>
  <c r="J24" i="17"/>
  <c r="I24" i="17" s="1"/>
  <c r="I23" i="17"/>
  <c r="I152" i="17" s="1"/>
  <c r="L22" i="17"/>
  <c r="K22" i="17"/>
  <c r="J21" i="17"/>
  <c r="I21" i="17" s="1"/>
  <c r="L20" i="17"/>
  <c r="K20" i="17"/>
  <c r="J20" i="17"/>
  <c r="I20" i="17" s="1"/>
  <c r="L18" i="17"/>
  <c r="I18" i="17" s="1"/>
  <c r="K18" i="17"/>
  <c r="J18" i="17"/>
  <c r="I17" i="17"/>
  <c r="J16" i="17"/>
  <c r="I16" i="17" s="1"/>
  <c r="I12" i="17"/>
  <c r="Q152" i="17" l="1"/>
  <c r="Q151" i="17"/>
  <c r="Q147" i="17"/>
  <c r="J140" i="17"/>
  <c r="I127" i="17"/>
  <c r="O101" i="17"/>
  <c r="O121" i="17" s="1"/>
  <c r="O141" i="17" s="1"/>
  <c r="O142" i="17" s="1"/>
  <c r="P120" i="17"/>
  <c r="P121" i="17" s="1"/>
  <c r="P141" i="17" s="1"/>
  <c r="P142" i="17" s="1"/>
  <c r="I70" i="17"/>
  <c r="J101" i="17"/>
  <c r="N31" i="17"/>
  <c r="M31" i="17" s="1"/>
  <c r="M96" i="17"/>
  <c r="P101" i="17"/>
  <c r="L101" i="17"/>
  <c r="O31" i="17"/>
  <c r="O86" i="17"/>
  <c r="J22" i="17"/>
  <c r="I22" i="17" s="1"/>
  <c r="I28" i="17"/>
  <c r="P86" i="17"/>
  <c r="Q153" i="17" s="1"/>
  <c r="N101" i="17"/>
  <c r="M120" i="17"/>
  <c r="N86" i="17"/>
  <c r="M37" i="17"/>
  <c r="M56" i="17" s="1"/>
  <c r="M86" i="17" s="1"/>
  <c r="M100" i="17"/>
  <c r="M101" i="17" s="1"/>
  <c r="N120" i="17"/>
  <c r="K31" i="17"/>
  <c r="L86" i="17"/>
  <c r="M152" i="17" s="1"/>
  <c r="M135" i="17"/>
  <c r="M140" i="17" s="1"/>
  <c r="J121" i="17"/>
  <c r="I150" i="17"/>
  <c r="K86" i="17"/>
  <c r="K121" i="17"/>
  <c r="J86" i="17"/>
  <c r="I96" i="17"/>
  <c r="I101" i="17" s="1"/>
  <c r="I117" i="17"/>
  <c r="I120" i="17" s="1"/>
  <c r="I121" i="17" s="1"/>
  <c r="I135" i="17"/>
  <c r="I140" i="17" s="1"/>
  <c r="L120" i="17"/>
  <c r="L121" i="17" s="1"/>
  <c r="I37" i="17"/>
  <c r="I148" i="17" s="1"/>
  <c r="I145" i="17" s="1"/>
  <c r="Q148" i="17" l="1"/>
  <c r="Q149" i="17"/>
  <c r="Q146" i="17"/>
  <c r="Q145" i="17" s="1"/>
  <c r="Q150" i="17"/>
  <c r="N121" i="17"/>
  <c r="N141" i="17" s="1"/>
  <c r="M141" i="17" s="1"/>
  <c r="I56" i="17"/>
  <c r="I86" i="17" s="1"/>
  <c r="L141" i="17"/>
  <c r="L142" i="17" s="1"/>
  <c r="J31" i="17"/>
  <c r="I31" i="17" s="1"/>
  <c r="N142" i="17"/>
  <c r="M142" i="17" s="1"/>
  <c r="K141" i="17"/>
  <c r="K142" i="17" s="1"/>
  <c r="M153" i="17"/>
  <c r="M121" i="17"/>
  <c r="M149" i="17"/>
  <c r="M147" i="17"/>
  <c r="M151" i="17"/>
  <c r="M150" i="17" s="1"/>
  <c r="M148" i="17"/>
  <c r="M146" i="17"/>
  <c r="I154" i="17"/>
  <c r="Q154" i="17" l="1"/>
  <c r="J141" i="17"/>
  <c r="J142" i="17" s="1"/>
  <c r="I142" i="17" s="1"/>
  <c r="I141" i="17"/>
  <c r="M145" i="17"/>
  <c r="M154" i="17" s="1"/>
  <c r="J37" i="16"/>
  <c r="K37" i="16"/>
  <c r="M119" i="16" l="1"/>
  <c r="M120" i="16" s="1"/>
  <c r="M121" i="16" s="1"/>
  <c r="J117" i="16"/>
  <c r="I117" i="16" s="1"/>
  <c r="L92" i="16"/>
  <c r="N113" i="16"/>
  <c r="M113" i="16"/>
  <c r="L113" i="16"/>
  <c r="I113" i="16" s="1"/>
  <c r="I111" i="16"/>
  <c r="N110" i="16"/>
  <c r="M110" i="16"/>
  <c r="L110" i="16"/>
  <c r="I110" i="16" s="1"/>
  <c r="I108" i="16"/>
  <c r="M107" i="16"/>
  <c r="L107" i="16"/>
  <c r="L120" i="16" s="1"/>
  <c r="K107" i="16"/>
  <c r="K120" i="16" s="1"/>
  <c r="K121" i="16" s="1"/>
  <c r="J107" i="16"/>
  <c r="J120" i="16" s="1"/>
  <c r="I106" i="16"/>
  <c r="I105" i="16"/>
  <c r="I103" i="16"/>
  <c r="N100" i="16"/>
  <c r="N101" i="16" s="1"/>
  <c r="M100" i="16"/>
  <c r="M101" i="16" s="1"/>
  <c r="L100" i="16"/>
  <c r="L101" i="16" s="1"/>
  <c r="K100" i="16"/>
  <c r="J100" i="16"/>
  <c r="J101" i="16" s="1"/>
  <c r="I99" i="16"/>
  <c r="I98" i="16"/>
  <c r="I97" i="16"/>
  <c r="N96" i="16"/>
  <c r="M96" i="16"/>
  <c r="L96" i="16"/>
  <c r="K96" i="16"/>
  <c r="J96" i="16"/>
  <c r="I95" i="16"/>
  <c r="I94" i="16"/>
  <c r="I93" i="16"/>
  <c r="M92" i="16"/>
  <c r="K92" i="16"/>
  <c r="K101" i="16" s="1"/>
  <c r="J92" i="16"/>
  <c r="I91" i="16"/>
  <c r="I90" i="16"/>
  <c r="I89" i="16"/>
  <c r="S33" i="15"/>
  <c r="I25" i="16"/>
  <c r="J121" i="16" l="1"/>
  <c r="L121" i="16"/>
  <c r="I92" i="16"/>
  <c r="I96" i="16"/>
  <c r="I100" i="16"/>
  <c r="I101" i="16" s="1"/>
  <c r="I107" i="16"/>
  <c r="I120" i="16" s="1"/>
  <c r="I121" i="16" s="1"/>
  <c r="N147" i="16"/>
  <c r="M127" i="16"/>
  <c r="M153" i="16"/>
  <c r="M152" i="16"/>
  <c r="M151" i="16"/>
  <c r="M149" i="16"/>
  <c r="M148" i="16"/>
  <c r="M146" i="16"/>
  <c r="N146" i="16" l="1"/>
  <c r="M139" i="16" l="1"/>
  <c r="M135" i="16"/>
  <c r="M82" i="16"/>
  <c r="M65" i="16"/>
  <c r="N135" i="16"/>
  <c r="J135" i="16"/>
  <c r="I135" i="16" s="1"/>
  <c r="I129" i="16"/>
  <c r="I128" i="16"/>
  <c r="V161" i="15"/>
  <c r="I114" i="16"/>
  <c r="N119" i="16"/>
  <c r="N120" i="16" s="1"/>
  <c r="N121" i="16" s="1"/>
  <c r="M140" i="16" l="1"/>
  <c r="J65" i="16"/>
  <c r="I65" i="16" s="1"/>
  <c r="J56" i="16"/>
  <c r="K56" i="16"/>
  <c r="L56" i="16"/>
  <c r="N56" i="16"/>
  <c r="N65" i="16"/>
  <c r="I60" i="16"/>
  <c r="I59" i="16"/>
  <c r="M34" i="16"/>
  <c r="I37" i="16"/>
  <c r="I36" i="16"/>
  <c r="I35" i="16"/>
  <c r="I34" i="16"/>
  <c r="I33" i="16"/>
  <c r="M147" i="16" l="1"/>
  <c r="M145" i="16" s="1"/>
  <c r="M56" i="16"/>
  <c r="I56" i="16"/>
  <c r="N153" i="16" l="1"/>
  <c r="N152" i="16"/>
  <c r="N151" i="16"/>
  <c r="N149" i="16"/>
  <c r="N139" i="16"/>
  <c r="L139" i="16"/>
  <c r="K139" i="16"/>
  <c r="K140" i="16" s="1"/>
  <c r="J139" i="16"/>
  <c r="I138" i="16"/>
  <c r="I139" i="16" s="1"/>
  <c r="J140" i="16"/>
  <c r="N127" i="16"/>
  <c r="L127" i="16"/>
  <c r="I126" i="16"/>
  <c r="I124" i="16"/>
  <c r="N85" i="16"/>
  <c r="M85" i="16"/>
  <c r="L85" i="16"/>
  <c r="K85" i="16"/>
  <c r="J85" i="16"/>
  <c r="I84" i="16"/>
  <c r="I83" i="16"/>
  <c r="N82" i="16"/>
  <c r="K80" i="16"/>
  <c r="K82" i="16" s="1"/>
  <c r="J80" i="16"/>
  <c r="J82" i="16" s="1"/>
  <c r="I80" i="16"/>
  <c r="N77" i="16"/>
  <c r="M77" i="16"/>
  <c r="L77" i="16"/>
  <c r="J77" i="16"/>
  <c r="I75" i="16"/>
  <c r="N74" i="16"/>
  <c r="M74" i="16"/>
  <c r="J74" i="16"/>
  <c r="I74" i="16" s="1"/>
  <c r="I73" i="16"/>
  <c r="I72" i="16"/>
  <c r="I71" i="16"/>
  <c r="N70" i="16"/>
  <c r="M70" i="16"/>
  <c r="L70" i="16"/>
  <c r="J70" i="16"/>
  <c r="I69" i="16"/>
  <c r="I68" i="16"/>
  <c r="N67" i="16"/>
  <c r="M67" i="16"/>
  <c r="J67" i="16"/>
  <c r="I67" i="16" s="1"/>
  <c r="I66" i="16"/>
  <c r="N58" i="16"/>
  <c r="M58" i="16"/>
  <c r="J58" i="16"/>
  <c r="I58" i="16" s="1"/>
  <c r="I57" i="16"/>
  <c r="N30" i="16"/>
  <c r="M30" i="16"/>
  <c r="K30" i="16"/>
  <c r="J30" i="16"/>
  <c r="I29" i="16"/>
  <c r="I30" i="16" s="1"/>
  <c r="N28" i="16"/>
  <c r="M28" i="16"/>
  <c r="K28" i="16"/>
  <c r="J28" i="16"/>
  <c r="I27" i="16"/>
  <c r="N26" i="16"/>
  <c r="M26" i="16"/>
  <c r="K26" i="16"/>
  <c r="J26" i="16"/>
  <c r="I26" i="16"/>
  <c r="N24" i="16"/>
  <c r="M24" i="16"/>
  <c r="K24" i="16"/>
  <c r="J24" i="16"/>
  <c r="I24" i="16" s="1"/>
  <c r="I23" i="16"/>
  <c r="N22" i="16"/>
  <c r="M22" i="16"/>
  <c r="L22" i="16"/>
  <c r="K22" i="16"/>
  <c r="J21" i="16"/>
  <c r="I21" i="16" s="1"/>
  <c r="N20" i="16"/>
  <c r="M20" i="16"/>
  <c r="L20" i="16"/>
  <c r="K20" i="16"/>
  <c r="J20" i="16"/>
  <c r="N18" i="16"/>
  <c r="M18" i="16"/>
  <c r="L18" i="16"/>
  <c r="K18" i="16"/>
  <c r="I17" i="16"/>
  <c r="N16" i="16"/>
  <c r="M16" i="16"/>
  <c r="I12" i="16"/>
  <c r="S125" i="15"/>
  <c r="S124" i="15"/>
  <c r="S84" i="15"/>
  <c r="S79" i="15"/>
  <c r="S56" i="15"/>
  <c r="S31" i="15"/>
  <c r="S12" i="15"/>
  <c r="S92" i="15"/>
  <c r="S85" i="15"/>
  <c r="S81" i="15"/>
  <c r="U26" i="15"/>
  <c r="X30" i="15"/>
  <c r="W30" i="15"/>
  <c r="V30" i="15"/>
  <c r="U30" i="15"/>
  <c r="T30" i="15"/>
  <c r="X28" i="15"/>
  <c r="W28" i="15"/>
  <c r="V28" i="15"/>
  <c r="U28" i="15"/>
  <c r="T28" i="15"/>
  <c r="V26" i="15"/>
  <c r="S21" i="15"/>
  <c r="S20" i="15"/>
  <c r="T26" i="15"/>
  <c r="S15" i="15"/>
  <c r="S30" i="15" l="1"/>
  <c r="S28" i="15"/>
  <c r="S26" i="15"/>
  <c r="S19" i="15"/>
  <c r="M31" i="16"/>
  <c r="M86" i="16"/>
  <c r="L86" i="16"/>
  <c r="J86" i="16"/>
  <c r="N86" i="16"/>
  <c r="K86" i="16"/>
  <c r="M150" i="16"/>
  <c r="N140" i="16"/>
  <c r="I153" i="16"/>
  <c r="I85" i="16"/>
  <c r="I70" i="16"/>
  <c r="I77" i="16"/>
  <c r="L140" i="16"/>
  <c r="I20" i="16"/>
  <c r="N150" i="16"/>
  <c r="J16" i="16"/>
  <c r="I16" i="16" s="1"/>
  <c r="I151" i="16"/>
  <c r="J18" i="16"/>
  <c r="I18" i="16" s="1"/>
  <c r="J22" i="16"/>
  <c r="I22" i="16" s="1"/>
  <c r="I127" i="16"/>
  <c r="N31" i="16"/>
  <c r="I149" i="16"/>
  <c r="I148" i="16"/>
  <c r="I152" i="16"/>
  <c r="I146" i="16"/>
  <c r="I28" i="16"/>
  <c r="K31" i="16"/>
  <c r="N148" i="16"/>
  <c r="N145" i="16" s="1"/>
  <c r="I82" i="16"/>
  <c r="S29" i="15"/>
  <c r="T161" i="15"/>
  <c r="S161" i="15" s="1"/>
  <c r="U161" i="15"/>
  <c r="U179" i="15" s="1"/>
  <c r="M141" i="16" l="1"/>
  <c r="I86" i="16"/>
  <c r="N154" i="16"/>
  <c r="I140" i="16"/>
  <c r="L141" i="16"/>
  <c r="L142" i="16" s="1"/>
  <c r="I150" i="16"/>
  <c r="J31" i="16"/>
  <c r="I31" i="16" s="1"/>
  <c r="K141" i="16"/>
  <c r="K142" i="16" s="1"/>
  <c r="N141" i="16"/>
  <c r="N142" i="16" s="1"/>
  <c r="I147" i="16"/>
  <c r="I145" i="16" s="1"/>
  <c r="I154" i="16" s="1"/>
  <c r="M154" i="16"/>
  <c r="M142" i="16" l="1"/>
  <c r="J141" i="16"/>
  <c r="J142" i="16" l="1"/>
  <c r="I142" i="16" s="1"/>
  <c r="I141" i="16"/>
  <c r="S205" i="15"/>
  <c r="T137" i="15" l="1"/>
  <c r="U137" i="15"/>
  <c r="V137" i="15"/>
  <c r="S136" i="15" l="1"/>
  <c r="S135" i="15"/>
  <c r="T126" i="15" l="1"/>
  <c r="T115" i="15"/>
  <c r="V129" i="15"/>
  <c r="T83" i="15"/>
  <c r="S83" i="15" s="1"/>
  <c r="U83" i="15"/>
  <c r="U65" i="15"/>
  <c r="T60" i="15"/>
  <c r="U60" i="15"/>
  <c r="V60" i="15"/>
  <c r="U49" i="15"/>
  <c r="U134" i="15" l="1"/>
  <c r="T134" i="15"/>
  <c r="S217" i="15"/>
  <c r="S127" i="15"/>
  <c r="S121" i="15"/>
  <c r="S113" i="15"/>
  <c r="S134" i="15" l="1"/>
  <c r="X223" i="15"/>
  <c r="S223" i="15"/>
  <c r="X221" i="15"/>
  <c r="X218" i="15"/>
  <c r="X207" i="15"/>
  <c r="W207" i="15"/>
  <c r="V206" i="15"/>
  <c r="V207" i="15" s="1"/>
  <c r="U206" i="15"/>
  <c r="U207" i="15" s="1"/>
  <c r="T206" i="15"/>
  <c r="T207" i="15" s="1"/>
  <c r="S206" i="15"/>
  <c r="R206" i="15"/>
  <c r="R207" i="15" s="1"/>
  <c r="Q206" i="15"/>
  <c r="Q207" i="15" s="1"/>
  <c r="P206" i="15"/>
  <c r="P207" i="15" s="1"/>
  <c r="S200" i="15"/>
  <c r="S199" i="15"/>
  <c r="S198" i="15"/>
  <c r="S197" i="15"/>
  <c r="S196" i="15"/>
  <c r="S186" i="15"/>
  <c r="V166" i="15"/>
  <c r="V179" i="15" s="1"/>
  <c r="S164" i="15"/>
  <c r="T163" i="15"/>
  <c r="T179" i="15" s="1"/>
  <c r="P163" i="15"/>
  <c r="P179" i="15" s="1"/>
  <c r="S162" i="15"/>
  <c r="O162" i="15"/>
  <c r="R161" i="15"/>
  <c r="R179" i="15" s="1"/>
  <c r="S160" i="15"/>
  <c r="S222" i="15" s="1"/>
  <c r="S159" i="15"/>
  <c r="S158" i="15"/>
  <c r="V151" i="15"/>
  <c r="U151" i="15"/>
  <c r="T151" i="15"/>
  <c r="Q151" i="15"/>
  <c r="S150" i="15"/>
  <c r="S149" i="15"/>
  <c r="S148" i="15"/>
  <c r="V147" i="15"/>
  <c r="U147" i="15"/>
  <c r="T147" i="15"/>
  <c r="Q147" i="15"/>
  <c r="P147" i="15"/>
  <c r="S146" i="15"/>
  <c r="S145" i="15"/>
  <c r="S144" i="15"/>
  <c r="S137" i="15"/>
  <c r="X134" i="15"/>
  <c r="W134" i="15"/>
  <c r="Q134" i="15"/>
  <c r="X129" i="15"/>
  <c r="W129" i="15"/>
  <c r="T129" i="15"/>
  <c r="S129" i="15" s="1"/>
  <c r="R129" i="15"/>
  <c r="P129" i="15"/>
  <c r="W126" i="15"/>
  <c r="S126" i="15"/>
  <c r="S123" i="15"/>
  <c r="V122" i="15"/>
  <c r="T122" i="15"/>
  <c r="S120" i="15"/>
  <c r="T119" i="15"/>
  <c r="O119" i="15"/>
  <c r="S112" i="15"/>
  <c r="S111" i="15"/>
  <c r="S110" i="15"/>
  <c r="S109" i="15"/>
  <c r="X107" i="15"/>
  <c r="W107" i="15"/>
  <c r="T107" i="15"/>
  <c r="S107" i="15" s="1"/>
  <c r="P107" i="15"/>
  <c r="O107" i="15" s="1"/>
  <c r="S106" i="15"/>
  <c r="V99" i="15"/>
  <c r="U99" i="15"/>
  <c r="T99" i="15"/>
  <c r="S99" i="15"/>
  <c r="R99" i="15"/>
  <c r="Q99" i="15"/>
  <c r="P99" i="15"/>
  <c r="V96" i="15"/>
  <c r="U96" i="15"/>
  <c r="T96" i="15"/>
  <c r="S96" i="15"/>
  <c r="Q96" i="15"/>
  <c r="V102" i="15"/>
  <c r="U102" i="15"/>
  <c r="T102" i="15"/>
  <c r="R102" i="15"/>
  <c r="Q102" i="15"/>
  <c r="P102" i="15"/>
  <c r="S100" i="15"/>
  <c r="S102" i="15" s="1"/>
  <c r="U93" i="15"/>
  <c r="T93" i="15"/>
  <c r="S93" i="15" s="1"/>
  <c r="S91" i="15"/>
  <c r="S90" i="15"/>
  <c r="U88" i="15"/>
  <c r="T88" i="15"/>
  <c r="S88" i="15" s="1"/>
  <c r="S86" i="15"/>
  <c r="S82" i="15"/>
  <c r="W222" i="15"/>
  <c r="V78" i="15"/>
  <c r="U78" i="15"/>
  <c r="S76" i="15"/>
  <c r="S75" i="15"/>
  <c r="S67" i="15"/>
  <c r="S66" i="15"/>
  <c r="R65" i="15"/>
  <c r="T65" i="15"/>
  <c r="S61" i="15"/>
  <c r="S58" i="15"/>
  <c r="S53" i="15"/>
  <c r="S50" i="15"/>
  <c r="T49" i="15"/>
  <c r="S42" i="15"/>
  <c r="X38" i="15"/>
  <c r="W38" i="15"/>
  <c r="U38" i="15"/>
  <c r="T38" i="15"/>
  <c r="P38" i="15"/>
  <c r="S37" i="15"/>
  <c r="S38" i="15" s="1"/>
  <c r="X36" i="15"/>
  <c r="W36" i="15"/>
  <c r="U36" i="15"/>
  <c r="T36" i="15"/>
  <c r="P36" i="15"/>
  <c r="O36" i="15" s="1"/>
  <c r="S35" i="15"/>
  <c r="S36" i="15" s="1"/>
  <c r="X34" i="15"/>
  <c r="W34" i="15"/>
  <c r="U34" i="15"/>
  <c r="T34" i="15"/>
  <c r="P34" i="15"/>
  <c r="O34" i="15" s="1"/>
  <c r="X32" i="15"/>
  <c r="W32" i="15"/>
  <c r="U32" i="15"/>
  <c r="T32" i="15"/>
  <c r="P32" i="15"/>
  <c r="O32" i="15" s="1"/>
  <c r="P30" i="15"/>
  <c r="O30" i="15" s="1"/>
  <c r="Q28" i="15"/>
  <c r="Q39" i="15" s="1"/>
  <c r="P28" i="15"/>
  <c r="O28" i="15" s="1"/>
  <c r="X141" i="15" l="1"/>
  <c r="S74" i="15"/>
  <c r="S119" i="15"/>
  <c r="V141" i="15"/>
  <c r="R141" i="15"/>
  <c r="P141" i="15"/>
  <c r="T141" i="15"/>
  <c r="Q141" i="15"/>
  <c r="U141" i="15"/>
  <c r="P39" i="15"/>
  <c r="O39" i="15" s="1"/>
  <c r="X39" i="15"/>
  <c r="W39" i="15"/>
  <c r="O161" i="15"/>
  <c r="S163" i="15"/>
  <c r="S189" i="15"/>
  <c r="S194" i="15" s="1"/>
  <c r="O163" i="15"/>
  <c r="S203" i="15"/>
  <c r="S218" i="15"/>
  <c r="U156" i="15"/>
  <c r="U180" i="15" s="1"/>
  <c r="Q180" i="15"/>
  <c r="V156" i="15"/>
  <c r="T156" i="15"/>
  <c r="X220" i="15"/>
  <c r="U39" i="15"/>
  <c r="T39" i="15"/>
  <c r="S39" i="15" s="1"/>
  <c r="S78" i="15"/>
  <c r="S60" i="15"/>
  <c r="W220" i="15"/>
  <c r="X215" i="15"/>
  <c r="S32" i="15"/>
  <c r="S147" i="15"/>
  <c r="S151" i="15"/>
  <c r="O206" i="15"/>
  <c r="O207" i="15" s="1"/>
  <c r="S115" i="15"/>
  <c r="S221" i="15"/>
  <c r="S122" i="15"/>
  <c r="S215" i="15"/>
  <c r="O129" i="15"/>
  <c r="O141" i="15" s="1"/>
  <c r="S34" i="15"/>
  <c r="S47" i="15"/>
  <c r="S49" i="15" s="1"/>
  <c r="S62" i="15"/>
  <c r="S65" i="15" s="1"/>
  <c r="X217" i="15"/>
  <c r="O166" i="15"/>
  <c r="O38" i="15"/>
  <c r="S166" i="15"/>
  <c r="S141" i="15" l="1"/>
  <c r="O179" i="15"/>
  <c r="S179" i="15"/>
  <c r="P180" i="15"/>
  <c r="P208" i="15" s="1"/>
  <c r="P209" i="15" s="1"/>
  <c r="X208" i="15"/>
  <c r="X209" i="15" s="1"/>
  <c r="U208" i="15"/>
  <c r="U209" i="15" s="1"/>
  <c r="T180" i="15"/>
  <c r="T208" i="15" s="1"/>
  <c r="T209" i="15" s="1"/>
  <c r="S207" i="15"/>
  <c r="Q208" i="15"/>
  <c r="Q209" i="15" s="1"/>
  <c r="X214" i="15"/>
  <c r="X224" i="15" s="1"/>
  <c r="W180" i="15"/>
  <c r="S156" i="15"/>
  <c r="O220" i="15"/>
  <c r="W141" i="15"/>
  <c r="V180" i="15"/>
  <c r="V208" i="15" s="1"/>
  <c r="V209" i="15" s="1"/>
  <c r="R180" i="15"/>
  <c r="R208" i="15" s="1"/>
  <c r="R209" i="15" s="1"/>
  <c r="S220" i="15"/>
  <c r="W214" i="15"/>
  <c r="W224" i="15" s="1"/>
  <c r="S216" i="15"/>
  <c r="S214" i="15" s="1"/>
  <c r="S224" i="15" s="1"/>
  <c r="O180" i="15" l="1"/>
  <c r="O208" i="15"/>
  <c r="O209" i="15" s="1"/>
  <c r="S180" i="15"/>
  <c r="S208" i="15" s="1"/>
  <c r="S209" i="15" s="1"/>
  <c r="W208" i="15"/>
  <c r="W209" i="15" s="1"/>
  <c r="O224" i="15"/>
</calcChain>
</file>

<file path=xl/comments1.xml><?xml version="1.0" encoding="utf-8"?>
<comments xmlns="http://schemas.openxmlformats.org/spreadsheetml/2006/main">
  <authors>
    <author>Snieguole Kacerauskaite</author>
  </authors>
  <commentList>
    <comment ref="D83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comments2.xml><?xml version="1.0" encoding="utf-8"?>
<comments xmlns="http://schemas.openxmlformats.org/spreadsheetml/2006/main">
  <authors>
    <author>Snieguole Kacerauskaite</author>
  </authors>
  <commentList>
    <comment ref="D83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lapkriičio 20 d. bus aiškūs skaičiai</t>
        </r>
      </text>
    </comment>
  </commentList>
</comments>
</file>

<file path=xl/sharedStrings.xml><?xml version="1.0" encoding="utf-8"?>
<sst xmlns="http://schemas.openxmlformats.org/spreadsheetml/2006/main" count="2086" uniqueCount="383">
  <si>
    <t>tūkst. Lt</t>
  </si>
  <si>
    <t>Programos tikslo kodas</t>
  </si>
  <si>
    <t>Uždavinio kodas</t>
  </si>
  <si>
    <t>Priemonės kodas</t>
  </si>
  <si>
    <t>Pavadinimas</t>
  </si>
  <si>
    <t>Priemonės požymis</t>
  </si>
  <si>
    <t>Asignavimų valdytojo kodas</t>
  </si>
  <si>
    <t>Finansavimo šaltinis</t>
  </si>
  <si>
    <t>Iš viso</t>
  </si>
  <si>
    <t>Išlaidoms</t>
  </si>
  <si>
    <t>Turtui įsigyti ir finansiniams įsipareigojimams vykdyti</t>
  </si>
  <si>
    <t>Iš jų darbo užmokesčiui</t>
  </si>
  <si>
    <t>12 Socialinės atskirties mažinimo programa</t>
  </si>
  <si>
    <t>01</t>
  </si>
  <si>
    <t>Įgyvendinti socialinės paramos politiką siekiant sumažinti socialinę atskirtį Klaipėdos mieste</t>
  </si>
  <si>
    <t>Užtikrinti Lietuvos Respublikos įstatymais, Vyriausybės nutarimais ir kitais teisės aktais numatytų socialinių išmokų ir kompensacijų mokėjimą</t>
  </si>
  <si>
    <t>10</t>
  </si>
  <si>
    <t>SB(VB)</t>
  </si>
  <si>
    <t>Iš viso:</t>
  </si>
  <si>
    <t>02</t>
  </si>
  <si>
    <t xml:space="preserve">Tikslinių kompensacijų ir išmokų skaičiavimas ir mokėjimas, siekiant neįgaliesiems kompensuoti specialiųjų poreikių tenkinimo išlaidas </t>
  </si>
  <si>
    <t>LRVB</t>
  </si>
  <si>
    <t>03</t>
  </si>
  <si>
    <t>Išmokų vaikams skaičiavimas ir mokėjimas</t>
  </si>
  <si>
    <t>04</t>
  </si>
  <si>
    <t>Vienkartinių išmokų socialiai pažeidžiamiems žmonėms išmokėjimas</t>
  </si>
  <si>
    <t>3</t>
  </si>
  <si>
    <t>SB</t>
  </si>
  <si>
    <t>05</t>
  </si>
  <si>
    <t>Mokinių iš mažas pajamas gaunančių šeimų nemokamo maitinimo gamybos išlaidų padengimas</t>
  </si>
  <si>
    <t>Iš viso uždaviniui:</t>
  </si>
  <si>
    <t xml:space="preserve">Teikti visuomenės poreikius atitinkančias socialines paslaugas įvairioms gyventojų grupėms </t>
  </si>
  <si>
    <t>SB(SP)</t>
  </si>
  <si>
    <t>Nevyriausybinių organizacijų socialinių projektų dalinis finansavimas</t>
  </si>
  <si>
    <t>Aplinkos pritaikymas neįgaliesiems</t>
  </si>
  <si>
    <t>6</t>
  </si>
  <si>
    <t>06</t>
  </si>
  <si>
    <t>Socialinės reabilitacijos paslaugų neįgaliesiems bendruomenėje projektų dalinis finansavimas</t>
  </si>
  <si>
    <t>07</t>
  </si>
  <si>
    <t>Plėtoti socialinių paslaugų infrastruktūrą, įrengiant  naujus ir modernizuojant esamus socialines paslaugas teikiančių įstaigų pastatus</t>
  </si>
  <si>
    <t>Nestacionarių socialinių paslaugų infrastruktūros plėtros projektų įgyvendinimas:</t>
  </si>
  <si>
    <t>ES</t>
  </si>
  <si>
    <t>Kt</t>
  </si>
  <si>
    <t>Teikiamų socialinių paslaugų infrastruktūros tobulinimas siekiant atitikti keliamus reikalavimus:</t>
  </si>
  <si>
    <t>Iš viso tikslui:</t>
  </si>
  <si>
    <t>12</t>
  </si>
  <si>
    <t xml:space="preserve">Iš viso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</si>
  <si>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</si>
  <si>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</si>
  <si>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</si>
  <si>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</si>
  <si>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</si>
  <si>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SB(P)</t>
  </si>
  <si>
    <t>1</t>
  </si>
  <si>
    <t>Socialinės globos paslaugų teikimas senyvo amžiaus asmenims ir asmenims su negalia ne savivaldybės institucijose</t>
  </si>
  <si>
    <t>Dienos socialinės globos, trumpalaikės socialinės globos ir socialinės priežiūros paslaugų teikimo organizavimas miesto gyventojams ne savivaldybės institucijose:</t>
  </si>
  <si>
    <t>Socialinių paslaugų teikimas socialinėse įstaigose:</t>
  </si>
  <si>
    <t>pavadinimas</t>
  </si>
  <si>
    <t>Pritaikyta būstų neįgaliesiems</t>
  </si>
  <si>
    <t>I</t>
  </si>
  <si>
    <t>planas</t>
  </si>
  <si>
    <t>2014-ieji metai</t>
  </si>
  <si>
    <t>2015-ieji metai</t>
  </si>
  <si>
    <t xml:space="preserve">Piniginės socialinės paramos nepasiturinčioms šeimoms ir vieniems gyvenantiems asmenims bei paramos mirties atveju teikimas, išmokant pašalpas ir kompensacijas </t>
  </si>
  <si>
    <t>Asmenims su sunkia negalia teikiamų socialinės globos paslaugų apmokėjimas</t>
  </si>
  <si>
    <t>Asmenų su sunkia negalia, kuriems teikiamos socialinės globos paslaugos, skaičius (perkamos paslaugos)</t>
  </si>
  <si>
    <t>Socialinių darbuotojų, dirbančių su socialinės rizikos šeimomis, darbo apmokėjimas</t>
  </si>
  <si>
    <t>Darbuotojų, dirbančių su socialinės rizikos šeimomis, skaičius</t>
  </si>
  <si>
    <t>Mokinių nemokamo maitinimo ir aprūpinimo mokinio reikmenimis organizavimas</t>
  </si>
  <si>
    <t>Išmokų gavėjų skaičius, žm.</t>
  </si>
  <si>
    <t>08</t>
  </si>
  <si>
    <t>2</t>
  </si>
  <si>
    <t>Suaugusių asmenų su protine negalia dienos socialinės globos centre (2 spec. mokykla, III a.)</t>
  </si>
  <si>
    <t>Laikinai neišnuomotų gyvenamųjų patalpų priežiūra</t>
  </si>
  <si>
    <t>Savivaldybės gyvenamųjų patalpų techninės būklės vertinimas ir remontas</t>
  </si>
  <si>
    <t>Apmokėjimas savivaldybei tenkančia dalimi už daugiabučių namų bendrosios  nuosavybės objektų atnaujinimą ir renovaciją</t>
  </si>
  <si>
    <t>Rezervo naudojimas nenumatytiems darbams apmokėti ir avarinėms situacijoms likviduoti</t>
  </si>
  <si>
    <t>Savivaldybės gyvenamųjų patalpų nuomos administravimas</t>
  </si>
  <si>
    <t>Savininkams grąžintų nuomotų patalpų vertės įskaičiavimas į nuompinigius</t>
  </si>
  <si>
    <t>Suremontuotų butų skaičius</t>
  </si>
  <si>
    <t xml:space="preserve">Politinių kalinių ir tremtinių bei jų šeimų narių sugrįžimo į Lietuvą programos įgyvendinimas: </t>
  </si>
  <si>
    <t xml:space="preserve">Butų pirkimas politinių kalinių ir tremtiniams bei jų šeimų nariams </t>
  </si>
  <si>
    <t>Iš dalies finansuota projektų, sk.</t>
  </si>
  <si>
    <t>SOCIALINĖS ATSKIRTIES MAŽINIMO PROGRAMOS (NR. 12)</t>
  </si>
  <si>
    <t>09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</si>
  <si>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</si>
  <si>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</si>
  <si>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</si>
  <si>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</si>
  <si>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</si>
  <si>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</si>
  <si>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</si>
  <si>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</si>
  <si>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</si>
  <si>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 xml:space="preserve">I   </t>
  </si>
  <si>
    <t>5</t>
  </si>
  <si>
    <t xml:space="preserve">Užtikrinti Klaipėdos miesto socialinio būsto fondo plėtrą ir valstybės politikos, padedančios apsirūpinti būstu, įgyvendinimą </t>
  </si>
  <si>
    <t>Savivaldybės gyvenamųjų patalpų  tinkamos fizinės būklės užtikrinimas ir nuomos administravimas:</t>
  </si>
  <si>
    <t xml:space="preserve">Nemokamo maitinimo organizavimas labdaros valgykloje Klaipėdos mieste gyvenantiems asmenims, nepajėgiantiems maitintis savo namuose </t>
  </si>
  <si>
    <r>
      <rPr>
        <b/>
        <sz val="10"/>
        <rFont val="Times New Roman"/>
        <family val="1"/>
        <charset val="186"/>
      </rPr>
      <t>Vietos bendruomenių savivaldos 2013 m. programos</t>
    </r>
    <r>
      <rPr>
        <sz val="10"/>
        <rFont val="Times New Roman"/>
        <family val="1"/>
        <charset val="186"/>
      </rPr>
      <t xml:space="preserve"> įgyvendinimas </t>
    </r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</si>
  <si>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</si>
  <si>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</si>
  <si>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</si>
  <si>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r>
      <t>Paskolos lėšos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</si>
  <si>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</si>
  <si>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</si>
  <si>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Asmenų su sunkia negalia, kuriems teikiamos socialinės globos paslaugos, skaičius (SPC)</t>
  </si>
  <si>
    <t>Asmenų su sunkia negalia, kuriems teikiamos socialinės globos paslaugos, skaičius (Globos namai)</t>
  </si>
  <si>
    <t>Nemokamą maitinimą gaunančių bei aprūpinamų mokinio reikmenimis mokinių sk.</t>
  </si>
  <si>
    <t xml:space="preserve">Vidutinis vienkartinių išmokų socialiai pažeidžiamiems asmenims skaičius per mėn. </t>
  </si>
  <si>
    <t>Nemokamą maitinimą gaunantys mokiniai</t>
  </si>
  <si>
    <t>BĮ Klaipėdos miesto globos namuose</t>
  </si>
  <si>
    <t>BĮ Neįgaliųjų centre „Klaipėdos lakštutė“</t>
  </si>
  <si>
    <t>BĮ Klaipėdos miesto nakvynės namuose</t>
  </si>
  <si>
    <t>BĮ Klaipėdos vaikų globos namuose „Smiltelė“</t>
  </si>
  <si>
    <t>BĮ Klaipėdos vaikų globos namuose „Rytas“</t>
  </si>
  <si>
    <t>Senyvo amžiaus asmenų dienos socialinės globos centre (Kretingos g. 44)</t>
  </si>
  <si>
    <t>Paslaugos gavėjų skaičius</t>
  </si>
  <si>
    <t>Suaugusių asmenų su psichine negalia dienos socialinės globos centre (Kretingos g. 44)</t>
  </si>
  <si>
    <t>Dienos socialinės globos paslaugų teikimas asmenims su psichine negalia dienos socialinės globos centre</t>
  </si>
  <si>
    <t>Dienos socialinę globą per mėn. gaunančių asmenų  su psichine negalia skaičius dienos socialinės globos centre</t>
  </si>
  <si>
    <t>Dienos socialinės globos paslaugų teikimas vaikams su negalia dienos socialinės globos centre</t>
  </si>
  <si>
    <t>Dienos socialinę globą per mėn. gaunančių vaikų su negalia skaičius dienos socialinės globos centre</t>
  </si>
  <si>
    <t>Dienos socialinės priežiūros paslauga vaikams iš socialinės rizikos šeimų vaikų dienos centruose</t>
  </si>
  <si>
    <t>Atlikti kapitalinio remonto darbai ir įsigyta visa reikalinga įranga bei baldai socialinės globos centro įrengimui. Užbaigtumas, proc.</t>
  </si>
  <si>
    <t xml:space="preserve">Surinkta  nuomos mokesčio  proc. nuo priskaičiuoto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</si>
  <si>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</si>
  <si>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>2014-ųjų metų asignavimų planas</t>
  </si>
  <si>
    <t>2016-ieji metai</t>
  </si>
  <si>
    <t>Vidutinis išmokamų kompensacijų skaičius per mėn.</t>
  </si>
  <si>
    <t xml:space="preserve">Vidutinis išmokamų socialinių pašalpų skaičius per mėn. </t>
  </si>
  <si>
    <t>Planinis vietų sk. įstaigoje</t>
  </si>
  <si>
    <t>Socialinę globą teikiančių darbuotojų dalis bendroje vaikų globos namų  personalo struktūroje</t>
  </si>
  <si>
    <t>Įsigyta vaizdo stebėjimo sistema, vnt.</t>
  </si>
  <si>
    <t>266/ 335</t>
  </si>
  <si>
    <t>268/ 340</t>
  </si>
  <si>
    <t>Įsigytas kompiuteris ir programinė įranga, vnt.</t>
  </si>
  <si>
    <t>Senyvo amžiaus asmenų bei asmenų su negalia, apgyvendintų globos institucijose per metus, sk.</t>
  </si>
  <si>
    <t>Vidutiniškai per mėn. paslaugas gaunančių socialinės rizikos ir rizikos šeimų vaikų skaičius Dienos centre</t>
  </si>
  <si>
    <t>Vidutiniškai per dieną maitinimo paslaugas gaunančių asmenų skaičius</t>
  </si>
  <si>
    <t>Vidutiniškai per dieną apnakvindinimo paslaugas gaunančių asmenų skaičius</t>
  </si>
  <si>
    <t>40</t>
  </si>
  <si>
    <t>BĮ Klaipėdos miesto socialinės paramos centre, iš jų:</t>
  </si>
  <si>
    <t xml:space="preserve"> - senyvo amžiaus asmenims ir suaugusiems asmenims su negalia asmens namuose teikiamų paslaugų (pagalba į namus) plėtra</t>
  </si>
  <si>
    <t>BĮ Klaipėdos nakvynės namų patalpų pritaikymas neįgaliųjų poreikiams</t>
  </si>
  <si>
    <t>Padinintas Savivaldybės socialinio būsto fondas, butų skaičius</t>
  </si>
  <si>
    <t>Turto skyrius</t>
  </si>
  <si>
    <t>Socialinio būsto skyrius</t>
  </si>
  <si>
    <t>SB(L)</t>
  </si>
  <si>
    <t>Sutrumpėjo nuomininkų pasirinktos garantijos įvykdymo terminas, mėn.</t>
  </si>
  <si>
    <t xml:space="preserve">Asmenų su sunkia negalia, kuriems teikiamos socialinės globos paslaugos, sk. </t>
  </si>
  <si>
    <t>Socialinio būsto fondo plėtra</t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</si>
  <si>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>“ įgyvendinimas (dienos socialinės globos ir slaugos paslaugos į namus)</t>
    </r>
  </si>
  <si>
    <t>Vykdytojas (skyrius / asmuo)</t>
  </si>
  <si>
    <t>Įrengta belaidė personalo iškvietimo sistema</t>
  </si>
  <si>
    <t>Projekto „Ilgalaikės socialinės globos paslaugų infrastruktūros plėtra Klaipėdos mieste“ įgyvendinimas</t>
  </si>
  <si>
    <r>
      <t xml:space="preserve">Laikinai benamių asmenų, piktnaudžiaujančių alkoholiu ir psichotropinėmis medžiagomis, apgyvendinamas, esant krizinei situacijai </t>
    </r>
    <r>
      <rPr>
        <sz val="10"/>
        <rFont val="Times New Roman"/>
        <family val="1"/>
        <charset val="186"/>
      </rPr>
      <t>(priemonę finansuoti, jei bus sutaupyta lėšų mokant pašalpas)</t>
    </r>
  </si>
  <si>
    <t>Teikiamos socialinės paslaugos neįgaliesiems, asmenų sk.</t>
  </si>
  <si>
    <t>Socialinės infrastruktūros poskyris</t>
  </si>
  <si>
    <t>Socialinės paramos skyrius</t>
  </si>
  <si>
    <t>Projektų skyrius</t>
  </si>
  <si>
    <t>Socialinės infrastruktūros priežiūros sk.</t>
  </si>
  <si>
    <t xml:space="preserve"> Projektų skyrius</t>
  </si>
  <si>
    <t>Statybos ir infrastruktūros plėtros skyrius</t>
  </si>
  <si>
    <t>Parengtas techninis projektas, vnt.</t>
  </si>
  <si>
    <r>
      <t>Rekonstruota dalis pastato (802,22 m</t>
    </r>
    <r>
      <rPr>
        <vertAlign val="superscript"/>
        <sz val="9"/>
        <rFont val="Times New Roman"/>
        <family val="1"/>
        <charset val="186"/>
      </rPr>
      <t>2</t>
    </r>
    <r>
      <rPr>
        <sz val="9"/>
        <rFont val="Times New Roman"/>
        <family val="1"/>
        <charset val="186"/>
      </rPr>
      <t>), į</t>
    </r>
    <r>
      <rPr>
        <sz val="9"/>
        <rFont val="Times New Roman"/>
        <family val="1"/>
      </rPr>
      <t>sigyta visa reikalinga įranga bei baldai socialinės globos centro įrengimui.
Užbaigtumas, proc.</t>
    </r>
  </si>
  <si>
    <r>
      <t>Rekonstruota dalis pastato (636,58 m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), sigyta visa reikalinga įranga bei baldai socialinės globos centro įrengimui.
Užbaigtumas, proc.</t>
    </r>
  </si>
  <si>
    <t>Asmenų, turinčių psichikos ir elgesio sutrikimų, kuriems teikiamos paslaugos, skaičius, iš jų:</t>
  </si>
  <si>
    <t>NVO projektų, gaunančių dalinį finansavimą iš savivaldybės biudžeto, skaičius</t>
  </si>
  <si>
    <t>Parengtas techninis projektas, sk.</t>
  </si>
  <si>
    <t>Daugiabučių namų, kuriuose vykdomi atnaujinimo darbai, skaičius</t>
  </si>
  <si>
    <t>Objektų, kuriuose  pašalintos galimų avarijų grėsmės ir likviduotos avarijos, skaičius</t>
  </si>
  <si>
    <t>Nupirkta butų, vnt.</t>
  </si>
  <si>
    <t>Socialinės paramos skyrius, LSIŽG bendrija  ,,Klaipėdos viltis"</t>
  </si>
  <si>
    <t>Vidutinškai per mėn. išmokamų laidojimo pašalpų skaičius</t>
  </si>
  <si>
    <t xml:space="preserve">Asmenų su sunkia negalia, kuriems teikiamos socialinės globos paslaugos, skaičius </t>
  </si>
  <si>
    <t xml:space="preserve">Paramą gaunančių mokinių skaičius </t>
  </si>
  <si>
    <t>BĮ Klaipėdos miesto globos namuose;</t>
  </si>
  <si>
    <t>Planinis vietų skaičius stacioanarias paslaugas teikiančiose įstaigose</t>
  </si>
  <si>
    <t>Paslaugų gavėjų skaičius</t>
  </si>
  <si>
    <t xml:space="preserve"> - senyvo amžiaus asmenims ir suaugusiems asmenims su negalia asmens namuose teikiamų paslaugų (pagalba į namus) plėtra;</t>
  </si>
  <si>
    <t>BĮ Neįgaliųjų centre „Klaipėdos lakštutė“;</t>
  </si>
  <si>
    <t>BĮ Klaipėdos miesto šeimos ir vaiko gerovės centre;</t>
  </si>
  <si>
    <t>BĮ Klaipėdos miesto nakvynės namuose;</t>
  </si>
  <si>
    <t>BĮ Klaipėdos vaikų globos namuose „Smiltelė“;</t>
  </si>
  <si>
    <t>BĮ Klaipėdos vaikų globos namuose „Danė“;</t>
  </si>
  <si>
    <t>BĮ Klaipėdos vaikų globos namuose „Rytas“;</t>
  </si>
  <si>
    <t>Suaugusių asmenų su protine negalia dienos socialinės globos centre (2 spec. mokykla, III a.);</t>
  </si>
  <si>
    <t>Senyvo amžiaus asmenų dienos socialinės globos centre (Kretingos g. 44);</t>
  </si>
  <si>
    <t>Dienos socialinės globos paslaugų teikimas asmenims su psichine negalia dienos socialinės globos centre;</t>
  </si>
  <si>
    <t>Dienos socialinės globos paslaugų teikimas vaikams su negalia dienos socialinės globos centre;</t>
  </si>
  <si>
    <t>Dienos socialinės priežiūros paslauga vaikams iš socialinės rizikos šeimų vaikų dienos centruose;</t>
  </si>
  <si>
    <t>Nemokamo maitinimo organizavimas labdaros valgykloje Klaipėdos mieste gyvenantiems asmenims, nepajėgiantiems maitintis savo namuose;</t>
  </si>
  <si>
    <t>Dienos socialinę globą per mėn. gaunančių asmenų skaičius</t>
  </si>
  <si>
    <t>Vidutiniškai per dieną maitinimo ir apnakvindinimo paslaugas gaunančių asmenų skaičius</t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</si>
  <si>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44)“;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</si>
  <si>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44)“;</t>
    </r>
  </si>
  <si>
    <r>
      <t xml:space="preserve">Projekto </t>
    </r>
    <r>
      <rPr>
        <b/>
        <sz val="10"/>
        <rFont val="Times New Roman"/>
        <family val="1"/>
        <charset val="186"/>
      </rPr>
      <t>„Suaugusių asmenų su proto negalia dienos socialinės globos centras (2 spec. mokykla, III a.)“</t>
    </r>
  </si>
  <si>
    <t xml:space="preserve">Parengta techninių projektų, sk. </t>
  </si>
  <si>
    <t>Laikinai neišnuomotų gyvenamųjų patalpų priežiūra;</t>
  </si>
  <si>
    <t>Savivaldybės gyvenamųjų patalpų techninės būklės vertinimas ir remontas;</t>
  </si>
  <si>
    <t>Apmokėjimas savivaldybei tenkančia dalimi už daugiabučių namų bendrosios  nuosavybės objektų atnaujinimą ir renovaciją;</t>
  </si>
  <si>
    <t>Rezervo naudojimas nenumatytiems darbams apmokėti ir avarinėms situacijoms likviduoti;</t>
  </si>
  <si>
    <t>Savivaldybės gyvenamųjų patalpų nuomos administravimas;</t>
  </si>
  <si>
    <t>Suremontuota butų, skaičius</t>
  </si>
  <si>
    <t>03 Strateginis tikslas. Užtikrinti gyventojams aukštą švietimo, kultūros, socialinių, sporto ir sveikatos apsaugos paslaugų kokybę ir prieinamumą</t>
  </si>
  <si>
    <t>Plėtoti socialinių paslaugų infrastruktūrą, įrengiant naujus ir modernizuojant esamus socialines paslaugas teikiančių įstaigų pastatus</t>
  </si>
  <si>
    <r>
      <rPr>
        <b/>
        <sz val="10"/>
        <rFont val="Times New Roman"/>
        <family val="1"/>
        <charset val="186"/>
      </rPr>
      <t xml:space="preserve">Pastato, adresu Kretingos g. 44, Klaipėda, I–IV aukštų rekonstrukcija, pritaikant Klaipėdos vaikų globos namams „Danė“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atlikimas);</t>
    </r>
  </si>
  <si>
    <t>BĮ Neįgaliųjų centro „Klaipėdos laikštutė“ rūsio rekonstrukcijos techninio projekto parengimas;</t>
  </si>
  <si>
    <t>BĮ Klaipėdos vaikų globos namų „Rytas“ reorganizavimas  plečiant socialines paslaugas, pritaikant pastatą asmenims su negalia</t>
  </si>
  <si>
    <t xml:space="preserve">BĮ Klaipėdos miesto globos namų statinio konstrukcijos pažeidimų pašalinimas; </t>
  </si>
  <si>
    <t>BĮ Klaipėdos miesto globos namuose gaisrinės saugos ir apsaugos sistemų gedimų šalinimo ir modernizavimo darbai</t>
  </si>
  <si>
    <t>Politinių kalinių ir tremtinių bei jų šeimų narių sugrįžimo į Lietuvą programos įgyvendinimas – daugiabučio gyvenamojo namo statybos sklype Rambyno g. 14A, Klaipėdoje, techninio projekto parengimas</t>
  </si>
  <si>
    <t>Asmenų su sunkia negalia, kuriems teikiamos socialinės globos paslaugos, skaičius (BĮ Neįgaliųjų centras „Klaipėdos lakštutė“)</t>
  </si>
  <si>
    <r>
      <t>A</t>
    </r>
    <r>
      <rPr>
        <sz val="10"/>
        <rFont val="Times New Roman"/>
        <family val="1"/>
        <charset val="186"/>
      </rPr>
      <t>smenų su sunkia negalia, kuriems teikiamos socialinės globos paslaugos, skaičius (VšĮ Klaipėdos pirminės sveikatos priežiūros centras)</t>
    </r>
  </si>
  <si>
    <t>Rekonstruota ir kapitališkai suremontuota patalpų, kv. m</t>
  </si>
  <si>
    <r>
      <t>O</t>
    </r>
    <r>
      <rPr>
        <sz val="10"/>
        <rFont val="Times New Roman"/>
        <family val="1"/>
        <charset val="186"/>
      </rPr>
      <t>bjektų, kuriuose  pašalintos galimų avarijų grėsmės ir likviduotos avarijos, skaičius</t>
    </r>
  </si>
  <si>
    <r>
      <t>S</t>
    </r>
    <r>
      <rPr>
        <sz val="10"/>
        <rFont val="Times New Roman"/>
        <family val="1"/>
        <charset val="186"/>
      </rPr>
      <t>utrumpėjo nuomininkų pasirinktos garantijos įvykdymo terminas, mėn.</t>
    </r>
  </si>
  <si>
    <r>
      <rPr>
        <sz val="10"/>
        <rFont val="Times New Roman"/>
        <family val="1"/>
        <charset val="186"/>
      </rPr>
      <t>Senyvo amžiaus asmenų bei asmenų su negalia, apgyvendintų globos institucijose per metus, sk</t>
    </r>
    <r>
      <rPr>
        <sz val="9"/>
        <rFont val="Times New Roman"/>
        <family val="1"/>
      </rPr>
      <t>.</t>
    </r>
  </si>
  <si>
    <t>BĮ Neįgaliųjų centro „Klaipėdos laikštutė“ rūsio rekonstrukcijos techninio projekto parengimas</t>
  </si>
  <si>
    <t>Parengtų remontuoti butų skaičius</t>
  </si>
  <si>
    <t>Parengta remontuoti butų, skaičius</t>
  </si>
  <si>
    <t>Paramą mokinio reikmenimis gaunantys mokiniai</t>
  </si>
  <si>
    <t>Intervencijų į šeimas skaičius</t>
  </si>
  <si>
    <t>Socialinės rizikos asmenų, kuriems suteiktos trumpalaikės socialinės globos paslaugos, laikino apnakvindinimo paslaugos per metus, skaičius</t>
  </si>
  <si>
    <t>Suorganizuotas renginys – sporto šventė „Gatvės krepšinio 3x3 turnyras“</t>
  </si>
  <si>
    <t>Rekonstruota dalis pastato – 1373,64 kv. m.
Užbaigtumas, proc.</t>
  </si>
  <si>
    <t>Iš viso priemonei:</t>
  </si>
  <si>
    <t>2014–2016 M. KLAIPĖDOS MIESTO SAVIVALDYBĖS</t>
  </si>
  <si>
    <t>Funkcinės klasifikacijos kodas</t>
  </si>
  <si>
    <t xml:space="preserve"> TIKSLŲ, UŽDAVINIŲ, PRIEMONIŲ, PRIEMONIŲ IŠLAIDŲ IR PRODUKTO KRITERIJŲ SUVESTINĖ</t>
  </si>
  <si>
    <t>Produkto kriterijaus</t>
  </si>
  <si>
    <t>2015-ųjų metų lėšų planas</t>
  </si>
  <si>
    <t>2016-ųjų metų lėšų planas</t>
  </si>
  <si>
    <t>2015 m. planas</t>
  </si>
  <si>
    <t>2016 m. planas</t>
  </si>
  <si>
    <t>Siūlomas keisti 2013-ųjų metų maksimalių asignavimų planas</t>
  </si>
  <si>
    <t>Skirtumas</t>
  </si>
  <si>
    <t>2014–2017 M. KLAIPĖDOS MIESTO SAVIVALDYBĖS</t>
  </si>
  <si>
    <t>Asignavimai 2014-iesiems metams**</t>
  </si>
  <si>
    <t>Lėšų poreikis biudžetiniams 2015-iesiems metams</t>
  </si>
  <si>
    <t>2015-ųjų metų asignavimų planas</t>
  </si>
  <si>
    <t>2017-ieji metai</t>
  </si>
  <si>
    <t>** pagal Klaipėdos miesto savivaldybės tarybos 2014 m. sausio 30 d. sprendimą Nr. T2-16</t>
  </si>
  <si>
    <t>Asignavimai 2014-iesiems metams</t>
  </si>
  <si>
    <t xml:space="preserve">Senyvo amžiaus asmenims ir suaugusiems asmenims su negalia asmens namuose teikiamos paslaugos (pagalba į namus; dienos socialine globa asmens namuose), asmenų skaičius </t>
  </si>
  <si>
    <t>24356/ 205/ 6000/ 55</t>
  </si>
  <si>
    <t>24356/ 205/ 6000/ 65</t>
  </si>
  <si>
    <t>24356/ 205/ 6000/ 75</t>
  </si>
  <si>
    <t>Įrengta kondicionavimo sistema, vnt</t>
  </si>
  <si>
    <t>5500/ 30</t>
  </si>
  <si>
    <t>Įsigyta  funkcinių lovų</t>
  </si>
  <si>
    <t>80/80</t>
  </si>
  <si>
    <t>1600/ 400</t>
  </si>
  <si>
    <t>1400/ 992</t>
  </si>
  <si>
    <t>Asmenų su sunkia negalia, kuriems teikiamos socialinės globos paslaugos, skaičius (BĮ Klaipėdos miesto socialines paramos centras)</t>
  </si>
  <si>
    <t>Įrengta tvora,  m</t>
  </si>
  <si>
    <t>BĮ Neįgaliųjų centro „Klaipėdos laikštutė“ (Suaugusių asmenų su protine negalia dienos socialinės globos centras, Panevėžio g. 2) tvoros įrengimas</t>
  </si>
  <si>
    <r>
      <t xml:space="preserve">Funkcinės klasifikacijos kodas* </t>
    </r>
    <r>
      <rPr>
        <b/>
        <sz val="9"/>
        <rFont val="Times New Roman"/>
        <family val="1"/>
      </rPr>
      <t xml:space="preserve"> </t>
    </r>
  </si>
  <si>
    <r>
      <rPr>
        <b/>
        <sz val="9"/>
        <rFont val="Times New Roman"/>
        <family val="1"/>
        <charset val="186"/>
      </rPr>
      <t>Vietos bendruomenių savivaldos 2015 m. programos</t>
    </r>
    <r>
      <rPr>
        <sz val="9"/>
        <rFont val="Times New Roman"/>
        <family val="1"/>
        <charset val="186"/>
      </rPr>
      <t xml:space="preserve"> įgyvendinimas </t>
    </r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</si>
  <si>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</si>
  <si>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Pajamų įmokos už paslaugas </t>
    </r>
    <r>
      <rPr>
        <b/>
        <sz val="9"/>
        <rFont val="Times New Roman"/>
        <family val="1"/>
      </rPr>
      <t>SB(SP)</t>
    </r>
  </si>
  <si>
    <r>
      <t xml:space="preserve">Valstybės biudžeto specialiosios tikslinės dotacijos lėšos </t>
    </r>
    <r>
      <rPr>
        <b/>
        <sz val="9"/>
        <rFont val="Times New Roman"/>
        <family val="1"/>
        <charset val="186"/>
      </rPr>
      <t>SB(VB)</t>
    </r>
  </si>
  <si>
    <r>
      <t>Paskolos lėšos</t>
    </r>
    <r>
      <rPr>
        <sz val="9"/>
        <rFont val="Times New Roman"/>
        <family val="1"/>
        <charset val="186"/>
      </rPr>
      <t xml:space="preserve"> </t>
    </r>
    <r>
      <rPr>
        <b/>
        <sz val="9"/>
        <rFont val="Times New Roman"/>
        <family val="1"/>
        <charset val="186"/>
      </rPr>
      <t>SB(P)</t>
    </r>
  </si>
  <si>
    <r>
      <t xml:space="preserve">Programų lėšų likučių laikinai laisvos lėšos </t>
    </r>
    <r>
      <rPr>
        <b/>
        <sz val="9"/>
        <rFont val="Times New Roman"/>
        <family val="1"/>
        <charset val="186"/>
      </rPr>
      <t xml:space="preserve">SB(L) 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</si>
  <si>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</si>
  <si>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Valstybės biudžeto lėšos </t>
    </r>
    <r>
      <rPr>
        <b/>
        <sz val="9"/>
        <rFont val="Times New Roman"/>
        <family val="1"/>
      </rPr>
      <t>LRVB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</si>
  <si>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</si>
  <si>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Socialinio būsto fondo plėtra:</t>
  </si>
  <si>
    <t>BĮ Klaipėdos socialinių paslaugų centre „Danė“</t>
  </si>
  <si>
    <t>Pritaikyta butų neįgaliesiems, sk.</t>
  </si>
  <si>
    <t>Savarankiško gyvenimo namų steigimas socialinės rizikos asmenims (perkeliant iš Šilutės pl. į Viršutinę g.)</t>
  </si>
  <si>
    <t>Savivaldybės socialinio būsto fondo gyvenamojo namo statyba žemės sklype Irklų g. 1</t>
  </si>
  <si>
    <t>P1.3.5.2</t>
  </si>
  <si>
    <t>P1.3.5.3</t>
  </si>
  <si>
    <t>Savivaldybės socialinio būsto fondo gyvenamojo namo statyba žemės sklype Rambyno g. 14</t>
  </si>
  <si>
    <t>Rekonstruota dalis pastato - 802,22 kv. m.
Įsigyta visa reikalinga įranga bei baldai socialinės globos centro įrengimui.
Užbaigtumas, proc.</t>
  </si>
  <si>
    <t>Rekonstruota dalis pastato - 636,58 kv. m.
Įsigyta visa reikalinga įranga bei baldai socialinės globos centro įrengimui.
Užbaigtumas, proc.</t>
  </si>
  <si>
    <t>Rekonstruota dalis pastato - 1373,64 kv. m.
Užbaigtumas, proc.</t>
  </si>
  <si>
    <t xml:space="preserve">Parengtas investicijų projektas, vnt.
</t>
  </si>
  <si>
    <t>Atlikta statybos darbų, proc.</t>
  </si>
  <si>
    <r>
      <t xml:space="preserve">Projekto </t>
    </r>
    <r>
      <rPr>
        <b/>
        <sz val="9"/>
        <rFont val="Times New Roman"/>
        <family val="1"/>
        <charset val="186"/>
      </rPr>
      <t>„Ilgalaikės socialinės globos paslaugų infrastruktūros plėtra Klaipėdos mieste“</t>
    </r>
    <r>
      <rPr>
        <sz val="9"/>
        <rFont val="Times New Roman"/>
        <family val="1"/>
      </rPr>
      <t xml:space="preserve"> įgyvendinimas</t>
    </r>
  </si>
  <si>
    <t>BĮ Klaipėdos vaikų globos namų „Rytas“ reorganizavimas plečiant socialines paslaugas, pritaikant pastatą asmenims su negalia</t>
  </si>
  <si>
    <r>
      <t xml:space="preserve">Projekto </t>
    </r>
    <r>
      <rPr>
        <b/>
        <sz val="9"/>
        <rFont val="Times New Roman"/>
        <family val="1"/>
        <charset val="186"/>
      </rPr>
      <t>„Senyvo amžiaus asmenų dienos socialinės globos centras (Kretingos g. 44)“</t>
    </r>
    <r>
      <rPr>
        <sz val="9"/>
        <rFont val="Times New Roman"/>
        <family val="1"/>
        <charset val="186"/>
      </rPr>
      <t xml:space="preserve"> įgyvendinimas</t>
    </r>
  </si>
  <si>
    <r>
      <t>Projekto</t>
    </r>
    <r>
      <rPr>
        <b/>
        <sz val="9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9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</si>
  <si>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9"/>
        <rFont val="Times New Roman"/>
        <family val="1"/>
        <charset val="186"/>
      </rPr>
      <t>„Suaugusių asmenų su proto negalia dienos socialinės globos centras (2 spec. mokykla, III a.)“</t>
    </r>
    <r>
      <rPr>
        <sz val="9"/>
        <rFont val="Times New Roman"/>
        <family val="1"/>
        <charset val="186"/>
      </rPr>
      <t xml:space="preserve"> įgyvendinimas</t>
    </r>
  </si>
  <si>
    <r>
      <rPr>
        <b/>
        <sz val="9"/>
        <rFont val="Times New Roman"/>
        <family val="1"/>
        <charset val="186"/>
      </rPr>
      <t xml:space="preserve">Pastato adresu Kretingos g. 44, Klaipėda, I-IV aukštų rekonstrukcija, pritaikant Klaipėdos vaikų globos namams „Danė" </t>
    </r>
    <r>
      <rPr>
        <sz val="9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</si>
  <si>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t>Projekto „</t>
    </r>
    <r>
      <rPr>
        <b/>
        <sz val="9"/>
        <rFont val="Times New Roman"/>
        <family val="1"/>
      </rPr>
      <t>Integralios socialinės globos paslaugų teikimas Klaipėdos mieste</t>
    </r>
    <r>
      <rPr>
        <sz val="9"/>
        <rFont val="Times New Roman"/>
        <family val="1"/>
      </rPr>
      <t xml:space="preserve">“ įgyvendinimas (dienos socialinės globos ir slaugos paslaugos į namus)                   </t>
    </r>
  </si>
  <si>
    <t>Pritaikytos patalpos, proc.</t>
  </si>
  <si>
    <t>Laikinai benamių asmenų, piktnaudžiaujančių alkoholiu ir psichotropinėmis medžiagomis, apgyvendinamas, esant krizinei situacijai (priemonę finansuoti, jei bus sutaupyta lėšų mokant pašalpas)</t>
  </si>
  <si>
    <t>Patalpų pritaikymas BĮ Klaipėdos miesto šeimos ir vaiko gerovės centro veiklai patalpose adresu Debreceno g. 48</t>
  </si>
  <si>
    <t>Korekcija dėl socialinių pašalpų ir kompensacijų</t>
  </si>
  <si>
    <t>Papildomos lėšos kompensacijoms, panaikinus PVM lengvatą šildymui</t>
  </si>
  <si>
    <t>11</t>
  </si>
  <si>
    <t xml:space="preserve">Senjorų metų paminėjimas Klaipėdoje </t>
  </si>
  <si>
    <t>Išleistas informacinis leidinys</t>
  </si>
  <si>
    <t xml:space="preserve">Atliktas soc. paslaugų teikimo įstaigose  auditas </t>
  </si>
  <si>
    <t>Atliktas sociologinis tyrimas ir surengta konferencija</t>
  </si>
  <si>
    <t>8</t>
  </si>
  <si>
    <t>Biudžetinių įstaigų patalpų būklės gerinimas</t>
  </si>
  <si>
    <t>Atliktas smulkus patalpų remontas, įstaigų sk.</t>
  </si>
  <si>
    <t xml:space="preserve">BĮ Klaipėdos miesto globos namų statinio konstrukcijos pažeidimų pašalinimas </t>
  </si>
  <si>
    <t>Socialinių butų pirkimas</t>
  </si>
  <si>
    <t>Vidutinis išmokamų kompensacijų nepriklausomybes gynejams skaičius per mėn.</t>
  </si>
  <si>
    <t>BĮ Klaipėdos socialinių paslaugų centre „Danė“;</t>
  </si>
  <si>
    <t>Suaugusių asmenų su psichine negalia dienos socialinės globos centre (Kretingos g. 44);</t>
  </si>
  <si>
    <t>BĮ Klaipėdos miesto šeimos ir vaiko gerovės centre, iš jų:</t>
  </si>
  <si>
    <t xml:space="preserve"> - projekto „Kompleksinė pagalba Klaipėdos miesto socialinės grupės vaikams ir jaunimui“ įgyvendinimas;</t>
  </si>
  <si>
    <t>Nemokamo maitinimo organizavimas labdaros valgykloje Klaipėdos mieste gyvenantiems asmenims, nepajėgiantiems maitintis savo namuose:</t>
  </si>
  <si>
    <t>Dienos socialinės priežiūros paslauga vaikams iš socialinės rizikos šeimų vaikų dienos centruose:</t>
  </si>
  <si>
    <t>Dienos socialinės globos paslaugų teikimas vaikams su negalia dienos socialinės globos centre:</t>
  </si>
  <si>
    <t>Dienos socialinės globos paslaugų teikimas asmenims su psichine negalia dienos socialinės globos centre:</t>
  </si>
  <si>
    <t>2015 m. asignavimų planas</t>
  </si>
  <si>
    <t>2016 m. lėšų projektas</t>
  </si>
  <si>
    <t>2016-ųjų metų lėšų projektas</t>
  </si>
  <si>
    <t>2017-ųjų metų lėšų projektas</t>
  </si>
  <si>
    <t>2017 m. lėšų projektas</t>
  </si>
  <si>
    <t xml:space="preserve"> - projekto „Kompleksinė pagalba Klaipėdos miesto socialinės grupės vaikams ir jaunimui“ įgyvendinimas</t>
  </si>
  <si>
    <t>Socialinių projektų dalinis finansavimas:</t>
  </si>
  <si>
    <t>Ne savivaldybės įsteigtų įstaigų, teikiančių ilgalaikės socialinės globos paslaugas senyvo amžiaus asmenims, projektų, skirtų socialinių paslaugų infrastruktūros gerinimui, dalinis finansavimas</t>
  </si>
  <si>
    <t>BĮ Neįgaliųjų centro „Klaipėdos lakštutė“ (Suaugusių asmenų su protine negalia dienos socialinės globos centras, Panevėžio g. 2) tvoros įrengimas</t>
  </si>
  <si>
    <t>Atliktas pastato sniego gaudytuvų (apsauginių tvorelių) ir lietvamzdžių remontas, %</t>
  </si>
  <si>
    <t>BĮ Neįgaliųjų centro „Klaipėdos lakštutė“ rūsio rekonstrukcijos techninio projekto parengimas</t>
  </si>
  <si>
    <r>
      <t xml:space="preserve">Projekto </t>
    </r>
    <r>
      <rPr>
        <b/>
        <sz val="9"/>
        <rFont val="Times New Roman"/>
        <family val="1"/>
        <charset val="186"/>
      </rPr>
      <t xml:space="preserve">„Suaugusių asmenų su proto negalia dienos socialinės globos centras (2 spec. mokykla, III a.)“ </t>
    </r>
    <r>
      <rPr>
        <sz val="9"/>
        <rFont val="Times New Roman"/>
        <family val="1"/>
        <charset val="186"/>
      </rPr>
      <t>įgyvendinimas</t>
    </r>
  </si>
  <si>
    <t xml:space="preserve">Įrengtas liftas </t>
  </si>
  <si>
    <t>Užbaigtumas, proc.</t>
  </si>
  <si>
    <t>Sukauptas prisidėjimas prie socialinio būsto fondo gyvenamųjų namų statybos, proc.</t>
  </si>
  <si>
    <t>2016 m. projektas</t>
  </si>
  <si>
    <t>2017 m. projektas</t>
  </si>
  <si>
    <t>Nemokamą maitinimą gaunančių bei aprūpinamų mokinio reikmenimis mokinių skaičius</t>
  </si>
  <si>
    <t>Atliktas smulkus patalpų remontas, įstaigų skaičius</t>
  </si>
  <si>
    <t>Senyvo amžiaus asmenų bei asmenų su negalia, apgyvendintų globos institucijose per metus, skaičius</t>
  </si>
  <si>
    <t>Pritaikyta butų neįgaliesiems, skaičius</t>
  </si>
  <si>
    <t>Iš dalies finansuota projektų, skaičius</t>
  </si>
  <si>
    <t>Asmenų su sunkia negalia, kuriems teikiamos socialinės globos paslaugos, skaičius</t>
  </si>
  <si>
    <t>Teikiamos socialinės paslaugos neįgaliesiems, asmenų skaičius</t>
  </si>
  <si>
    <t xml:space="preserve">Atliktas socialinių paslaugų teikimo įstaigose  auditas </t>
  </si>
  <si>
    <t>Rekonstruota dalis pastato – 802,22 kv. m.
Įsigyta visa reikalinga įranga bei baldai socialinės globos centro įrengimui.
Užbaigtumas, proc.</t>
  </si>
  <si>
    <t>Rekonstruota dalis pastato – 636,58 kv. m.
Įsigyta visa reikalinga įranga bei baldai socialinės globos centro įrengimui.
Užbaigtumas, proc.</t>
  </si>
  <si>
    <t>Rekonstruota dalis pastato – 1373,64 kv. m
Užbaigtumas, proc.</t>
  </si>
  <si>
    <t>Eur</t>
  </si>
  <si>
    <t>Planas</t>
  </si>
  <si>
    <t>Patalpų pritaikymas BĮ Klaipėdos miesto šeimos ir vaiko gerovės centro veiklai patalpose, adresu Debreceno g. 48</t>
  </si>
  <si>
    <t>Gaisrinės signalizacjos atnaujinimo darbų II etapas</t>
  </si>
  <si>
    <t xml:space="preserve">Atliktas pastato sniego gaudytuvų (apsauginirų tvorelių) ir lietvamzdžių remontas, proc. 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</si>
  <si>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2010 m. kovo 26 d. įsakymas Nr. 1K-085)</t>
  </si>
  <si>
    <t xml:space="preserve"> Socialinės paramos skyrius</t>
  </si>
  <si>
    <t xml:space="preserve"> Socislinės paramos skyrius</t>
  </si>
  <si>
    <t>Socialinės infrastruktūros priežiūros skyrius</t>
  </si>
  <si>
    <t>Asmenų su sunkia negalia, kuriems teikiamos socialinės globos paslaugos, skaičius („Klaipėdos lakštutė“)</t>
  </si>
  <si>
    <t>Asmenų su sunkia negalia, kuriems teikiamos socialinės globos paslaugos, skaičius (Senyvo amžiaus asmenų dienos socialinės globos centre „Danė“)</t>
  </si>
  <si>
    <t>Asmenų su sunkia negalia, kuriems teikiamos socialinės globos paslaugos, skaičius (Suaugusių asmenų su psichine negalia dienos socialinės globos centre „Danė“)</t>
  </si>
  <si>
    <t>Kūdikių su sunkia negalia, gaunančių „atokvėpio“ paslaugą, skaičius (Sutrikusio vystymosi kūdikių namai)</t>
  </si>
  <si>
    <t>Vietų skaičius įstaigoje</t>
  </si>
  <si>
    <t>Darbuotojų skaičius įstaigoje</t>
  </si>
  <si>
    <t>Elektrinis masažo stalas</t>
  </si>
  <si>
    <t>Funkcinė slaugos lova</t>
  </si>
  <si>
    <t>Paramą rūbais, avalyne gaunančių asmenų skaičius per mėn.</t>
  </si>
  <si>
    <t>Suteikta paslaugų asmenims, kurie dėl negalios, ligos ar senatvės turi judėjimo problemų ir dėl to ar dėl nepakankamų pajamų negali naudotis visuomeniniu ar individualiu transportu (transporto organizavimas), asmenų skaičius</t>
  </si>
  <si>
    <t>Išduota techninės pagalbos priemonių, vnt. / asm.</t>
  </si>
  <si>
    <t>Išduota techninės pagalbos priemonių(mokamai), vnt. / asm.</t>
  </si>
  <si>
    <t>Įsteigta etatų, skaičius</t>
  </si>
  <si>
    <t>dienos socialinės globos institucijoje, asmenų skaičius</t>
  </si>
  <si>
    <t>socialinės priežiūros (pagalbos į namus), asmenų skaičius</t>
  </si>
  <si>
    <t>dienos socialinės globos asmens namuose, asmenų skaičius</t>
  </si>
  <si>
    <t>Organizuota tėvystės įgūdžių formavimo ir globėjų (rūpintojų) / įtėvių užsiėmimų kursų</t>
  </si>
  <si>
    <t>Intensyvios krizių įveikimo pagalbos paslaugai gauti vaikų vietų skaičius</t>
  </si>
  <si>
    <t>Trumpalaikės socialinės globos paslaugai gauti vaikų vietų skaičius</t>
  </si>
  <si>
    <t>Socialinių įgūdžių ugdymo ir palaikymo paslaugos socialinės  rizikos vaikų ir socialinės rizikos  šeimų vaikams (dienos centre) vietų skaičius</t>
  </si>
  <si>
    <t>Trumpalaikė socialinė globa moterims ir motinoms su vaikais, nukentėjusiems nuo smurto šeimoje ar prekybos žmonėmis, vietų skaičius</t>
  </si>
  <si>
    <t>Vaikų, gaunančių dienos socialinės globos paslaugas, skaičius</t>
  </si>
  <si>
    <t>Įgalinta šeimų, skaičius</t>
  </si>
  <si>
    <t>Įrengta krepšinio aikštelė, vnt.</t>
  </si>
  <si>
    <t>Planinis vietų skaičius įstaigoje</t>
  </si>
  <si>
    <r>
      <rPr>
        <b/>
        <sz val="9"/>
        <rFont val="Times New Roman"/>
        <family val="1"/>
        <charset val="186"/>
      </rPr>
      <t xml:space="preserve">Pastato adresu Kretingos g. 44, Klaipėda, I–IV aukštų rekonstrukcija, pritaikant Klaipėdos vaikų globos namams „Danė" </t>
    </r>
    <r>
      <rPr>
        <sz val="9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</si>
  <si>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rPr>
        <b/>
        <sz val="10"/>
        <rFont val="Times New Roman"/>
        <family val="1"/>
        <charset val="186"/>
      </rPr>
      <t>Vietos bendruomenių savivaldos 2015 m. programos</t>
    </r>
    <r>
      <rPr>
        <sz val="10"/>
        <rFont val="Times New Roman"/>
        <family val="1"/>
        <charset val="186"/>
      </rPr>
      <t xml:space="preserve"> įgyvendinimas </t>
    </r>
  </si>
  <si>
    <r>
      <t>Projekto „</t>
    </r>
    <r>
      <rPr>
        <b/>
        <sz val="10"/>
        <rFont val="Times New Roman"/>
        <family val="1"/>
      </rPr>
      <t>Integralios socialinės globos paslaugų teikimas Klaipėdos mieste</t>
    </r>
    <r>
      <rPr>
        <sz val="10"/>
        <rFont val="Times New Roman"/>
        <family val="1"/>
      </rPr>
      <t xml:space="preserve">“ įgyvendinimas (dienos socialinės globos ir slaugos paslaugos į namus)                   </t>
    </r>
  </si>
  <si>
    <r>
      <t xml:space="preserve">Projekto </t>
    </r>
    <r>
      <rPr>
        <b/>
        <sz val="10"/>
        <rFont val="Times New Roman"/>
        <family val="1"/>
        <charset val="186"/>
      </rPr>
      <t>„Ilgalaikės socialinės globos paslaugų infrastruktūros plėtra Klaipėdos mieste“</t>
    </r>
    <r>
      <rPr>
        <sz val="10"/>
        <rFont val="Times New Roman"/>
        <family val="1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</si>
  <si>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>„Senyvo amžiaus asmenų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</si>
  <si>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>Projekto</t>
    </r>
    <r>
      <rPr>
        <b/>
        <sz val="10"/>
        <rFont val="Times New Roman"/>
        <family val="1"/>
        <charset val="186"/>
      </rPr>
      <t xml:space="preserve"> „Suaugusių asmenų su psichine negalia dienos socialinės globos centras (Kretingos g. 44)“</t>
    </r>
    <r>
      <rPr>
        <sz val="10"/>
        <rFont val="Times New Roman"/>
        <family val="1"/>
        <charset val="186"/>
      </rPr>
      <t xml:space="preserve"> įgyvendinimas</t>
    </r>
  </si>
  <si>
    <r>
      <t xml:space="preserve">Projekto </t>
    </r>
    <r>
      <rPr>
        <b/>
        <sz val="10"/>
        <rFont val="Times New Roman"/>
        <family val="1"/>
        <charset val="186"/>
      </rPr>
      <t xml:space="preserve">„Suaugusių asmenų su proto negalia dienos socialinės globos centras (2 spec. mokykla, III a.)“ </t>
    </r>
    <r>
      <rPr>
        <sz val="10"/>
        <rFont val="Times New Roman"/>
        <family val="1"/>
        <charset val="186"/>
      </rPr>
      <t>įgyvendinimas</t>
    </r>
  </si>
  <si>
    <r>
      <rPr>
        <b/>
        <sz val="10"/>
        <rFont val="Times New Roman"/>
        <family val="1"/>
        <charset val="186"/>
      </rPr>
      <t xml:space="preserve">Pastato, adresu: Kretingos g. 44, Klaipėda, I–IV aukštų rekonstrukcija, pritaikant Klaipėdos vaikų globos namams „Danė" </t>
    </r>
    <r>
      <rPr>
        <sz val="10"/>
        <rFont val="Times New Roman"/>
        <family val="1"/>
        <charset val="186"/>
      </rPr>
      <t>(energiją taupančių priemonių, vykdant projektą „Energetikos efektyvumo didinimas Klaipėdos vaikų globos namuose „Danė“ (II etapas), įgyvendinimas ir kitų rekonstrukcijos darbų atlikimas)</t>
    </r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</si>
  <si>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 xml:space="preserve">SB(L)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</si>
</sst>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8" x14ac:knownFonts="1">
    <font>
      <sz val="11"/>
      <color indexed="8"/>
      <name val="Calibri"/>
      <family val="2"/>
      <charset val="186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u/>
      <sz val="10"/>
      <name val="Times New Roman"/>
      <family val="1"/>
    </font>
    <font>
      <sz val="9"/>
      <name val="Arial"/>
      <family val="2"/>
      <charset val="186"/>
    </font>
    <font>
      <b/>
      <sz val="11"/>
      <name val="Times New Roman"/>
      <family val="1"/>
    </font>
    <font>
      <sz val="11"/>
      <name val="Calibri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vertAlign val="superscript"/>
      <sz val="9"/>
      <name val="Times New Roman"/>
      <family val="1"/>
    </font>
    <font>
      <vertAlign val="superscript"/>
      <sz val="9"/>
      <name val="Times New Roman"/>
      <family val="1"/>
      <charset val="186"/>
    </font>
    <font>
      <sz val="10"/>
      <color rgb="FFFF0000"/>
      <name val="Times New Roman"/>
      <family val="1"/>
    </font>
    <font>
      <b/>
      <u/>
      <sz val="9"/>
      <name val="Times New Roman"/>
      <family val="1"/>
    </font>
    <font>
      <sz val="9"/>
      <name val="Calibri"/>
      <family val="2"/>
      <charset val="186"/>
    </font>
    <font>
      <sz val="9"/>
      <color rgb="FFFF0000"/>
      <name val="Times New Roman"/>
      <family val="1"/>
    </font>
    <font>
      <sz val="9"/>
      <color rgb="FF7030A0"/>
      <name val="Times New Roman"/>
      <family val="1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368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0" fillId="0" borderId="0" xfId="0" applyNumberFormat="1" applyFont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/>
    </xf>
    <xf numFmtId="0" fontId="6" fillId="0" borderId="28" xfId="0" applyFont="1" applyBorder="1" applyAlignment="1">
      <alignment vertical="top"/>
    </xf>
    <xf numFmtId="164" fontId="6" fillId="4" borderId="15" xfId="0" applyNumberFormat="1" applyFont="1" applyFill="1" applyBorder="1" applyAlignment="1">
      <alignment horizontal="center" vertical="top" wrapText="1"/>
    </xf>
    <xf numFmtId="164" fontId="6" fillId="4" borderId="21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 wrapText="1"/>
    </xf>
    <xf numFmtId="49" fontId="10" fillId="3" borderId="19" xfId="0" applyNumberFormat="1" applyFont="1" applyFill="1" applyBorder="1" applyAlignment="1">
      <alignment vertical="top" wrapText="1"/>
    </xf>
    <xf numFmtId="49" fontId="10" fillId="0" borderId="19" xfId="0" applyNumberFormat="1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49" fontId="9" fillId="0" borderId="34" xfId="0" applyNumberFormat="1" applyFont="1" applyBorder="1" applyAlignment="1">
      <alignment horizontal="center" vertical="top"/>
    </xf>
    <xf numFmtId="0" fontId="9" fillId="4" borderId="9" xfId="0" applyFont="1" applyFill="1" applyBorder="1" applyAlignment="1">
      <alignment vertical="top" wrapText="1"/>
    </xf>
    <xf numFmtId="49" fontId="9" fillId="0" borderId="8" xfId="0" applyNumberFormat="1" applyFont="1" applyBorder="1" applyAlignment="1">
      <alignment horizontal="center" vertical="top" wrapText="1"/>
    </xf>
    <xf numFmtId="164" fontId="1" fillId="4" borderId="9" xfId="0" applyNumberFormat="1" applyFont="1" applyFill="1" applyBorder="1" applyAlignment="1">
      <alignment horizontal="center" vertical="top" wrapText="1"/>
    </xf>
    <xf numFmtId="0" fontId="2" fillId="0" borderId="0" xfId="0" applyFont="1"/>
    <xf numFmtId="0" fontId="6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2" xfId="0" applyFont="1" applyFill="1" applyBorder="1" applyAlignment="1">
      <alignment horizontal="center" vertical="center" textRotation="90" wrapText="1"/>
    </xf>
    <xf numFmtId="49" fontId="10" fillId="2" borderId="3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49" fontId="10" fillId="2" borderId="3" xfId="0" applyNumberFormat="1" applyFont="1" applyFill="1" applyBorder="1" applyAlignment="1">
      <alignment horizontal="center" vertical="top"/>
    </xf>
    <xf numFmtId="49" fontId="10" fillId="3" borderId="4" xfId="0" applyNumberFormat="1" applyFont="1" applyFill="1" applyBorder="1" applyAlignment="1">
      <alignment horizontal="center" vertical="top"/>
    </xf>
    <xf numFmtId="49" fontId="10" fillId="3" borderId="6" xfId="0" applyNumberFormat="1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/>
    </xf>
    <xf numFmtId="49" fontId="10" fillId="3" borderId="11" xfId="0" applyNumberFormat="1" applyFont="1" applyFill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/>
    </xf>
    <xf numFmtId="164" fontId="6" fillId="4" borderId="13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center" vertical="top"/>
    </xf>
    <xf numFmtId="164" fontId="6" fillId="4" borderId="15" xfId="0" applyNumberFormat="1" applyFont="1" applyFill="1" applyBorder="1" applyAlignment="1">
      <alignment horizontal="center" vertical="top"/>
    </xf>
    <xf numFmtId="164" fontId="11" fillId="0" borderId="16" xfId="0" applyNumberFormat="1" applyFont="1" applyFill="1" applyBorder="1" applyAlignment="1">
      <alignment horizontal="center" vertical="top"/>
    </xf>
    <xf numFmtId="164" fontId="11" fillId="0" borderId="33" xfId="0" applyNumberFormat="1" applyFont="1" applyFill="1" applyBorder="1" applyAlignment="1">
      <alignment horizontal="center" vertical="top"/>
    </xf>
    <xf numFmtId="49" fontId="10" fillId="3" borderId="18" xfId="0" applyNumberFormat="1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center" vertical="top"/>
    </xf>
    <xf numFmtId="164" fontId="8" fillId="0" borderId="15" xfId="0" applyNumberFormat="1" applyFont="1" applyFill="1" applyBorder="1" applyAlignment="1">
      <alignment horizontal="center" vertical="top"/>
    </xf>
    <xf numFmtId="164" fontId="8" fillId="0" borderId="21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vertical="top" wrapText="1"/>
    </xf>
    <xf numFmtId="0" fontId="11" fillId="0" borderId="70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top"/>
    </xf>
    <xf numFmtId="164" fontId="8" fillId="0" borderId="16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horizontal="center" vertical="top"/>
    </xf>
    <xf numFmtId="0" fontId="9" fillId="0" borderId="8" xfId="0" applyNumberFormat="1" applyFont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 wrapText="1"/>
    </xf>
    <xf numFmtId="49" fontId="10" fillId="0" borderId="19" xfId="0" applyNumberFormat="1" applyFont="1" applyBorder="1" applyAlignment="1">
      <alignment vertical="top"/>
    </xf>
    <xf numFmtId="49" fontId="6" fillId="0" borderId="19" xfId="0" applyNumberFormat="1" applyFont="1" applyBorder="1" applyAlignment="1">
      <alignment horizontal="center" vertical="top"/>
    </xf>
    <xf numFmtId="0" fontId="9" fillId="0" borderId="0" xfId="0" applyNumberFormat="1" applyFont="1" applyBorder="1" applyAlignment="1">
      <alignment horizontal="center" vertical="top"/>
    </xf>
    <xf numFmtId="164" fontId="10" fillId="3" borderId="3" xfId="0" applyNumberFormat="1" applyFont="1" applyFill="1" applyBorder="1" applyAlignment="1">
      <alignment horizontal="center" vertical="top"/>
    </xf>
    <xf numFmtId="164" fontId="10" fillId="3" borderId="23" xfId="0" applyNumberFormat="1" applyFont="1" applyFill="1" applyBorder="1" applyAlignment="1">
      <alignment horizontal="center" vertical="top"/>
    </xf>
    <xf numFmtId="164" fontId="10" fillId="3" borderId="4" xfId="0" applyNumberFormat="1" applyFont="1" applyFill="1" applyBorder="1" applyAlignment="1">
      <alignment horizontal="center" vertical="top"/>
    </xf>
    <xf numFmtId="164" fontId="10" fillId="3" borderId="73" xfId="0" applyNumberFormat="1" applyFont="1" applyFill="1" applyBorder="1" applyAlignment="1">
      <alignment horizontal="center" vertical="top"/>
    </xf>
    <xf numFmtId="164" fontId="8" fillId="4" borderId="0" xfId="0" applyNumberFormat="1" applyFont="1" applyFill="1" applyBorder="1" applyAlignment="1">
      <alignment horizontal="center" vertical="top"/>
    </xf>
    <xf numFmtId="164" fontId="11" fillId="4" borderId="76" xfId="0" applyNumberFormat="1" applyFont="1" applyFill="1" applyBorder="1" applyAlignment="1">
      <alignment horizontal="center" vertical="top" wrapText="1"/>
    </xf>
    <xf numFmtId="2" fontId="11" fillId="0" borderId="15" xfId="0" applyNumberFormat="1" applyFont="1" applyFill="1" applyBorder="1" applyAlignment="1">
      <alignment vertical="top" wrapText="1"/>
    </xf>
    <xf numFmtId="0" fontId="11" fillId="0" borderId="28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21" xfId="0" applyFont="1" applyFill="1" applyBorder="1" applyAlignment="1">
      <alignment horizontal="center" vertical="top"/>
    </xf>
    <xf numFmtId="164" fontId="11" fillId="4" borderId="21" xfId="0" applyNumberFormat="1" applyFont="1" applyFill="1" applyBorder="1" applyAlignment="1">
      <alignment horizontal="center" vertical="top" wrapText="1"/>
    </xf>
    <xf numFmtId="164" fontId="11" fillId="4" borderId="0" xfId="0" applyNumberFormat="1" applyFont="1" applyFill="1" applyBorder="1" applyAlignment="1">
      <alignment horizontal="center" vertical="top" wrapText="1"/>
    </xf>
    <xf numFmtId="164" fontId="11" fillId="0" borderId="21" xfId="0" applyNumberFormat="1" applyFont="1" applyFill="1" applyBorder="1" applyAlignment="1">
      <alignment horizontal="center" vertical="top" wrapText="1"/>
    </xf>
    <xf numFmtId="49" fontId="1" fillId="0" borderId="12" xfId="0" applyNumberFormat="1" applyFont="1" applyFill="1" applyBorder="1" applyAlignment="1">
      <alignment horizontal="center" vertical="top" wrapText="1"/>
    </xf>
    <xf numFmtId="164" fontId="11" fillId="4" borderId="15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vertical="top"/>
    </xf>
    <xf numFmtId="49" fontId="9" fillId="0" borderId="11" xfId="0" applyNumberFormat="1" applyFont="1" applyBorder="1" applyAlignment="1">
      <alignment horizontal="center" vertical="top"/>
    </xf>
    <xf numFmtId="49" fontId="1" fillId="0" borderId="12" xfId="0" applyNumberFormat="1" applyFont="1" applyBorder="1" applyAlignment="1">
      <alignment horizontal="center" vertical="top" wrapText="1"/>
    </xf>
    <xf numFmtId="164" fontId="6" fillId="0" borderId="15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center" vertical="top"/>
    </xf>
    <xf numFmtId="164" fontId="11" fillId="4" borderId="26" xfId="0" applyNumberFormat="1" applyFont="1" applyFill="1" applyBorder="1" applyAlignment="1">
      <alignment horizontal="center" vertical="top" wrapText="1"/>
    </xf>
    <xf numFmtId="0" fontId="9" fillId="0" borderId="0" xfId="0" applyNumberFormat="1" applyFont="1" applyFill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/>
    </xf>
    <xf numFmtId="164" fontId="6" fillId="4" borderId="9" xfId="0" applyNumberFormat="1" applyFont="1" applyFill="1" applyBorder="1" applyAlignment="1">
      <alignment horizontal="center" vertical="top" wrapText="1"/>
    </xf>
    <xf numFmtId="164" fontId="6" fillId="4" borderId="22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3" borderId="12" xfId="0" applyNumberFormat="1" applyFont="1" applyFill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49" fontId="9" fillId="0" borderId="21" xfId="0" applyNumberFormat="1" applyFont="1" applyBorder="1" applyAlignment="1">
      <alignment horizontal="center" vertical="top" wrapText="1"/>
    </xf>
    <xf numFmtId="164" fontId="6" fillId="4" borderId="8" xfId="0" applyNumberFormat="1" applyFont="1" applyFill="1" applyBorder="1" applyAlignment="1">
      <alignment horizontal="center" vertical="top"/>
    </xf>
    <xf numFmtId="49" fontId="9" fillId="0" borderId="22" xfId="0" applyNumberFormat="1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/>
    </xf>
    <xf numFmtId="49" fontId="9" fillId="0" borderId="21" xfId="0" applyNumberFormat="1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4" borderId="25" xfId="0" applyNumberFormat="1" applyFont="1" applyFill="1" applyBorder="1" applyAlignment="1">
      <alignment horizontal="center" vertical="top"/>
    </xf>
    <xf numFmtId="164" fontId="6" fillId="4" borderId="37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horizontal="center" vertical="top" wrapText="1"/>
    </xf>
    <xf numFmtId="164" fontId="6" fillId="4" borderId="0" xfId="0" applyNumberFormat="1" applyFont="1" applyFill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/>
    </xf>
    <xf numFmtId="0" fontId="9" fillId="0" borderId="1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164" fontId="11" fillId="4" borderId="33" xfId="0" applyNumberFormat="1" applyFont="1" applyFill="1" applyBorder="1" applyAlignment="1">
      <alignment horizontal="center" vertical="top" wrapText="1"/>
    </xf>
    <xf numFmtId="164" fontId="11" fillId="4" borderId="16" xfId="0" applyNumberFormat="1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horizontal="center" vertical="top"/>
    </xf>
    <xf numFmtId="164" fontId="7" fillId="3" borderId="27" xfId="0" applyNumberFormat="1" applyFont="1" applyFill="1" applyBorder="1" applyAlignment="1">
      <alignment horizontal="center" vertical="center"/>
    </xf>
    <xf numFmtId="49" fontId="10" fillId="2" borderId="27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 wrapText="1"/>
    </xf>
    <xf numFmtId="49" fontId="1" fillId="0" borderId="12" xfId="0" applyNumberFormat="1" applyFont="1" applyBorder="1" applyAlignment="1">
      <alignment vertical="top" wrapText="1"/>
    </xf>
    <xf numFmtId="0" fontId="6" fillId="4" borderId="13" xfId="0" applyFont="1" applyFill="1" applyBorder="1" applyAlignment="1">
      <alignment horizontal="center" vertical="top" wrapText="1"/>
    </xf>
    <xf numFmtId="164" fontId="6" fillId="4" borderId="13" xfId="0" applyNumberFormat="1" applyFont="1" applyFill="1" applyBorder="1" applyAlignment="1">
      <alignment horizontal="center" vertical="top" wrapText="1"/>
    </xf>
    <xf numFmtId="164" fontId="6" fillId="4" borderId="76" xfId="0" applyNumberFormat="1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0" fontId="9" fillId="0" borderId="21" xfId="0" applyNumberFormat="1" applyFont="1" applyBorder="1" applyAlignment="1">
      <alignment horizontal="center" vertical="top"/>
    </xf>
    <xf numFmtId="0" fontId="6" fillId="4" borderId="15" xfId="0" applyFont="1" applyFill="1" applyBorder="1" applyAlignment="1">
      <alignment horizontal="center" vertical="top" wrapText="1"/>
    </xf>
    <xf numFmtId="0" fontId="6" fillId="4" borderId="26" xfId="0" applyFont="1" applyFill="1" applyBorder="1" applyAlignment="1">
      <alignment horizontal="center" vertical="top" wrapText="1"/>
    </xf>
    <xf numFmtId="164" fontId="6" fillId="4" borderId="26" xfId="0" applyNumberFormat="1" applyFont="1" applyFill="1" applyBorder="1" applyAlignment="1">
      <alignment horizontal="center" vertical="top" wrapText="1"/>
    </xf>
    <xf numFmtId="164" fontId="6" fillId="4" borderId="79" xfId="0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49" fontId="10" fillId="3" borderId="29" xfId="0" applyNumberFormat="1" applyFont="1" applyFill="1" applyBorder="1" applyAlignment="1">
      <alignment horizontal="center" vertical="top"/>
    </xf>
    <xf numFmtId="164" fontId="6" fillId="4" borderId="0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vertical="top"/>
    </xf>
    <xf numFmtId="49" fontId="10" fillId="3" borderId="12" xfId="0" applyNumberFormat="1" applyFont="1" applyFill="1" applyBorder="1" applyAlignment="1">
      <alignment vertical="top"/>
    </xf>
    <xf numFmtId="49" fontId="10" fillId="2" borderId="5" xfId="0" applyNumberFormat="1" applyFont="1" applyFill="1" applyBorder="1" applyAlignment="1">
      <alignment vertical="top"/>
    </xf>
    <xf numFmtId="49" fontId="10" fillId="3" borderId="7" xfId="0" applyNumberFormat="1" applyFont="1" applyFill="1" applyBorder="1" applyAlignment="1">
      <alignment vertical="top"/>
    </xf>
    <xf numFmtId="164" fontId="6" fillId="4" borderId="25" xfId="0" applyNumberFormat="1" applyFont="1" applyFill="1" applyBorder="1" applyAlignment="1">
      <alignment horizontal="center" vertical="top" wrapText="1"/>
    </xf>
    <xf numFmtId="164" fontId="13" fillId="3" borderId="3" xfId="0" applyNumberFormat="1" applyFont="1" applyFill="1" applyBorder="1" applyAlignment="1">
      <alignment horizontal="center" vertical="top"/>
    </xf>
    <xf numFmtId="164" fontId="13" fillId="3" borderId="4" xfId="0" applyNumberFormat="1" applyFont="1" applyFill="1" applyBorder="1" applyAlignment="1">
      <alignment horizontal="center" vertical="top"/>
    </xf>
    <xf numFmtId="164" fontId="13" fillId="3" borderId="23" xfId="0" applyNumberFormat="1" applyFont="1" applyFill="1" applyBorder="1" applyAlignment="1">
      <alignment horizontal="center" vertical="top"/>
    </xf>
    <xf numFmtId="49" fontId="10" fillId="2" borderId="18" xfId="0" applyNumberFormat="1" applyFont="1" applyFill="1" applyBorder="1" applyAlignment="1">
      <alignment horizontal="center" vertical="top"/>
    </xf>
    <xf numFmtId="164" fontId="10" fillId="2" borderId="3" xfId="0" applyNumberFormat="1" applyFont="1" applyFill="1" applyBorder="1" applyAlignment="1">
      <alignment horizontal="center" vertical="top"/>
    </xf>
    <xf numFmtId="164" fontId="10" fillId="2" borderId="4" xfId="0" applyNumberFormat="1" applyFont="1" applyFill="1" applyBorder="1" applyAlignment="1">
      <alignment horizontal="center" vertical="top"/>
    </xf>
    <xf numFmtId="164" fontId="10" fillId="2" borderId="23" xfId="0" applyNumberFormat="1" applyFont="1" applyFill="1" applyBorder="1" applyAlignment="1">
      <alignment horizontal="center" vertical="top"/>
    </xf>
    <xf numFmtId="164" fontId="10" fillId="2" borderId="73" xfId="0" applyNumberFormat="1" applyFont="1" applyFill="1" applyBorder="1" applyAlignment="1">
      <alignment horizontal="center" vertical="top"/>
    </xf>
    <xf numFmtId="49" fontId="10" fillId="5" borderId="3" xfId="0" applyNumberFormat="1" applyFont="1" applyFill="1" applyBorder="1" applyAlignment="1">
      <alignment horizontal="center" vertical="top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19" xfId="0" applyNumberFormat="1" applyFont="1" applyFill="1" applyBorder="1" applyAlignment="1">
      <alignment horizontal="center" vertical="center" wrapText="1"/>
    </xf>
    <xf numFmtId="164" fontId="7" fillId="5" borderId="20" xfId="0" applyNumberFormat="1" applyFont="1" applyFill="1" applyBorder="1" applyAlignment="1">
      <alignment horizontal="center" vertical="center" wrapText="1"/>
    </xf>
    <xf numFmtId="164" fontId="7" fillId="5" borderId="7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vertical="center" wrapText="1"/>
    </xf>
    <xf numFmtId="164" fontId="9" fillId="5" borderId="73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13" xfId="0" applyNumberFormat="1" applyFont="1" applyBorder="1" applyAlignment="1">
      <alignment horizontal="center" vertical="top" wrapText="1"/>
    </xf>
    <xf numFmtId="164" fontId="1" fillId="0" borderId="21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8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164" fontId="11" fillId="0" borderId="47" xfId="0" applyNumberFormat="1" applyFont="1" applyFill="1" applyBorder="1" applyAlignment="1">
      <alignment horizontal="center" vertical="top"/>
    </xf>
    <xf numFmtId="164" fontId="11" fillId="0" borderId="48" xfId="0" applyNumberFormat="1" applyFont="1" applyFill="1" applyBorder="1" applyAlignment="1">
      <alignment horizontal="center" vertical="top"/>
    </xf>
    <xf numFmtId="164" fontId="11" fillId="0" borderId="39" xfId="0" applyNumberFormat="1" applyFont="1" applyFill="1" applyBorder="1" applyAlignment="1">
      <alignment horizontal="center" vertical="top"/>
    </xf>
    <xf numFmtId="164" fontId="11" fillId="0" borderId="58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/>
    </xf>
    <xf numFmtId="164" fontId="11" fillId="0" borderId="51" xfId="0" applyNumberFormat="1" applyFont="1" applyFill="1" applyBorder="1" applyAlignment="1">
      <alignment horizontal="center" vertical="top"/>
    </xf>
    <xf numFmtId="164" fontId="11" fillId="0" borderId="14" xfId="0" applyNumberFormat="1" applyFont="1" applyFill="1" applyBorder="1" applyAlignment="1">
      <alignment horizontal="center" vertical="top"/>
    </xf>
    <xf numFmtId="164" fontId="11" fillId="0" borderId="36" xfId="0" applyNumberFormat="1" applyFont="1" applyFill="1" applyBorder="1" applyAlignment="1">
      <alignment horizontal="center" vertical="top"/>
    </xf>
    <xf numFmtId="164" fontId="11" fillId="0" borderId="66" xfId="0" applyNumberFormat="1" applyFont="1" applyFill="1" applyBorder="1" applyAlignment="1">
      <alignment horizontal="center" vertical="top"/>
    </xf>
    <xf numFmtId="164" fontId="11" fillId="0" borderId="50" xfId="0" applyNumberFormat="1" applyFont="1" applyFill="1" applyBorder="1" applyAlignment="1">
      <alignment horizontal="center" vertical="top"/>
    </xf>
    <xf numFmtId="164" fontId="11" fillId="0" borderId="34" xfId="0" applyNumberFormat="1" applyFont="1" applyFill="1" applyBorder="1" applyAlignment="1">
      <alignment horizontal="center" vertical="top"/>
    </xf>
    <xf numFmtId="164" fontId="11" fillId="0" borderId="49" xfId="0" applyNumberFormat="1" applyFont="1" applyFill="1" applyBorder="1" applyAlignment="1">
      <alignment horizontal="center" vertical="top"/>
    </xf>
    <xf numFmtId="0" fontId="12" fillId="0" borderId="20" xfId="0" applyFont="1" applyFill="1" applyBorder="1" applyAlignment="1">
      <alignment horizontal="center" vertical="top" wrapText="1"/>
    </xf>
    <xf numFmtId="164" fontId="11" fillId="0" borderId="7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49" fontId="9" fillId="0" borderId="12" xfId="0" applyNumberFormat="1" applyFont="1" applyBorder="1" applyAlignment="1">
      <alignment horizontal="center" vertical="top"/>
    </xf>
    <xf numFmtId="164" fontId="11" fillId="0" borderId="43" xfId="0" applyNumberFormat="1" applyFont="1" applyFill="1" applyBorder="1" applyAlignment="1">
      <alignment horizontal="center" vertical="top"/>
    </xf>
    <xf numFmtId="164" fontId="11" fillId="0" borderId="55" xfId="0" applyNumberFormat="1" applyFont="1" applyFill="1" applyBorder="1" applyAlignment="1">
      <alignment horizontal="center" vertical="top"/>
    </xf>
    <xf numFmtId="0" fontId="1" fillId="4" borderId="15" xfId="0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wrapText="1"/>
    </xf>
    <xf numFmtId="49" fontId="10" fillId="0" borderId="12" xfId="0" applyNumberFormat="1" applyFont="1" applyFill="1" applyBorder="1" applyAlignment="1">
      <alignment horizontal="center" vertical="top"/>
    </xf>
    <xf numFmtId="0" fontId="9" fillId="0" borderId="28" xfId="0" applyFont="1" applyFill="1" applyBorder="1" applyAlignment="1">
      <alignment horizontal="center" vertical="top" textRotation="180" wrapText="1"/>
    </xf>
    <xf numFmtId="0" fontId="12" fillId="0" borderId="28" xfId="0" applyFont="1" applyBorder="1" applyAlignment="1">
      <alignment vertical="top"/>
    </xf>
    <xf numFmtId="49" fontId="9" fillId="0" borderId="31" xfId="0" applyNumberFormat="1" applyFont="1" applyBorder="1" applyAlignment="1">
      <alignment horizontal="center" vertical="top" wrapText="1"/>
    </xf>
    <xf numFmtId="0" fontId="10" fillId="0" borderId="10" xfId="0" applyFont="1" applyFill="1" applyBorder="1" applyAlignment="1">
      <alignment vertical="center" textRotation="90" wrapText="1"/>
    </xf>
    <xf numFmtId="0" fontId="10" fillId="0" borderId="17" xfId="0" applyFont="1" applyFill="1" applyBorder="1" applyAlignment="1">
      <alignment vertical="center" textRotation="90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9" fillId="0" borderId="4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34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6" fillId="4" borderId="76" xfId="0" applyFont="1" applyFill="1" applyBorder="1" applyAlignment="1">
      <alignment horizontal="center" vertical="top" wrapText="1"/>
    </xf>
    <xf numFmtId="0" fontId="6" fillId="4" borderId="37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vertical="center" wrapText="1"/>
    </xf>
    <xf numFmtId="0" fontId="9" fillId="0" borderId="34" xfId="0" applyNumberFormat="1" applyFont="1" applyBorder="1" applyAlignment="1">
      <alignment vertical="center"/>
    </xf>
    <xf numFmtId="49" fontId="10" fillId="0" borderId="10" xfId="0" applyNumberFormat="1" applyFont="1" applyBorder="1" applyAlignment="1">
      <alignment vertical="center" textRotation="90"/>
    </xf>
    <xf numFmtId="49" fontId="6" fillId="4" borderId="7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top" wrapText="1"/>
    </xf>
    <xf numFmtId="164" fontId="11" fillId="0" borderId="14" xfId="0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vertical="center" textRotation="90"/>
    </xf>
    <xf numFmtId="164" fontId="2" fillId="0" borderId="0" xfId="0" applyNumberFormat="1" applyFont="1"/>
    <xf numFmtId="0" fontId="9" fillId="0" borderId="11" xfId="0" applyNumberFormat="1" applyFont="1" applyBorder="1" applyAlignment="1">
      <alignment horizontal="center" vertical="top"/>
    </xf>
    <xf numFmtId="164" fontId="11" fillId="0" borderId="46" xfId="0" applyNumberFormat="1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164" fontId="11" fillId="0" borderId="26" xfId="0" applyNumberFormat="1" applyFont="1" applyFill="1" applyBorder="1" applyAlignment="1">
      <alignment horizontal="center" vertical="top"/>
    </xf>
    <xf numFmtId="0" fontId="11" fillId="0" borderId="16" xfId="0" applyFont="1" applyFill="1" applyBorder="1" applyAlignment="1">
      <alignment horizontal="center" vertical="top"/>
    </xf>
    <xf numFmtId="0" fontId="11" fillId="0" borderId="79" xfId="0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center" vertical="top"/>
    </xf>
    <xf numFmtId="49" fontId="10" fillId="0" borderId="50" xfId="0" applyNumberFormat="1" applyFont="1" applyBorder="1" applyAlignment="1">
      <alignment horizontal="center" vertical="top" wrapText="1"/>
    </xf>
    <xf numFmtId="164" fontId="6" fillId="4" borderId="37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center" textRotation="90" wrapText="1"/>
    </xf>
    <xf numFmtId="49" fontId="10" fillId="2" borderId="28" xfId="0" applyNumberFormat="1" applyFont="1" applyFill="1" applyBorder="1" applyAlignment="1">
      <alignment vertical="top"/>
    </xf>
    <xf numFmtId="164" fontId="11" fillId="0" borderId="60" xfId="0" applyNumberFormat="1" applyFont="1" applyFill="1" applyBorder="1" applyAlignment="1">
      <alignment horizontal="center" vertical="top"/>
    </xf>
    <xf numFmtId="164" fontId="1" fillId="0" borderId="9" xfId="0" applyNumberFormat="1" applyFont="1" applyBorder="1" applyAlignment="1">
      <alignment horizontal="center" vertical="top" wrapText="1"/>
    </xf>
    <xf numFmtId="164" fontId="13" fillId="6" borderId="40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 textRotation="90"/>
    </xf>
    <xf numFmtId="0" fontId="8" fillId="0" borderId="42" xfId="0" applyFont="1" applyBorder="1" applyAlignment="1">
      <alignment horizontal="center" vertical="center" textRotation="90"/>
    </xf>
    <xf numFmtId="0" fontId="11" fillId="0" borderId="50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4" borderId="24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1" fontId="11" fillId="0" borderId="21" xfId="0" applyNumberFormat="1" applyFont="1" applyFill="1" applyBorder="1" applyAlignment="1">
      <alignment horizontal="center" vertical="top"/>
    </xf>
    <xf numFmtId="0" fontId="11" fillId="0" borderId="24" xfId="0" applyNumberFormat="1" applyFont="1" applyFill="1" applyBorder="1" applyAlignment="1">
      <alignment horizontal="center" vertical="top" wrapText="1"/>
    </xf>
    <xf numFmtId="0" fontId="11" fillId="0" borderId="7" xfId="0" applyNumberFormat="1" applyFont="1" applyFill="1" applyBorder="1" applyAlignment="1">
      <alignment horizontal="center" vertical="top" wrapText="1"/>
    </xf>
    <xf numFmtId="0" fontId="11" fillId="0" borderId="22" xfId="0" applyNumberFormat="1" applyFont="1" applyFill="1" applyBorder="1" applyAlignment="1">
      <alignment horizontal="center" vertical="top"/>
    </xf>
    <xf numFmtId="0" fontId="11" fillId="0" borderId="22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vertical="top" wrapText="1"/>
    </xf>
    <xf numFmtId="0" fontId="11" fillId="0" borderId="19" xfId="0" applyFont="1" applyFill="1" applyBorder="1" applyAlignment="1">
      <alignment vertical="top" wrapText="1"/>
    </xf>
    <xf numFmtId="0" fontId="11" fillId="0" borderId="31" xfId="0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 wrapText="1"/>
    </xf>
    <xf numFmtId="0" fontId="11" fillId="0" borderId="21" xfId="0" applyNumberFormat="1" applyFont="1" applyFill="1" applyBorder="1" applyAlignment="1">
      <alignment horizontal="center" vertical="top" wrapText="1"/>
    </xf>
    <xf numFmtId="0" fontId="11" fillId="0" borderId="68" xfId="0" applyNumberFormat="1" applyFont="1" applyFill="1" applyBorder="1" applyAlignment="1">
      <alignment horizontal="center" vertical="top" wrapText="1"/>
    </xf>
    <xf numFmtId="0" fontId="11" fillId="0" borderId="19" xfId="0" applyNumberFormat="1" applyFont="1" applyFill="1" applyBorder="1" applyAlignment="1">
      <alignment horizontal="center" vertical="top" wrapText="1"/>
    </xf>
    <xf numFmtId="0" fontId="11" fillId="0" borderId="44" xfId="0" applyNumberFormat="1" applyFont="1" applyFill="1" applyBorder="1" applyAlignment="1">
      <alignment horizontal="center" vertical="top" wrapText="1"/>
    </xf>
    <xf numFmtId="0" fontId="11" fillId="4" borderId="8" xfId="0" applyNumberFormat="1" applyFont="1" applyFill="1" applyBorder="1" applyAlignment="1">
      <alignment horizontal="center" vertical="top" wrapText="1"/>
    </xf>
    <xf numFmtId="0" fontId="11" fillId="4" borderId="22" xfId="0" applyNumberFormat="1" applyFont="1" applyFill="1" applyBorder="1" applyAlignment="1">
      <alignment horizontal="center" vertical="top" wrapText="1"/>
    </xf>
    <xf numFmtId="0" fontId="11" fillId="4" borderId="60" xfId="0" applyNumberFormat="1" applyFont="1" applyFill="1" applyBorder="1" applyAlignment="1">
      <alignment horizontal="center" vertical="top" wrapText="1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0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1" fillId="4" borderId="78" xfId="0" applyNumberFormat="1" applyFont="1" applyFill="1" applyBorder="1" applyAlignment="1">
      <alignment horizontal="center" vertical="top" wrapText="1"/>
    </xf>
    <xf numFmtId="0" fontId="11" fillId="4" borderId="39" xfId="0" applyNumberFormat="1" applyFont="1" applyFill="1" applyBorder="1" applyAlignment="1">
      <alignment horizontal="center" vertical="top" wrapText="1"/>
    </xf>
    <xf numFmtId="0" fontId="11" fillId="4" borderId="79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0" fontId="11" fillId="0" borderId="21" xfId="0" applyFont="1" applyBorder="1" applyAlignment="1">
      <alignment vertical="top"/>
    </xf>
    <xf numFmtId="1" fontId="11" fillId="0" borderId="46" xfId="0" applyNumberFormat="1" applyFont="1" applyFill="1" applyBorder="1" applyAlignment="1">
      <alignment horizontal="center" vertical="top"/>
    </xf>
    <xf numFmtId="1" fontId="11" fillId="0" borderId="47" xfId="0" applyNumberFormat="1" applyFont="1" applyFill="1" applyBorder="1" applyAlignment="1">
      <alignment horizontal="center" vertical="top"/>
    </xf>
    <xf numFmtId="1" fontId="11" fillId="0" borderId="48" xfId="0" applyNumberFormat="1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vertical="center" wrapText="1"/>
    </xf>
    <xf numFmtId="1" fontId="15" fillId="0" borderId="0" xfId="0" applyNumberFormat="1" applyFont="1"/>
    <xf numFmtId="0" fontId="11" fillId="0" borderId="28" xfId="0" applyNumberFormat="1" applyFont="1" applyFill="1" applyBorder="1" applyAlignment="1">
      <alignment horizontal="left" vertical="top" wrapText="1"/>
    </xf>
    <xf numFmtId="0" fontId="11" fillId="0" borderId="68" xfId="0" applyNumberFormat="1" applyFont="1" applyFill="1" applyBorder="1" applyAlignment="1">
      <alignment horizontal="left" vertical="top" wrapText="1"/>
    </xf>
    <xf numFmtId="164" fontId="13" fillId="4" borderId="0" xfId="0" applyNumberFormat="1" applyFont="1" applyFill="1" applyBorder="1" applyAlignment="1">
      <alignment horizontal="center" vertical="top"/>
    </xf>
    <xf numFmtId="0" fontId="15" fillId="0" borderId="0" xfId="0" applyFont="1" applyAlignment="1">
      <alignment horizontal="left"/>
    </xf>
    <xf numFmtId="164" fontId="11" fillId="4" borderId="43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center" vertical="top"/>
    </xf>
    <xf numFmtId="49" fontId="9" fillId="0" borderId="31" xfId="0" applyNumberFormat="1" applyFont="1" applyBorder="1" applyAlignment="1">
      <alignment vertical="top"/>
    </xf>
    <xf numFmtId="164" fontId="13" fillId="3" borderId="27" xfId="0" applyNumberFormat="1" applyFont="1" applyFill="1" applyBorder="1" applyAlignment="1">
      <alignment horizontal="center" vertical="top"/>
    </xf>
    <xf numFmtId="1" fontId="11" fillId="0" borderId="24" xfId="0" applyNumberFormat="1" applyFont="1" applyFill="1" applyBorder="1" applyAlignment="1">
      <alignment horizontal="center" vertical="top"/>
    </xf>
    <xf numFmtId="1" fontId="11" fillId="0" borderId="22" xfId="0" applyNumberFormat="1" applyFont="1" applyFill="1" applyBorder="1" applyAlignment="1">
      <alignment horizontal="center" vertical="top"/>
    </xf>
    <xf numFmtId="164" fontId="11" fillId="0" borderId="38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 wrapText="1"/>
    </xf>
    <xf numFmtId="164" fontId="11" fillId="0" borderId="10" xfId="0" applyNumberFormat="1" applyFont="1" applyFill="1" applyBorder="1" applyAlignment="1">
      <alignment horizontal="center" vertical="top"/>
    </xf>
    <xf numFmtId="164" fontId="11" fillId="0" borderId="12" xfId="0" applyNumberFormat="1" applyFont="1" applyFill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/>
    </xf>
    <xf numFmtId="164" fontId="11" fillId="0" borderId="24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center" vertical="top"/>
    </xf>
    <xf numFmtId="164" fontId="8" fillId="0" borderId="33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vertical="top" wrapText="1"/>
    </xf>
    <xf numFmtId="1" fontId="11" fillId="0" borderId="52" xfId="0" applyNumberFormat="1" applyFont="1" applyFill="1" applyBorder="1" applyAlignment="1">
      <alignment horizontal="center" vertical="top"/>
    </xf>
    <xf numFmtId="164" fontId="11" fillId="0" borderId="46" xfId="0" applyNumberFormat="1" applyFont="1" applyBorder="1" applyAlignment="1">
      <alignment horizontal="center" vertical="top"/>
    </xf>
    <xf numFmtId="164" fontId="11" fillId="0" borderId="47" xfId="0" applyNumberFormat="1" applyFont="1" applyBorder="1" applyAlignment="1">
      <alignment horizontal="center" vertical="top"/>
    </xf>
    <xf numFmtId="164" fontId="11" fillId="0" borderId="56" xfId="0" applyNumberFormat="1" applyFont="1" applyFill="1" applyBorder="1" applyAlignment="1">
      <alignment horizontal="center" vertical="top"/>
    </xf>
    <xf numFmtId="2" fontId="11" fillId="0" borderId="28" xfId="0" applyNumberFormat="1" applyFont="1" applyFill="1" applyBorder="1" applyAlignment="1">
      <alignment vertical="top" wrapText="1"/>
    </xf>
    <xf numFmtId="164" fontId="11" fillId="0" borderId="39" xfId="0" applyNumberFormat="1" applyFont="1" applyBorder="1" applyAlignment="1">
      <alignment horizontal="center" vertical="top"/>
    </xf>
    <xf numFmtId="164" fontId="11" fillId="0" borderId="38" xfId="0" applyNumberFormat="1" applyFont="1" applyBorder="1" applyAlignment="1">
      <alignment horizontal="center" vertical="top"/>
    </xf>
    <xf numFmtId="164" fontId="11" fillId="0" borderId="15" xfId="0" applyNumberFormat="1" applyFont="1" applyFill="1" applyBorder="1" applyAlignment="1">
      <alignment horizontal="center" vertical="top" wrapText="1"/>
    </xf>
    <xf numFmtId="164" fontId="11" fillId="0" borderId="52" xfId="0" applyNumberFormat="1" applyFont="1" applyFill="1" applyBorder="1" applyAlignment="1">
      <alignment horizontal="center" vertical="top"/>
    </xf>
    <xf numFmtId="164" fontId="11" fillId="4" borderId="45" xfId="0" applyNumberFormat="1" applyFont="1" applyFill="1" applyBorder="1" applyAlignment="1">
      <alignment horizontal="center" vertical="top"/>
    </xf>
    <xf numFmtId="164" fontId="11" fillId="4" borderId="10" xfId="0" applyNumberFormat="1" applyFont="1" applyFill="1" applyBorder="1" applyAlignment="1">
      <alignment horizontal="center" vertical="top"/>
    </xf>
    <xf numFmtId="0" fontId="11" fillId="0" borderId="28" xfId="0" applyFont="1" applyFill="1" applyBorder="1" applyAlignment="1">
      <alignment horizontal="center" vertical="top" wrapText="1"/>
    </xf>
    <xf numFmtId="0" fontId="11" fillId="0" borderId="34" xfId="0" applyFont="1" applyFill="1" applyBorder="1" applyAlignment="1">
      <alignment horizontal="center" vertical="top" wrapText="1"/>
    </xf>
    <xf numFmtId="164" fontId="11" fillId="4" borderId="25" xfId="0" applyNumberFormat="1" applyFont="1" applyFill="1" applyBorder="1" applyAlignment="1">
      <alignment horizontal="center" vertical="top" wrapText="1"/>
    </xf>
    <xf numFmtId="0" fontId="11" fillId="0" borderId="25" xfId="0" applyFont="1" applyFill="1" applyBorder="1" applyAlignment="1">
      <alignment horizontal="center" vertical="top"/>
    </xf>
    <xf numFmtId="0" fontId="10" fillId="0" borderId="9" xfId="0" applyFont="1" applyFill="1" applyBorder="1" applyAlignment="1">
      <alignment vertical="top" wrapText="1"/>
    </xf>
    <xf numFmtId="164" fontId="1" fillId="4" borderId="13" xfId="0" applyNumberFormat="1" applyFont="1" applyFill="1" applyBorder="1" applyAlignment="1">
      <alignment horizontal="center" vertical="top" wrapText="1"/>
    </xf>
    <xf numFmtId="1" fontId="11" fillId="0" borderId="28" xfId="0" applyNumberFormat="1" applyFont="1" applyFill="1" applyBorder="1" applyAlignment="1">
      <alignment horizontal="center" vertical="top"/>
    </xf>
    <xf numFmtId="0" fontId="11" fillId="0" borderId="28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11" fillId="0" borderId="21" xfId="0" applyNumberFormat="1" applyFont="1" applyBorder="1" applyAlignment="1">
      <alignment horizontal="center" vertical="top" wrapText="1"/>
    </xf>
    <xf numFmtId="0" fontId="7" fillId="0" borderId="68" xfId="0" applyNumberFormat="1" applyFont="1" applyFill="1" applyBorder="1" applyAlignment="1">
      <alignment horizontal="center" vertical="top"/>
    </xf>
    <xf numFmtId="0" fontId="7" fillId="0" borderId="19" xfId="0" applyNumberFormat="1" applyFont="1" applyFill="1" applyBorder="1" applyAlignment="1">
      <alignment horizontal="center" vertical="top"/>
    </xf>
    <xf numFmtId="0" fontId="7" fillId="0" borderId="44" xfId="0" applyNumberFormat="1" applyFont="1" applyFill="1" applyBorder="1" applyAlignment="1">
      <alignment horizontal="center" vertical="top"/>
    </xf>
    <xf numFmtId="164" fontId="11" fillId="0" borderId="45" xfId="0" applyNumberFormat="1" applyFont="1" applyFill="1" applyBorder="1" applyAlignment="1">
      <alignment horizontal="center" vertical="top" wrapText="1"/>
    </xf>
    <xf numFmtId="164" fontId="11" fillId="0" borderId="51" xfId="0" applyNumberFormat="1" applyFont="1" applyFill="1" applyBorder="1" applyAlignment="1">
      <alignment horizontal="center" vertical="top" wrapText="1"/>
    </xf>
    <xf numFmtId="164" fontId="11" fillId="0" borderId="37" xfId="0" applyNumberFormat="1" applyFont="1" applyFill="1" applyBorder="1" applyAlignment="1">
      <alignment horizontal="center" vertical="top"/>
    </xf>
    <xf numFmtId="1" fontId="11" fillId="0" borderId="17" xfId="0" applyNumberFormat="1" applyFont="1" applyFill="1" applyBorder="1" applyAlignment="1">
      <alignment vertical="top"/>
    </xf>
    <xf numFmtId="1" fontId="11" fillId="0" borderId="19" xfId="0" applyNumberFormat="1" applyFont="1" applyFill="1" applyBorder="1" applyAlignment="1">
      <alignment vertical="top"/>
    </xf>
    <xf numFmtId="1" fontId="11" fillId="0" borderId="31" xfId="0" applyNumberFormat="1" applyFont="1" applyFill="1" applyBorder="1" applyAlignment="1">
      <alignment vertical="top"/>
    </xf>
    <xf numFmtId="164" fontId="7" fillId="5" borderId="68" xfId="0" applyNumberFormat="1" applyFont="1" applyFill="1" applyBorder="1" applyAlignment="1">
      <alignment horizontal="center" vertical="center" wrapText="1"/>
    </xf>
    <xf numFmtId="164" fontId="13" fillId="3" borderId="29" xfId="0" applyNumberFormat="1" applyFont="1" applyFill="1" applyBorder="1" applyAlignment="1">
      <alignment horizontal="center" vertical="top"/>
    </xf>
    <xf numFmtId="164" fontId="10" fillId="2" borderId="75" xfId="0" applyNumberFormat="1" applyFont="1" applyFill="1" applyBorder="1" applyAlignment="1">
      <alignment horizontal="center" vertical="top"/>
    </xf>
    <xf numFmtId="164" fontId="7" fillId="5" borderId="44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top" wrapText="1"/>
    </xf>
    <xf numFmtId="49" fontId="1" fillId="0" borderId="39" xfId="0" applyNumberFormat="1" applyFont="1" applyBorder="1" applyAlignment="1">
      <alignment horizontal="center" vertical="top" wrapText="1"/>
    </xf>
    <xf numFmtId="49" fontId="10" fillId="4" borderId="9" xfId="0" applyNumberFormat="1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/>
    </xf>
    <xf numFmtId="164" fontId="11" fillId="8" borderId="38" xfId="0" applyNumberFormat="1" applyFont="1" applyFill="1" applyBorder="1" applyAlignment="1">
      <alignment horizontal="center" vertical="top"/>
    </xf>
    <xf numFmtId="164" fontId="11" fillId="8" borderId="39" xfId="0" applyNumberFormat="1" applyFont="1" applyFill="1" applyBorder="1" applyAlignment="1">
      <alignment horizontal="center" vertical="top"/>
    </xf>
    <xf numFmtId="164" fontId="11" fillId="8" borderId="47" xfId="0" applyNumberFormat="1" applyFont="1" applyFill="1" applyBorder="1" applyAlignment="1">
      <alignment horizontal="center" vertical="top"/>
    </xf>
    <xf numFmtId="164" fontId="11" fillId="8" borderId="32" xfId="0" applyNumberFormat="1" applyFont="1" applyFill="1" applyBorder="1" applyAlignment="1">
      <alignment horizontal="center" vertical="top"/>
    </xf>
    <xf numFmtId="164" fontId="11" fillId="8" borderId="49" xfId="0" applyNumberFormat="1" applyFont="1" applyFill="1" applyBorder="1" applyAlignment="1">
      <alignment horizontal="center" vertical="top"/>
    </xf>
    <xf numFmtId="0" fontId="6" fillId="8" borderId="25" xfId="0" applyFont="1" applyFill="1" applyBorder="1" applyAlignment="1">
      <alignment horizontal="center" vertical="top" wrapText="1"/>
    </xf>
    <xf numFmtId="49" fontId="9" fillId="0" borderId="55" xfId="0" applyNumberFormat="1" applyFont="1" applyBorder="1" applyAlignment="1">
      <alignment horizontal="center" vertical="top"/>
    </xf>
    <xf numFmtId="164" fontId="6" fillId="8" borderId="46" xfId="0" applyNumberFormat="1" applyFont="1" applyFill="1" applyBorder="1" applyAlignment="1">
      <alignment horizontal="center" vertical="top"/>
    </xf>
    <xf numFmtId="164" fontId="6" fillId="8" borderId="47" xfId="0" applyNumberFormat="1" applyFont="1" applyFill="1" applyBorder="1" applyAlignment="1">
      <alignment horizontal="center" vertical="top"/>
    </xf>
    <xf numFmtId="164" fontId="6" fillId="8" borderId="48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34" xfId="0" applyNumberFormat="1" applyFont="1" applyFill="1" applyBorder="1" applyAlignment="1">
      <alignment horizontal="center" vertical="top"/>
    </xf>
    <xf numFmtId="164" fontId="6" fillId="8" borderId="5" xfId="0" applyNumberFormat="1" applyFont="1" applyFill="1" applyBorder="1" applyAlignment="1">
      <alignment horizontal="center" vertical="top"/>
    </xf>
    <xf numFmtId="164" fontId="6" fillId="8" borderId="7" xfId="0" applyNumberFormat="1" applyFont="1" applyFill="1" applyBorder="1" applyAlignment="1">
      <alignment horizontal="center" vertical="top"/>
    </xf>
    <xf numFmtId="0" fontId="12" fillId="0" borderId="39" xfId="0" applyFont="1" applyBorder="1" applyAlignment="1">
      <alignment vertical="top"/>
    </xf>
    <xf numFmtId="0" fontId="12" fillId="0" borderId="21" xfId="0" applyFont="1" applyBorder="1" applyAlignment="1">
      <alignment vertical="top"/>
    </xf>
    <xf numFmtId="49" fontId="10" fillId="0" borderId="52" xfId="0" applyNumberFormat="1" applyFont="1" applyBorder="1" applyAlignment="1">
      <alignment vertical="center" textRotation="90"/>
    </xf>
    <xf numFmtId="49" fontId="13" fillId="0" borderId="55" xfId="0" applyNumberFormat="1" applyFont="1" applyBorder="1" applyAlignment="1">
      <alignment horizontal="center" vertical="top"/>
    </xf>
    <xf numFmtId="164" fontId="11" fillId="8" borderId="1" xfId="0" applyNumberFormat="1" applyFont="1" applyFill="1" applyBorder="1" applyAlignment="1">
      <alignment horizontal="center" vertical="top"/>
    </xf>
    <xf numFmtId="164" fontId="11" fillId="8" borderId="43" xfId="0" applyNumberFormat="1" applyFont="1" applyFill="1" applyBorder="1" applyAlignment="1">
      <alignment horizontal="center" vertical="top"/>
    </xf>
    <xf numFmtId="164" fontId="11" fillId="8" borderId="12" xfId="0" applyNumberFormat="1" applyFont="1" applyFill="1" applyBorder="1" applyAlignment="1">
      <alignment horizontal="center" vertical="top"/>
    </xf>
    <xf numFmtId="0" fontId="6" fillId="8" borderId="9" xfId="0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textRotation="180" wrapText="1"/>
    </xf>
    <xf numFmtId="164" fontId="11" fillId="0" borderId="21" xfId="0" applyNumberFormat="1" applyFont="1" applyFill="1" applyBorder="1" applyAlignment="1">
      <alignment horizontal="center" vertical="top"/>
    </xf>
    <xf numFmtId="49" fontId="10" fillId="2" borderId="24" xfId="0" applyNumberFormat="1" applyFont="1" applyFill="1" applyBorder="1" applyAlignment="1">
      <alignment horizontal="center" vertical="top"/>
    </xf>
    <xf numFmtId="49" fontId="10" fillId="2" borderId="68" xfId="0" applyNumberFormat="1" applyFont="1" applyFill="1" applyBorder="1" applyAlignment="1">
      <alignment horizontal="center" vertical="top"/>
    </xf>
    <xf numFmtId="164" fontId="11" fillId="0" borderId="77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 wrapText="1"/>
    </xf>
    <xf numFmtId="164" fontId="11" fillId="0" borderId="76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15" fillId="0" borderId="0" xfId="0" applyNumberFormat="1" applyFont="1"/>
    <xf numFmtId="164" fontId="11" fillId="9" borderId="7" xfId="0" applyNumberFormat="1" applyFont="1" applyFill="1" applyBorder="1" applyAlignment="1">
      <alignment horizontal="center" vertical="top"/>
    </xf>
    <xf numFmtId="164" fontId="11" fillId="9" borderId="7" xfId="0" applyNumberFormat="1" applyFont="1" applyFill="1" applyBorder="1" applyAlignment="1">
      <alignment horizontal="center" vertical="center"/>
    </xf>
    <xf numFmtId="164" fontId="6" fillId="9" borderId="35" xfId="0" applyNumberFormat="1" applyFont="1" applyFill="1" applyBorder="1" applyAlignment="1">
      <alignment horizontal="center" vertical="top"/>
    </xf>
    <xf numFmtId="164" fontId="11" fillId="9" borderId="45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top"/>
    </xf>
    <xf numFmtId="164" fontId="11" fillId="9" borderId="1" xfId="0" applyNumberFormat="1" applyFont="1" applyFill="1" applyBorder="1" applyAlignment="1">
      <alignment horizontal="center" vertical="center"/>
    </xf>
    <xf numFmtId="164" fontId="6" fillId="9" borderId="51" xfId="0" applyNumberFormat="1" applyFont="1" applyFill="1" applyBorder="1" applyAlignment="1">
      <alignment horizontal="center" vertical="top"/>
    </xf>
    <xf numFmtId="164" fontId="6" fillId="9" borderId="34" xfId="0" applyNumberFormat="1" applyFont="1" applyFill="1" applyBorder="1" applyAlignment="1">
      <alignment horizontal="center" vertical="top"/>
    </xf>
    <xf numFmtId="164" fontId="10" fillId="9" borderId="59" xfId="0" applyNumberFormat="1" applyFont="1" applyFill="1" applyBorder="1" applyAlignment="1">
      <alignment horizontal="center" vertical="top"/>
    </xf>
    <xf numFmtId="164" fontId="10" fillId="9" borderId="2" xfId="0" applyNumberFormat="1" applyFont="1" applyFill="1" applyBorder="1" applyAlignment="1">
      <alignment horizontal="center" vertical="top"/>
    </xf>
    <xf numFmtId="164" fontId="10" fillId="9" borderId="42" xfId="0" applyNumberFormat="1" applyFont="1" applyFill="1" applyBorder="1" applyAlignment="1">
      <alignment horizontal="center" vertical="top"/>
    </xf>
    <xf numFmtId="164" fontId="11" fillId="9" borderId="46" xfId="0" applyNumberFormat="1" applyFont="1" applyFill="1" applyBorder="1" applyAlignment="1">
      <alignment horizontal="center" vertical="top"/>
    </xf>
    <xf numFmtId="164" fontId="11" fillId="9" borderId="47" xfId="0" applyNumberFormat="1" applyFont="1" applyFill="1" applyBorder="1" applyAlignment="1">
      <alignment horizontal="center" vertical="top"/>
    </xf>
    <xf numFmtId="164" fontId="11" fillId="9" borderId="48" xfId="0" applyNumberFormat="1" applyFont="1" applyFill="1" applyBorder="1" applyAlignment="1">
      <alignment horizontal="center" vertical="top"/>
    </xf>
    <xf numFmtId="164" fontId="11" fillId="9" borderId="51" xfId="0" applyNumberFormat="1" applyFont="1" applyFill="1" applyBorder="1" applyAlignment="1">
      <alignment horizontal="center" vertical="top"/>
    </xf>
    <xf numFmtId="164" fontId="11" fillId="9" borderId="38" xfId="0" applyNumberFormat="1" applyFont="1" applyFill="1" applyBorder="1" applyAlignment="1">
      <alignment horizontal="center" vertical="top"/>
    </xf>
    <xf numFmtId="164" fontId="11" fillId="9" borderId="39" xfId="0" applyNumberFormat="1" applyFont="1" applyFill="1" applyBorder="1" applyAlignment="1">
      <alignment horizontal="center" vertical="top"/>
    </xf>
    <xf numFmtId="164" fontId="11" fillId="9" borderId="36" xfId="0" applyNumberFormat="1" applyFont="1" applyFill="1" applyBorder="1" applyAlignment="1">
      <alignment horizontal="center" vertical="top"/>
    </xf>
    <xf numFmtId="164" fontId="11" fillId="9" borderId="10" xfId="0" applyNumberFormat="1" applyFont="1" applyFill="1" applyBorder="1" applyAlignment="1">
      <alignment horizontal="center" vertical="top"/>
    </xf>
    <xf numFmtId="164" fontId="11" fillId="9" borderId="12" xfId="0" applyNumberFormat="1" applyFont="1" applyFill="1" applyBorder="1" applyAlignment="1">
      <alignment horizontal="center" vertical="top"/>
    </xf>
    <xf numFmtId="164" fontId="11" fillId="9" borderId="34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top"/>
    </xf>
    <xf numFmtId="164" fontId="7" fillId="9" borderId="41" xfId="0" applyNumberFormat="1" applyFont="1" applyFill="1" applyBorder="1" applyAlignment="1">
      <alignment horizontal="center" vertical="top"/>
    </xf>
    <xf numFmtId="164" fontId="7" fillId="9" borderId="2" xfId="0" applyNumberFormat="1" applyFont="1" applyFill="1" applyBorder="1" applyAlignment="1">
      <alignment horizontal="center" vertical="top"/>
    </xf>
    <xf numFmtId="164" fontId="7" fillId="9" borderId="61" xfId="0" applyNumberFormat="1" applyFont="1" applyFill="1" applyBorder="1" applyAlignment="1">
      <alignment horizontal="center" vertical="top"/>
    </xf>
    <xf numFmtId="164" fontId="11" fillId="9" borderId="32" xfId="0" applyNumberFormat="1" applyFont="1" applyFill="1" applyBorder="1" applyAlignment="1">
      <alignment horizontal="center" vertical="top"/>
    </xf>
    <xf numFmtId="164" fontId="11" fillId="9" borderId="49" xfId="0" applyNumberFormat="1" applyFont="1" applyFill="1" applyBorder="1" applyAlignment="1">
      <alignment horizontal="center" vertical="top"/>
    </xf>
    <xf numFmtId="164" fontId="7" fillId="9" borderId="48" xfId="0" applyNumberFormat="1" applyFont="1" applyFill="1" applyBorder="1" applyAlignment="1">
      <alignment horizontal="center" vertical="top"/>
    </xf>
    <xf numFmtId="164" fontId="7" fillId="9" borderId="40" xfId="0" applyNumberFormat="1" applyFont="1" applyFill="1" applyBorder="1" applyAlignment="1">
      <alignment horizontal="center" vertical="top"/>
    </xf>
    <xf numFmtId="164" fontId="7" fillId="9" borderId="42" xfId="0" applyNumberFormat="1" applyFont="1" applyFill="1" applyBorder="1" applyAlignment="1">
      <alignment horizontal="center" vertical="top"/>
    </xf>
    <xf numFmtId="164" fontId="8" fillId="9" borderId="47" xfId="0" applyNumberFormat="1" applyFont="1" applyFill="1" applyBorder="1" applyAlignment="1">
      <alignment horizontal="center" vertical="top"/>
    </xf>
    <xf numFmtId="164" fontId="7" fillId="9" borderId="47" xfId="0" applyNumberFormat="1" applyFont="1" applyFill="1" applyBorder="1" applyAlignment="1">
      <alignment horizontal="center" vertical="top"/>
    </xf>
    <xf numFmtId="164" fontId="7" fillId="9" borderId="7" xfId="0" applyNumberFormat="1" applyFont="1" applyFill="1" applyBorder="1" applyAlignment="1">
      <alignment horizontal="center" vertical="top"/>
    </xf>
    <xf numFmtId="164" fontId="7" fillId="9" borderId="35" xfId="0" applyNumberFormat="1" applyFont="1" applyFill="1" applyBorder="1" applyAlignment="1">
      <alignment horizontal="center" vertical="top"/>
    </xf>
    <xf numFmtId="164" fontId="8" fillId="9" borderId="32" xfId="0" applyNumberFormat="1" applyFont="1" applyFill="1" applyBorder="1" applyAlignment="1">
      <alignment horizontal="center" vertical="top"/>
    </xf>
    <xf numFmtId="164" fontId="7" fillId="9" borderId="49" xfId="0" applyNumberFormat="1" applyFont="1" applyFill="1" applyBorder="1" applyAlignment="1">
      <alignment horizontal="center" vertical="top"/>
    </xf>
    <xf numFmtId="164" fontId="8" fillId="9" borderId="33" xfId="0" applyNumberFormat="1" applyFont="1" applyFill="1" applyBorder="1" applyAlignment="1">
      <alignment horizontal="center" vertical="top"/>
    </xf>
    <xf numFmtId="164" fontId="8" fillId="9" borderId="48" xfId="0" applyNumberFormat="1" applyFont="1" applyFill="1" applyBorder="1" applyAlignment="1">
      <alignment horizontal="center" vertical="top"/>
    </xf>
    <xf numFmtId="164" fontId="13" fillId="9" borderId="40" xfId="0" applyNumberFormat="1" applyFont="1" applyFill="1" applyBorder="1" applyAlignment="1">
      <alignment horizontal="center" vertical="top"/>
    </xf>
    <xf numFmtId="164" fontId="7" fillId="9" borderId="54" xfId="0" applyNumberFormat="1" applyFont="1" applyFill="1" applyBorder="1" applyAlignment="1">
      <alignment horizontal="center" vertical="top"/>
    </xf>
    <xf numFmtId="164" fontId="7" fillId="9" borderId="60" xfId="0" applyNumberFormat="1" applyFont="1" applyFill="1" applyBorder="1" applyAlignment="1">
      <alignment horizontal="center" vertical="top"/>
    </xf>
    <xf numFmtId="164" fontId="10" fillId="9" borderId="63" xfId="0" applyNumberFormat="1" applyFont="1" applyFill="1" applyBorder="1" applyAlignment="1">
      <alignment horizontal="center" vertical="top"/>
    </xf>
    <xf numFmtId="164" fontId="10" fillId="9" borderId="62" xfId="0" applyNumberFormat="1" applyFont="1" applyFill="1" applyBorder="1" applyAlignment="1">
      <alignment horizontal="center" vertical="top"/>
    </xf>
    <xf numFmtId="164" fontId="7" fillId="9" borderId="62" xfId="0" applyNumberFormat="1" applyFont="1" applyFill="1" applyBorder="1" applyAlignment="1">
      <alignment horizontal="center" vertical="top"/>
    </xf>
    <xf numFmtId="164" fontId="7" fillId="9" borderId="52" xfId="0" applyNumberFormat="1" applyFont="1" applyFill="1" applyBorder="1" applyAlignment="1">
      <alignment horizontal="center" vertical="top"/>
    </xf>
    <xf numFmtId="164" fontId="10" fillId="9" borderId="67" xfId="0" applyNumberFormat="1" applyFont="1" applyFill="1" applyBorder="1" applyAlignment="1">
      <alignment horizontal="center" vertical="top"/>
    </xf>
    <xf numFmtId="164" fontId="11" fillId="9" borderId="52" xfId="0" applyNumberFormat="1" applyFont="1" applyFill="1" applyBorder="1" applyAlignment="1">
      <alignment horizontal="center" vertical="top"/>
    </xf>
    <xf numFmtId="164" fontId="11" fillId="9" borderId="43" xfId="0" applyNumberFormat="1" applyFont="1" applyFill="1" applyBorder="1" applyAlignment="1">
      <alignment horizontal="center" vertical="top"/>
    </xf>
    <xf numFmtId="164" fontId="11" fillId="9" borderId="55" xfId="0" applyNumberFormat="1" applyFont="1" applyFill="1" applyBorder="1" applyAlignment="1">
      <alignment horizontal="center" vertical="top"/>
    </xf>
    <xf numFmtId="164" fontId="11" fillId="9" borderId="58" xfId="0" applyNumberFormat="1" applyFont="1" applyFill="1" applyBorder="1" applyAlignment="1">
      <alignment horizontal="center" vertical="top"/>
    </xf>
    <xf numFmtId="164" fontId="11" fillId="9" borderId="14" xfId="0" applyNumberFormat="1" applyFont="1" applyFill="1" applyBorder="1" applyAlignment="1">
      <alignment horizontal="center" vertical="top"/>
    </xf>
    <xf numFmtId="164" fontId="11" fillId="9" borderId="66" xfId="0" applyNumberFormat="1" applyFont="1" applyFill="1" applyBorder="1" applyAlignment="1">
      <alignment horizontal="center" vertical="top"/>
    </xf>
    <xf numFmtId="164" fontId="11" fillId="9" borderId="53" xfId="0" applyNumberFormat="1" applyFont="1" applyFill="1" applyBorder="1" applyAlignment="1">
      <alignment horizontal="center" vertical="top"/>
    </xf>
    <xf numFmtId="164" fontId="10" fillId="9" borderId="41" xfId="0" applyNumberFormat="1" applyFont="1" applyFill="1" applyBorder="1" applyAlignment="1">
      <alignment horizontal="center" vertical="top"/>
    </xf>
    <xf numFmtId="164" fontId="7" fillId="9" borderId="43" xfId="0" applyNumberFormat="1" applyFont="1" applyFill="1" applyBorder="1" applyAlignment="1">
      <alignment horizontal="center" vertical="top"/>
    </xf>
    <xf numFmtId="164" fontId="7" fillId="9" borderId="53" xfId="0" applyNumberFormat="1" applyFont="1" applyFill="1" applyBorder="1" applyAlignment="1">
      <alignment horizontal="center" vertical="top"/>
    </xf>
    <xf numFmtId="164" fontId="11" fillId="9" borderId="64" xfId="0" applyNumberFormat="1" applyFont="1" applyFill="1" applyBorder="1" applyAlignment="1">
      <alignment horizontal="center" vertical="top"/>
    </xf>
    <xf numFmtId="164" fontId="11" fillId="9" borderId="50" xfId="0" applyNumberFormat="1" applyFont="1" applyFill="1" applyBorder="1" applyAlignment="1">
      <alignment horizontal="center" vertical="top"/>
    </xf>
    <xf numFmtId="164" fontId="7" fillId="9" borderId="45" xfId="0" applyNumberFormat="1" applyFont="1" applyFill="1" applyBorder="1" applyAlignment="1">
      <alignment horizontal="center" vertical="center"/>
    </xf>
    <xf numFmtId="164" fontId="7" fillId="9" borderId="64" xfId="0" applyNumberFormat="1" applyFont="1" applyFill="1" applyBorder="1" applyAlignment="1">
      <alignment horizontal="center" vertical="center"/>
    </xf>
    <xf numFmtId="164" fontId="7" fillId="9" borderId="52" xfId="0" applyNumberFormat="1" applyFont="1" applyFill="1" applyBorder="1" applyAlignment="1">
      <alignment horizontal="center" vertical="center"/>
    </xf>
    <xf numFmtId="164" fontId="11" fillId="9" borderId="57" xfId="0" applyNumberFormat="1" applyFont="1" applyFill="1" applyBorder="1" applyAlignment="1">
      <alignment horizontal="center" vertical="top"/>
    </xf>
    <xf numFmtId="164" fontId="11" fillId="9" borderId="60" xfId="0" applyNumberFormat="1" applyFont="1" applyFill="1" applyBorder="1" applyAlignment="1">
      <alignment horizontal="center" vertical="top"/>
    </xf>
    <xf numFmtId="164" fontId="9" fillId="9" borderId="67" xfId="0" applyNumberFormat="1" applyFont="1" applyFill="1" applyBorder="1" applyAlignment="1">
      <alignment horizontal="center" vertical="top"/>
    </xf>
    <xf numFmtId="164" fontId="9" fillId="9" borderId="62" xfId="0" applyNumberFormat="1" applyFont="1" applyFill="1" applyBorder="1" applyAlignment="1">
      <alignment horizontal="center" vertical="top"/>
    </xf>
    <xf numFmtId="164" fontId="7" fillId="9" borderId="25" xfId="0" applyNumberFormat="1" applyFont="1" applyFill="1" applyBorder="1" applyAlignment="1">
      <alignment horizontal="center" vertical="top"/>
    </xf>
    <xf numFmtId="164" fontId="7" fillId="9" borderId="37" xfId="0" applyNumberFormat="1" applyFont="1" applyFill="1" applyBorder="1" applyAlignment="1">
      <alignment horizontal="center" vertical="top"/>
    </xf>
    <xf numFmtId="164" fontId="7" fillId="9" borderId="76" xfId="0" applyNumberFormat="1" applyFont="1" applyFill="1" applyBorder="1" applyAlignment="1">
      <alignment horizontal="center" vertical="center"/>
    </xf>
    <xf numFmtId="164" fontId="7" fillId="9" borderId="25" xfId="0" applyNumberFormat="1" applyFont="1" applyFill="1" applyBorder="1" applyAlignment="1">
      <alignment horizontal="center" vertical="center"/>
    </xf>
    <xf numFmtId="164" fontId="6" fillId="9" borderId="5" xfId="0" applyNumberFormat="1" applyFont="1" applyFill="1" applyBorder="1" applyAlignment="1">
      <alignment horizontal="center" vertical="top"/>
    </xf>
    <xf numFmtId="164" fontId="6" fillId="9" borderId="7" xfId="0" applyNumberFormat="1" applyFont="1" applyFill="1" applyBorder="1" applyAlignment="1">
      <alignment horizontal="center" vertical="top"/>
    </xf>
    <xf numFmtId="164" fontId="6" fillId="9" borderId="8" xfId="0" applyNumberFormat="1" applyFont="1" applyFill="1" applyBorder="1" applyAlignment="1">
      <alignment horizontal="center" vertical="top" wrapText="1"/>
    </xf>
    <xf numFmtId="164" fontId="6" fillId="9" borderId="7" xfId="0" applyNumberFormat="1" applyFont="1" applyFill="1" applyBorder="1" applyAlignment="1">
      <alignment horizontal="center" vertical="top" wrapText="1"/>
    </xf>
    <xf numFmtId="164" fontId="6" fillId="9" borderId="69" xfId="0" applyNumberFormat="1" applyFont="1" applyFill="1" applyBorder="1" applyAlignment="1">
      <alignment horizontal="center" vertical="top" wrapText="1"/>
    </xf>
    <xf numFmtId="164" fontId="6" fillId="9" borderId="1" xfId="0" applyNumberFormat="1" applyFont="1" applyFill="1" applyBorder="1" applyAlignment="1">
      <alignment horizontal="center" vertical="top" wrapText="1"/>
    </xf>
    <xf numFmtId="164" fontId="6" fillId="9" borderId="60" xfId="0" applyNumberFormat="1" applyFont="1" applyFill="1" applyBorder="1" applyAlignment="1">
      <alignment horizontal="center" vertical="top" wrapText="1"/>
    </xf>
    <xf numFmtId="164" fontId="6" fillId="9" borderId="43" xfId="0" applyNumberFormat="1" applyFont="1" applyFill="1" applyBorder="1" applyAlignment="1">
      <alignment horizontal="center" vertical="top" wrapText="1"/>
    </xf>
    <xf numFmtId="164" fontId="6" fillId="9" borderId="6" xfId="0" applyNumberFormat="1" applyFont="1" applyFill="1" applyBorder="1" applyAlignment="1">
      <alignment horizontal="center" vertical="top"/>
    </xf>
    <xf numFmtId="164" fontId="9" fillId="9" borderId="59" xfId="0" applyNumberFormat="1" applyFont="1" applyFill="1" applyBorder="1" applyAlignment="1">
      <alignment horizontal="center" vertical="top"/>
    </xf>
    <xf numFmtId="164" fontId="9" fillId="9" borderId="2" xfId="0" applyNumberFormat="1" applyFont="1" applyFill="1" applyBorder="1" applyAlignment="1">
      <alignment horizontal="center" vertical="top"/>
    </xf>
    <xf numFmtId="164" fontId="9" fillId="9" borderId="63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6" fillId="9" borderId="12" xfId="0" applyNumberFormat="1" applyFont="1" applyFill="1" applyBorder="1" applyAlignment="1">
      <alignment horizontal="center" vertical="top"/>
    </xf>
    <xf numFmtId="164" fontId="6" fillId="9" borderId="11" xfId="0" applyNumberFormat="1" applyFont="1" applyFill="1" applyBorder="1" applyAlignment="1">
      <alignment horizontal="center" vertical="top"/>
    </xf>
    <xf numFmtId="164" fontId="6" fillId="9" borderId="38" xfId="0" applyNumberFormat="1" applyFont="1" applyFill="1" applyBorder="1" applyAlignment="1">
      <alignment horizontal="center" vertical="top"/>
    </xf>
    <xf numFmtId="164" fontId="6" fillId="9" borderId="39" xfId="0" applyNumberFormat="1" applyFont="1" applyFill="1" applyBorder="1" applyAlignment="1">
      <alignment horizontal="center" vertical="top"/>
    </xf>
    <xf numFmtId="164" fontId="6" fillId="9" borderId="66" xfId="0" applyNumberFormat="1" applyFont="1" applyFill="1" applyBorder="1" applyAlignment="1">
      <alignment horizontal="center" vertical="top"/>
    </xf>
    <xf numFmtId="164" fontId="6" fillId="9" borderId="52" xfId="0" applyNumberFormat="1" applyFont="1" applyFill="1" applyBorder="1" applyAlignment="1">
      <alignment horizontal="center" vertical="top"/>
    </xf>
    <xf numFmtId="164" fontId="6" fillId="9" borderId="43" xfId="0" applyNumberFormat="1" applyFont="1" applyFill="1" applyBorder="1" applyAlignment="1">
      <alignment horizontal="center" vertical="top"/>
    </xf>
    <xf numFmtId="164" fontId="6" fillId="9" borderId="53" xfId="0" applyNumberFormat="1" applyFont="1" applyFill="1" applyBorder="1" applyAlignment="1">
      <alignment horizontal="center" vertical="top"/>
    </xf>
    <xf numFmtId="164" fontId="9" fillId="9" borderId="40" xfId="0" applyNumberFormat="1" applyFont="1" applyFill="1" applyBorder="1" applyAlignment="1">
      <alignment horizontal="center" vertical="top"/>
    </xf>
    <xf numFmtId="164" fontId="9" fillId="9" borderId="41" xfId="0" applyNumberFormat="1" applyFont="1" applyFill="1" applyBorder="1" applyAlignment="1">
      <alignment horizontal="center" vertical="top"/>
    </xf>
    <xf numFmtId="164" fontId="11" fillId="9" borderId="21" xfId="0" applyNumberFormat="1" applyFont="1" applyFill="1" applyBorder="1" applyAlignment="1">
      <alignment horizontal="center" vertical="top"/>
    </xf>
    <xf numFmtId="164" fontId="11" fillId="9" borderId="76" xfId="0" applyNumberFormat="1" applyFont="1" applyFill="1" applyBorder="1" applyAlignment="1">
      <alignment horizontal="center" vertical="top"/>
    </xf>
    <xf numFmtId="164" fontId="7" fillId="9" borderId="67" xfId="0" applyNumberFormat="1" applyFont="1" applyFill="1" applyBorder="1" applyAlignment="1">
      <alignment horizontal="center" vertical="top"/>
    </xf>
    <xf numFmtId="164" fontId="7" fillId="9" borderId="59" xfId="0" applyNumberFormat="1" applyFont="1" applyFill="1" applyBorder="1" applyAlignment="1">
      <alignment horizontal="center" vertical="center"/>
    </xf>
    <xf numFmtId="164" fontId="7" fillId="9" borderId="61" xfId="0" applyNumberFormat="1" applyFont="1" applyFill="1" applyBorder="1" applyAlignment="1">
      <alignment horizontal="center" vertical="center"/>
    </xf>
    <xf numFmtId="164" fontId="7" fillId="9" borderId="67" xfId="0" applyNumberFormat="1" applyFont="1" applyFill="1" applyBorder="1" applyAlignment="1">
      <alignment horizontal="center" vertical="center"/>
    </xf>
    <xf numFmtId="164" fontId="7" fillId="9" borderId="41" xfId="0" applyNumberFormat="1" applyFont="1" applyFill="1" applyBorder="1" applyAlignment="1">
      <alignment horizontal="center" vertical="center"/>
    </xf>
    <xf numFmtId="164" fontId="6" fillId="9" borderId="45" xfId="0" applyNumberFormat="1" applyFont="1" applyFill="1" applyBorder="1" applyAlignment="1">
      <alignment horizontal="center" vertical="top" wrapText="1"/>
    </xf>
    <xf numFmtId="164" fontId="6" fillId="9" borderId="51" xfId="0" applyNumberFormat="1" applyFont="1" applyFill="1" applyBorder="1" applyAlignment="1">
      <alignment horizontal="center" vertical="top" wrapText="1"/>
    </xf>
    <xf numFmtId="164" fontId="6" fillId="9" borderId="10" xfId="0" applyNumberFormat="1" applyFont="1" applyFill="1" applyBorder="1" applyAlignment="1">
      <alignment horizontal="center" vertical="top" wrapText="1"/>
    </xf>
    <xf numFmtId="164" fontId="6" fillId="9" borderId="11" xfId="0" applyNumberFormat="1" applyFont="1" applyFill="1" applyBorder="1" applyAlignment="1">
      <alignment horizontal="center" vertical="top" wrapText="1"/>
    </xf>
    <xf numFmtId="164" fontId="6" fillId="9" borderId="34" xfId="0" applyNumberFormat="1" applyFont="1" applyFill="1" applyBorder="1" applyAlignment="1">
      <alignment horizontal="center" vertical="top" wrapText="1"/>
    </xf>
    <xf numFmtId="164" fontId="9" fillId="9" borderId="52" xfId="0" applyNumberFormat="1" applyFont="1" applyFill="1" applyBorder="1" applyAlignment="1">
      <alignment horizontal="center" vertical="top" wrapText="1"/>
    </xf>
    <xf numFmtId="164" fontId="9" fillId="9" borderId="53" xfId="0" applyNumberFormat="1" applyFont="1" applyFill="1" applyBorder="1" applyAlignment="1">
      <alignment horizontal="center" vertical="top" wrapText="1"/>
    </xf>
    <xf numFmtId="164" fontId="9" fillId="9" borderId="55" xfId="0" applyNumberFormat="1" applyFont="1" applyFill="1" applyBorder="1" applyAlignment="1">
      <alignment horizontal="center" vertical="top" wrapText="1"/>
    </xf>
    <xf numFmtId="164" fontId="6" fillId="9" borderId="54" xfId="0" applyNumberFormat="1" applyFont="1" applyFill="1" applyBorder="1" applyAlignment="1">
      <alignment horizontal="center" vertical="top" wrapText="1"/>
    </xf>
    <xf numFmtId="164" fontId="6" fillId="9" borderId="53" xfId="0" applyNumberFormat="1" applyFont="1" applyFill="1" applyBorder="1" applyAlignment="1">
      <alignment horizontal="center" vertical="top" wrapText="1"/>
    </xf>
    <xf numFmtId="164" fontId="6" fillId="9" borderId="55" xfId="0" applyNumberFormat="1" applyFont="1" applyFill="1" applyBorder="1" applyAlignment="1">
      <alignment horizontal="center" vertical="top" wrapText="1"/>
    </xf>
    <xf numFmtId="164" fontId="6" fillId="9" borderId="36" xfId="0" applyNumberFormat="1" applyFont="1" applyFill="1" applyBorder="1" applyAlignment="1">
      <alignment horizontal="center" vertical="top" wrapText="1"/>
    </xf>
    <xf numFmtId="164" fontId="9" fillId="9" borderId="80" xfId="0" applyNumberFormat="1" applyFont="1" applyFill="1" applyBorder="1" applyAlignment="1">
      <alignment horizontal="center" vertical="top" wrapText="1"/>
    </xf>
    <xf numFmtId="164" fontId="9" fillId="9" borderId="66" xfId="0" applyNumberFormat="1" applyFont="1" applyFill="1" applyBorder="1" applyAlignment="1">
      <alignment horizontal="center" vertical="top" wrapText="1"/>
    </xf>
    <xf numFmtId="164" fontId="9" fillId="9" borderId="36" xfId="0" applyNumberFormat="1" applyFont="1" applyFill="1" applyBorder="1" applyAlignment="1">
      <alignment horizontal="center" vertical="top" wrapText="1"/>
    </xf>
    <xf numFmtId="164" fontId="6" fillId="9" borderId="12" xfId="0" applyNumberFormat="1" applyFont="1" applyFill="1" applyBorder="1" applyAlignment="1">
      <alignment horizontal="center" vertical="top" wrapText="1"/>
    </xf>
    <xf numFmtId="164" fontId="9" fillId="9" borderId="15" xfId="0" applyNumberFormat="1" applyFont="1" applyFill="1" applyBorder="1" applyAlignment="1">
      <alignment horizontal="center" vertical="top" wrapText="1"/>
    </xf>
    <xf numFmtId="164" fontId="9" fillId="9" borderId="21" xfId="0" applyNumberFormat="1" applyFont="1" applyFill="1" applyBorder="1" applyAlignment="1">
      <alignment horizontal="center" vertical="top" wrapText="1"/>
    </xf>
    <xf numFmtId="164" fontId="9" fillId="9" borderId="26" xfId="0" applyNumberFormat="1" applyFont="1" applyFill="1" applyBorder="1" applyAlignment="1">
      <alignment horizontal="center" vertical="top" wrapText="1"/>
    </xf>
    <xf numFmtId="164" fontId="9" fillId="9" borderId="79" xfId="0" applyNumberFormat="1" applyFont="1" applyFill="1" applyBorder="1" applyAlignment="1">
      <alignment horizontal="center" vertical="top" wrapText="1"/>
    </xf>
    <xf numFmtId="164" fontId="9" fillId="9" borderId="25" xfId="0" applyNumberFormat="1" applyFont="1" applyFill="1" applyBorder="1" applyAlignment="1">
      <alignment horizontal="center" vertical="top" wrapText="1"/>
    </xf>
    <xf numFmtId="164" fontId="6" fillId="9" borderId="52" xfId="0" applyNumberFormat="1" applyFont="1" applyFill="1" applyBorder="1" applyAlignment="1">
      <alignment horizontal="center" vertical="top" wrapText="1"/>
    </xf>
    <xf numFmtId="164" fontId="7" fillId="9" borderId="57" xfId="0" applyNumberFormat="1" applyFont="1" applyFill="1" applyBorder="1" applyAlignment="1">
      <alignment horizontal="center" vertical="top"/>
    </xf>
    <xf numFmtId="164" fontId="9" fillId="9" borderId="37" xfId="0" applyNumberFormat="1" applyFont="1" applyFill="1" applyBorder="1" applyAlignment="1">
      <alignment horizontal="center" vertical="top" wrapText="1"/>
    </xf>
    <xf numFmtId="164" fontId="11" fillId="9" borderId="1" xfId="0" applyNumberFormat="1" applyFont="1" applyFill="1" applyBorder="1" applyAlignment="1">
      <alignment horizontal="center" vertical="top" wrapText="1"/>
    </xf>
    <xf numFmtId="164" fontId="11" fillId="9" borderId="14" xfId="0" applyNumberFormat="1" applyFont="1" applyFill="1" applyBorder="1" applyAlignment="1">
      <alignment horizontal="center" vertical="top" wrapText="1"/>
    </xf>
    <xf numFmtId="164" fontId="11" fillId="9" borderId="47" xfId="0" applyNumberFormat="1" applyFont="1" applyFill="1" applyBorder="1" applyAlignment="1">
      <alignment horizontal="center" vertical="top" wrapText="1"/>
    </xf>
    <xf numFmtId="164" fontId="11" fillId="9" borderId="48" xfId="0" applyNumberFormat="1" applyFont="1" applyFill="1" applyBorder="1" applyAlignment="1">
      <alignment horizontal="center" vertical="top" wrapText="1"/>
    </xf>
    <xf numFmtId="164" fontId="11" fillId="9" borderId="37" xfId="0" applyNumberFormat="1" applyFont="1" applyFill="1" applyBorder="1" applyAlignment="1">
      <alignment horizontal="center" vertical="top"/>
    </xf>
    <xf numFmtId="164" fontId="9" fillId="9" borderId="73" xfId="0" applyNumberFormat="1" applyFont="1" applyFill="1" applyBorder="1" applyAlignment="1">
      <alignment horizontal="center" vertical="top" wrapText="1"/>
    </xf>
    <xf numFmtId="164" fontId="11" fillId="9" borderId="72" xfId="0" applyNumberFormat="1" applyFont="1" applyFill="1" applyBorder="1" applyAlignment="1">
      <alignment horizontal="center" vertical="top"/>
    </xf>
    <xf numFmtId="164" fontId="11" fillId="9" borderId="24" xfId="0" applyNumberFormat="1" applyFont="1" applyFill="1" applyBorder="1" applyAlignment="1">
      <alignment horizontal="center" vertical="top"/>
    </xf>
    <xf numFmtId="0" fontId="10" fillId="9" borderId="62" xfId="0" applyFont="1" applyFill="1" applyBorder="1" applyAlignment="1">
      <alignment horizontal="center" vertical="top"/>
    </xf>
    <xf numFmtId="0" fontId="10" fillId="9" borderId="40" xfId="0" applyFont="1" applyFill="1" applyBorder="1" applyAlignment="1">
      <alignment horizontal="center" vertical="top"/>
    </xf>
    <xf numFmtId="164" fontId="7" fillId="9" borderId="63" xfId="0" applyNumberFormat="1" applyFont="1" applyFill="1" applyBorder="1" applyAlignment="1">
      <alignment horizontal="center" vertical="top"/>
    </xf>
    <xf numFmtId="164" fontId="7" fillId="8" borderId="58" xfId="0" applyNumberFormat="1" applyFont="1" applyFill="1" applyBorder="1" applyAlignment="1">
      <alignment horizontal="center" vertical="top"/>
    </xf>
    <xf numFmtId="164" fontId="7" fillId="0" borderId="58" xfId="0" applyNumberFormat="1" applyFont="1" applyFill="1" applyBorder="1" applyAlignment="1">
      <alignment horizontal="center" vertical="top"/>
    </xf>
    <xf numFmtId="164" fontId="7" fillId="0" borderId="6" xfId="0" applyNumberFormat="1" applyFont="1" applyFill="1" applyBorder="1" applyAlignment="1">
      <alignment horizontal="center" vertical="top"/>
    </xf>
    <xf numFmtId="164" fontId="7" fillId="0" borderId="33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 wrapText="1"/>
    </xf>
    <xf numFmtId="164" fontId="9" fillId="9" borderId="42" xfId="0" applyNumberFormat="1" applyFont="1" applyFill="1" applyBorder="1" applyAlignment="1">
      <alignment horizontal="center" vertical="top"/>
    </xf>
    <xf numFmtId="164" fontId="7" fillId="9" borderId="55" xfId="0" applyNumberFormat="1" applyFont="1" applyFill="1" applyBorder="1" applyAlignment="1">
      <alignment horizontal="center" vertical="top"/>
    </xf>
    <xf numFmtId="164" fontId="6" fillId="9" borderId="46" xfId="0" applyNumberFormat="1" applyFont="1" applyFill="1" applyBorder="1" applyAlignment="1">
      <alignment horizontal="center" vertical="top"/>
    </xf>
    <xf numFmtId="164" fontId="6" fillId="9" borderId="47" xfId="0" applyNumberFormat="1" applyFont="1" applyFill="1" applyBorder="1" applyAlignment="1">
      <alignment horizontal="center" vertical="top"/>
    </xf>
    <xf numFmtId="164" fontId="6" fillId="9" borderId="58" xfId="0" applyNumberFormat="1" applyFont="1" applyFill="1" applyBorder="1" applyAlignment="1">
      <alignment horizontal="center" vertical="top"/>
    </xf>
    <xf numFmtId="0" fontId="9" fillId="9" borderId="62" xfId="0" applyFont="1" applyFill="1" applyBorder="1" applyAlignment="1">
      <alignment horizontal="center" vertical="top"/>
    </xf>
    <xf numFmtId="0" fontId="9" fillId="9" borderId="26" xfId="0" applyFont="1" applyFill="1" applyBorder="1" applyAlignment="1">
      <alignment horizontal="center" vertical="top" wrapText="1"/>
    </xf>
    <xf numFmtId="0" fontId="9" fillId="9" borderId="37" xfId="0" applyFont="1" applyFill="1" applyBorder="1" applyAlignment="1">
      <alignment horizontal="center" vertical="top" wrapText="1"/>
    </xf>
    <xf numFmtId="0" fontId="10" fillId="9" borderId="62" xfId="0" applyFont="1" applyFill="1" applyBorder="1" applyAlignment="1">
      <alignment horizontal="left" vertical="top" wrapText="1"/>
    </xf>
    <xf numFmtId="164" fontId="6" fillId="9" borderId="50" xfId="0" applyNumberFormat="1" applyFont="1" applyFill="1" applyBorder="1" applyAlignment="1">
      <alignment horizontal="center" vertical="top"/>
    </xf>
    <xf numFmtId="164" fontId="11" fillId="9" borderId="56" xfId="0" applyNumberFormat="1" applyFont="1" applyFill="1" applyBorder="1" applyAlignment="1">
      <alignment horizontal="center" vertical="top"/>
    </xf>
    <xf numFmtId="164" fontId="11" fillId="9" borderId="80" xfId="0" applyNumberFormat="1" applyFont="1" applyFill="1" applyBorder="1" applyAlignment="1">
      <alignment horizontal="center" vertical="top"/>
    </xf>
    <xf numFmtId="164" fontId="13" fillId="3" borderId="71" xfId="0" applyNumberFormat="1" applyFont="1" applyFill="1" applyBorder="1" applyAlignment="1">
      <alignment horizontal="center" vertical="top"/>
    </xf>
    <xf numFmtId="164" fontId="13" fillId="3" borderId="68" xfId="0" applyNumberFormat="1" applyFont="1" applyFill="1" applyBorder="1" applyAlignment="1">
      <alignment horizontal="center" vertical="top"/>
    </xf>
    <xf numFmtId="164" fontId="11" fillId="4" borderId="28" xfId="0" applyNumberFormat="1" applyFont="1" applyFill="1" applyBorder="1" applyAlignment="1">
      <alignment horizontal="center" vertical="top" wrapText="1"/>
    </xf>
    <xf numFmtId="164" fontId="7" fillId="9" borderId="40" xfId="0" applyNumberFormat="1" applyFont="1" applyFill="1" applyBorder="1" applyAlignment="1">
      <alignment horizontal="center" vertical="center"/>
    </xf>
    <xf numFmtId="2" fontId="11" fillId="0" borderId="5" xfId="0" applyNumberFormat="1" applyFont="1" applyFill="1" applyBorder="1" applyAlignment="1">
      <alignment vertical="top"/>
    </xf>
    <xf numFmtId="2" fontId="11" fillId="0" borderId="7" xfId="0" applyNumberFormat="1" applyFont="1" applyFill="1" applyBorder="1" applyAlignment="1">
      <alignment vertical="top"/>
    </xf>
    <xf numFmtId="2" fontId="11" fillId="0" borderId="35" xfId="0" applyNumberFormat="1" applyFont="1" applyFill="1" applyBorder="1" applyAlignment="1">
      <alignment vertical="top"/>
    </xf>
    <xf numFmtId="164" fontId="11" fillId="4" borderId="32" xfId="0" applyNumberFormat="1" applyFont="1" applyFill="1" applyBorder="1" applyAlignment="1">
      <alignment horizontal="center" vertical="top" wrapText="1"/>
    </xf>
    <xf numFmtId="0" fontId="9" fillId="8" borderId="34" xfId="0" applyNumberFormat="1" applyFont="1" applyFill="1" applyBorder="1" applyAlignment="1">
      <alignment vertical="top"/>
    </xf>
    <xf numFmtId="49" fontId="1" fillId="0" borderId="7" xfId="0" applyNumberFormat="1" applyFont="1" applyBorder="1" applyAlignment="1">
      <alignment horizontal="center" vertical="top" wrapText="1"/>
    </xf>
    <xf numFmtId="0" fontId="9" fillId="0" borderId="20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 wrapText="1"/>
    </xf>
    <xf numFmtId="164" fontId="6" fillId="9" borderId="0" xfId="0" applyNumberFormat="1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vertical="top" wrapText="1"/>
    </xf>
    <xf numFmtId="0" fontId="11" fillId="0" borderId="10" xfId="0" applyFont="1" applyFill="1" applyBorder="1" applyAlignment="1">
      <alignment horizontal="center" vertical="top" wrapText="1"/>
    </xf>
    <xf numFmtId="164" fontId="11" fillId="0" borderId="79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center" vertical="top"/>
    </xf>
    <xf numFmtId="0" fontId="11" fillId="0" borderId="11" xfId="0" applyNumberFormat="1" applyFont="1" applyFill="1" applyBorder="1" applyAlignment="1">
      <alignment horizontal="center" vertical="top"/>
    </xf>
    <xf numFmtId="0" fontId="11" fillId="0" borderId="34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0" fontId="10" fillId="0" borderId="10" xfId="0" applyFont="1" applyFill="1" applyBorder="1" applyAlignment="1">
      <alignment horizontal="center" vertical="top" wrapText="1"/>
    </xf>
    <xf numFmtId="0" fontId="10" fillId="0" borderId="38" xfId="0" applyFont="1" applyFill="1" applyBorder="1" applyAlignment="1">
      <alignment horizontal="center" vertical="top" wrapText="1"/>
    </xf>
    <xf numFmtId="0" fontId="9" fillId="0" borderId="79" xfId="0" applyNumberFormat="1" applyFont="1" applyBorder="1" applyAlignment="1">
      <alignment horizontal="center" vertical="top"/>
    </xf>
    <xf numFmtId="49" fontId="6" fillId="8" borderId="43" xfId="0" applyNumberFormat="1" applyFont="1" applyFill="1" applyBorder="1" applyAlignment="1">
      <alignment vertical="top" wrapText="1"/>
    </xf>
    <xf numFmtId="49" fontId="6" fillId="8" borderId="12" xfId="0" applyNumberFormat="1" applyFont="1" applyFill="1" applyBorder="1" applyAlignment="1">
      <alignment vertical="top" wrapText="1"/>
    </xf>
    <xf numFmtId="49" fontId="6" fillId="0" borderId="39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/>
    </xf>
    <xf numFmtId="164" fontId="11" fillId="4" borderId="36" xfId="0" applyNumberFormat="1" applyFont="1" applyFill="1" applyBorder="1" applyAlignment="1">
      <alignment horizontal="center" vertical="top"/>
    </xf>
    <xf numFmtId="164" fontId="11" fillId="4" borderId="34" xfId="0" applyNumberFormat="1" applyFont="1" applyFill="1" applyBorder="1" applyAlignment="1">
      <alignment horizontal="center" vertical="top"/>
    </xf>
    <xf numFmtId="164" fontId="11" fillId="8" borderId="56" xfId="0" applyNumberFormat="1" applyFont="1" applyFill="1" applyBorder="1" applyAlignment="1">
      <alignment horizontal="center" vertical="top"/>
    </xf>
    <xf numFmtId="164" fontId="11" fillId="8" borderId="51" xfId="0" applyNumberFormat="1" applyFont="1" applyFill="1" applyBorder="1" applyAlignment="1">
      <alignment horizontal="center" vertical="top"/>
    </xf>
    <xf numFmtId="164" fontId="11" fillId="8" borderId="54" xfId="0" applyNumberFormat="1" applyFont="1" applyFill="1" applyBorder="1" applyAlignment="1">
      <alignment horizontal="center" vertical="top"/>
    </xf>
    <xf numFmtId="164" fontId="11" fillId="8" borderId="34" xfId="0" applyNumberFormat="1" applyFont="1" applyFill="1" applyBorder="1" applyAlignment="1">
      <alignment horizontal="center" vertical="top"/>
    </xf>
    <xf numFmtId="164" fontId="6" fillId="8" borderId="45" xfId="0" applyNumberFormat="1" applyFont="1" applyFill="1" applyBorder="1" applyAlignment="1">
      <alignment horizontal="center" vertical="top" wrapText="1"/>
    </xf>
    <xf numFmtId="164" fontId="6" fillId="8" borderId="14" xfId="0" applyNumberFormat="1" applyFont="1" applyFill="1" applyBorder="1" applyAlignment="1">
      <alignment horizontal="center" vertical="top" wrapText="1"/>
    </xf>
    <xf numFmtId="164" fontId="6" fillId="9" borderId="14" xfId="0" applyNumberFormat="1" applyFont="1" applyFill="1" applyBorder="1" applyAlignment="1">
      <alignment horizontal="center" vertical="top" wrapText="1"/>
    </xf>
    <xf numFmtId="164" fontId="6" fillId="8" borderId="56" xfId="0" applyNumberFormat="1" applyFont="1" applyFill="1" applyBorder="1" applyAlignment="1">
      <alignment horizontal="center" vertical="top" wrapText="1"/>
    </xf>
    <xf numFmtId="164" fontId="6" fillId="9" borderId="56" xfId="0" applyNumberFormat="1" applyFont="1" applyFill="1" applyBorder="1" applyAlignment="1">
      <alignment horizontal="center" vertical="top" wrapText="1"/>
    </xf>
    <xf numFmtId="164" fontId="6" fillId="9" borderId="80" xfId="0" applyNumberFormat="1" applyFont="1" applyFill="1" applyBorder="1" applyAlignment="1">
      <alignment horizontal="center" vertical="top" wrapText="1"/>
    </xf>
    <xf numFmtId="164" fontId="6" fillId="9" borderId="66" xfId="0" applyNumberFormat="1" applyFont="1" applyFill="1" applyBorder="1" applyAlignment="1">
      <alignment horizontal="center" vertical="top" wrapText="1"/>
    </xf>
    <xf numFmtId="164" fontId="6" fillId="9" borderId="28" xfId="0" applyNumberFormat="1" applyFont="1" applyFill="1" applyBorder="1" applyAlignment="1">
      <alignment horizontal="center" vertical="top" wrapText="1"/>
    </xf>
    <xf numFmtId="164" fontId="6" fillId="8" borderId="13" xfId="0" applyNumberFormat="1" applyFont="1" applyFill="1" applyBorder="1" applyAlignment="1">
      <alignment horizontal="center" vertical="top" wrapText="1"/>
    </xf>
    <xf numFmtId="164" fontId="6" fillId="8" borderId="52" xfId="0" applyNumberFormat="1" applyFont="1" applyFill="1" applyBorder="1" applyAlignment="1">
      <alignment horizontal="center" vertical="top" wrapText="1"/>
    </xf>
    <xf numFmtId="164" fontId="6" fillId="8" borderId="53" xfId="0" applyNumberFormat="1" applyFont="1" applyFill="1" applyBorder="1" applyAlignment="1">
      <alignment horizontal="center" vertical="top" wrapText="1"/>
    </xf>
    <xf numFmtId="164" fontId="6" fillId="8" borderId="15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49" fontId="6" fillId="0" borderId="43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10" fillId="0" borderId="22" xfId="0" applyNumberFormat="1" applyFont="1" applyBorder="1" applyAlignment="1">
      <alignment horizontal="center" vertical="top"/>
    </xf>
    <xf numFmtId="1" fontId="11" fillId="0" borderId="10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9" fillId="0" borderId="22" xfId="0" applyNumberFormat="1" applyFont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" fontId="11" fillId="0" borderId="36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1" fontId="11" fillId="0" borderId="37" xfId="0" applyNumberFormat="1" applyFont="1" applyFill="1" applyBorder="1" applyAlignment="1">
      <alignment horizontal="center" vertical="top"/>
    </xf>
    <xf numFmtId="0" fontId="11" fillId="0" borderId="68" xfId="0" applyFont="1" applyFill="1" applyBorder="1" applyAlignment="1">
      <alignment horizontal="center" vertical="top" wrapText="1"/>
    </xf>
    <xf numFmtId="0" fontId="11" fillId="0" borderId="44" xfId="0" applyFont="1" applyFill="1" applyBorder="1" applyAlignment="1">
      <alignment horizontal="center" vertical="top" wrapText="1"/>
    </xf>
    <xf numFmtId="1" fontId="11" fillId="0" borderId="54" xfId="0" applyNumberFormat="1" applyFont="1" applyFill="1" applyBorder="1" applyAlignment="1">
      <alignment horizontal="center" vertical="top"/>
    </xf>
    <xf numFmtId="164" fontId="8" fillId="9" borderId="56" xfId="0" applyNumberFormat="1" applyFont="1" applyFill="1" applyBorder="1" applyAlignment="1">
      <alignment horizontal="center" vertical="top"/>
    </xf>
    <xf numFmtId="164" fontId="8" fillId="9" borderId="1" xfId="0" applyNumberFormat="1" applyFont="1" applyFill="1" applyBorder="1" applyAlignment="1">
      <alignment horizontal="center" vertical="top"/>
    </xf>
    <xf numFmtId="164" fontId="8" fillId="9" borderId="10" xfId="0" applyNumberFormat="1" applyFont="1" applyFill="1" applyBorder="1" applyAlignment="1">
      <alignment horizontal="center" vertical="top"/>
    </xf>
    <xf numFmtId="164" fontId="8" fillId="9" borderId="12" xfId="0" applyNumberFormat="1" applyFont="1" applyFill="1" applyBorder="1" applyAlignment="1">
      <alignment horizontal="center" vertical="top"/>
    </xf>
    <xf numFmtId="164" fontId="13" fillId="9" borderId="43" xfId="0" applyNumberFormat="1" applyFont="1" applyFill="1" applyBorder="1" applyAlignment="1">
      <alignment horizontal="center" vertical="top"/>
    </xf>
    <xf numFmtId="164" fontId="8" fillId="9" borderId="45" xfId="0" applyNumberFormat="1" applyFont="1" applyFill="1" applyBorder="1" applyAlignment="1">
      <alignment horizontal="center" vertical="top"/>
    </xf>
    <xf numFmtId="164" fontId="8" fillId="9" borderId="52" xfId="0" applyNumberFormat="1" applyFont="1" applyFill="1" applyBorder="1" applyAlignment="1">
      <alignment horizontal="center" vertical="top"/>
    </xf>
    <xf numFmtId="164" fontId="8" fillId="9" borderId="38" xfId="0" applyNumberFormat="1" applyFont="1" applyFill="1" applyBorder="1" applyAlignment="1">
      <alignment horizontal="center" vertical="top"/>
    </xf>
    <xf numFmtId="164" fontId="8" fillId="9" borderId="39" xfId="0" applyNumberFormat="1" applyFont="1" applyFill="1" applyBorder="1" applyAlignment="1">
      <alignment horizontal="center" vertical="top"/>
    </xf>
    <xf numFmtId="164" fontId="8" fillId="9" borderId="69" xfId="0" applyNumberFormat="1" applyFont="1" applyFill="1" applyBorder="1" applyAlignment="1">
      <alignment horizontal="center" vertical="top"/>
    </xf>
    <xf numFmtId="164" fontId="13" fillId="9" borderId="52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top" textRotation="180" wrapText="1"/>
    </xf>
    <xf numFmtId="0" fontId="9" fillId="0" borderId="0" xfId="0" applyFont="1" applyFill="1" applyBorder="1" applyAlignment="1">
      <alignment horizontal="center" vertical="top" textRotation="180" wrapText="1"/>
    </xf>
    <xf numFmtId="0" fontId="9" fillId="0" borderId="0" xfId="0" applyFont="1" applyFill="1" applyBorder="1" applyAlignment="1">
      <alignment horizontal="center" vertical="center" textRotation="90" wrapText="1"/>
    </xf>
    <xf numFmtId="0" fontId="1" fillId="0" borderId="15" xfId="0" applyFont="1" applyFill="1" applyBorder="1" applyAlignment="1">
      <alignment vertical="top" wrapText="1"/>
    </xf>
    <xf numFmtId="0" fontId="11" fillId="4" borderId="13" xfId="0" applyFont="1" applyFill="1" applyBorder="1" applyAlignment="1">
      <alignment horizontal="center" vertical="top" wrapText="1"/>
    </xf>
    <xf numFmtId="1" fontId="8" fillId="8" borderId="10" xfId="0" applyNumberFormat="1" applyFont="1" applyFill="1" applyBorder="1" applyAlignment="1">
      <alignment horizontal="center" vertical="top"/>
    </xf>
    <xf numFmtId="1" fontId="8" fillId="8" borderId="12" xfId="0" applyNumberFormat="1" applyFont="1" applyFill="1" applyBorder="1" applyAlignment="1">
      <alignment horizontal="center" vertical="top"/>
    </xf>
    <xf numFmtId="1" fontId="8" fillId="8" borderId="34" xfId="0" applyNumberFormat="1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vertical="top"/>
    </xf>
    <xf numFmtId="0" fontId="6" fillId="8" borderId="15" xfId="0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vertical="top"/>
    </xf>
    <xf numFmtId="0" fontId="1" fillId="4" borderId="9" xfId="0" applyFont="1" applyFill="1" applyBorder="1" applyAlignment="1">
      <alignment horizontal="center" vertical="top"/>
    </xf>
    <xf numFmtId="164" fontId="8" fillId="9" borderId="5" xfId="0" applyNumberFormat="1" applyFont="1" applyFill="1" applyBorder="1" applyAlignment="1">
      <alignment horizontal="center" vertical="top"/>
    </xf>
    <xf numFmtId="164" fontId="8" fillId="9" borderId="65" xfId="0" applyNumberFormat="1" applyFont="1" applyFill="1" applyBorder="1" applyAlignment="1">
      <alignment horizontal="center" vertical="top"/>
    </xf>
    <xf numFmtId="164" fontId="8" fillId="9" borderId="8" xfId="0" applyNumberFormat="1" applyFont="1" applyFill="1" applyBorder="1" applyAlignment="1">
      <alignment horizontal="center" vertical="top"/>
    </xf>
    <xf numFmtId="164" fontId="8" fillId="4" borderId="22" xfId="0" applyNumberFormat="1" applyFont="1" applyFill="1" applyBorder="1" applyAlignment="1">
      <alignment horizontal="center" vertical="top"/>
    </xf>
    <xf numFmtId="0" fontId="6" fillId="8" borderId="0" xfId="0" applyFont="1" applyFill="1" applyBorder="1" applyAlignment="1">
      <alignment vertical="top"/>
    </xf>
    <xf numFmtId="164" fontId="8" fillId="8" borderId="0" xfId="0" applyNumberFormat="1" applyFont="1" applyFill="1" applyBorder="1" applyAlignment="1">
      <alignment horizontal="center" vertical="center"/>
    </xf>
    <xf numFmtId="164" fontId="8" fillId="4" borderId="9" xfId="0" applyNumberFormat="1" applyFont="1" applyFill="1" applyBorder="1" applyAlignment="1">
      <alignment horizontal="center" vertical="top"/>
    </xf>
    <xf numFmtId="164" fontId="8" fillId="9" borderId="45" xfId="0" applyNumberFormat="1" applyFont="1" applyFill="1" applyBorder="1" applyAlignment="1">
      <alignment horizontal="center" vertical="center"/>
    </xf>
    <xf numFmtId="164" fontId="8" fillId="9" borderId="64" xfId="0" applyNumberFormat="1" applyFont="1" applyFill="1" applyBorder="1" applyAlignment="1">
      <alignment horizontal="center" vertical="center"/>
    </xf>
    <xf numFmtId="164" fontId="8" fillId="9" borderId="69" xfId="0" applyNumberFormat="1" applyFont="1" applyFill="1" applyBorder="1" applyAlignment="1">
      <alignment horizontal="center" vertical="center"/>
    </xf>
    <xf numFmtId="164" fontId="8" fillId="4" borderId="13" xfId="0" applyNumberFormat="1" applyFont="1" applyFill="1" applyBorder="1" applyAlignment="1">
      <alignment horizontal="center" vertical="center"/>
    </xf>
    <xf numFmtId="164" fontId="11" fillId="9" borderId="78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top"/>
    </xf>
    <xf numFmtId="164" fontId="11" fillId="9" borderId="54" xfId="0" applyNumberFormat="1" applyFont="1" applyFill="1" applyBorder="1" applyAlignment="1">
      <alignment horizontal="center" vertical="top"/>
    </xf>
    <xf numFmtId="164" fontId="11" fillId="8" borderId="52" xfId="0" applyNumberFormat="1" applyFont="1" applyFill="1" applyBorder="1" applyAlignment="1">
      <alignment horizontal="center" vertical="top"/>
    </xf>
    <xf numFmtId="0" fontId="11" fillId="8" borderId="28" xfId="0" applyFont="1" applyFill="1" applyBorder="1" applyAlignment="1">
      <alignment horizontal="center" vertical="top"/>
    </xf>
    <xf numFmtId="0" fontId="11" fillId="8" borderId="12" xfId="0" applyFont="1" applyFill="1" applyBorder="1" applyAlignment="1">
      <alignment horizontal="center" vertical="top"/>
    </xf>
    <xf numFmtId="0" fontId="11" fillId="8" borderId="21" xfId="0" applyFont="1" applyFill="1" applyBorder="1" applyAlignment="1">
      <alignment horizontal="center" vertical="top"/>
    </xf>
    <xf numFmtId="164" fontId="11" fillId="9" borderId="11" xfId="0" applyNumberFormat="1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164" fontId="12" fillId="9" borderId="12" xfId="0" applyNumberFormat="1" applyFont="1" applyFill="1" applyBorder="1" applyAlignment="1">
      <alignment horizontal="center" vertical="top"/>
    </xf>
    <xf numFmtId="164" fontId="11" fillId="0" borderId="15" xfId="0" applyNumberFormat="1" applyFont="1" applyBorder="1" applyAlignment="1">
      <alignment horizontal="center" vertical="top"/>
    </xf>
    <xf numFmtId="164" fontId="11" fillId="0" borderId="21" xfId="0" applyNumberFormat="1" applyFont="1" applyBorder="1" applyAlignment="1">
      <alignment horizontal="center" vertical="top"/>
    </xf>
    <xf numFmtId="164" fontId="8" fillId="9" borderId="28" xfId="0" applyNumberFormat="1" applyFont="1" applyFill="1" applyBorder="1" applyAlignment="1">
      <alignment horizontal="center" vertical="top"/>
    </xf>
    <xf numFmtId="164" fontId="11" fillId="9" borderId="79" xfId="0" applyNumberFormat="1" applyFont="1" applyFill="1" applyBorder="1" applyAlignment="1">
      <alignment horizontal="center" vertical="top"/>
    </xf>
    <xf numFmtId="164" fontId="12" fillId="9" borderId="50" xfId="0" applyNumberFormat="1" applyFont="1" applyFill="1" applyBorder="1" applyAlignment="1">
      <alignment horizontal="center" vertical="top"/>
    </xf>
    <xf numFmtId="0" fontId="11" fillId="4" borderId="54" xfId="0" applyNumberFormat="1" applyFont="1" applyFill="1" applyBorder="1" applyAlignment="1">
      <alignment horizontal="center" vertical="top" wrapText="1"/>
    </xf>
    <xf numFmtId="2" fontId="11" fillId="0" borderId="28" xfId="0" applyNumberFormat="1" applyFont="1" applyFill="1" applyBorder="1" applyAlignment="1">
      <alignment horizontal="center" vertical="top"/>
    </xf>
    <xf numFmtId="2" fontId="11" fillId="0" borderId="12" xfId="0" applyNumberFormat="1" applyFont="1" applyFill="1" applyBorder="1" applyAlignment="1">
      <alignment horizontal="center" vertical="top"/>
    </xf>
    <xf numFmtId="2" fontId="11" fillId="0" borderId="21" xfId="0" applyNumberFormat="1" applyFont="1" applyFill="1" applyBorder="1" applyAlignment="1">
      <alignment horizontal="center" vertical="top"/>
    </xf>
    <xf numFmtId="0" fontId="11" fillId="4" borderId="35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Alignment="1">
      <alignment vertical="top"/>
    </xf>
    <xf numFmtId="0" fontId="6" fillId="0" borderId="0" xfId="0" applyNumberFormat="1" applyFont="1" applyFill="1" applyBorder="1" applyAlignment="1">
      <alignment horizontal="left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49" fontId="10" fillId="0" borderId="34" xfId="0" applyNumberFormat="1" applyFont="1" applyBorder="1" applyAlignment="1">
      <alignment horizontal="center" vertical="top" wrapText="1"/>
    </xf>
    <xf numFmtId="0" fontId="11" fillId="0" borderId="52" xfId="0" applyNumberFormat="1" applyFont="1" applyFill="1" applyBorder="1" applyAlignment="1">
      <alignment horizontal="center" vertical="top" wrapText="1"/>
    </xf>
    <xf numFmtId="0" fontId="11" fillId="0" borderId="43" xfId="0" applyNumberFormat="1" applyFont="1" applyFill="1" applyBorder="1" applyAlignment="1">
      <alignment horizontal="center" vertical="top" wrapText="1"/>
    </xf>
    <xf numFmtId="0" fontId="11" fillId="0" borderId="55" xfId="0" applyNumberFormat="1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164" fontId="6" fillId="8" borderId="5" xfId="0" applyNumberFormat="1" applyFont="1" applyFill="1" applyBorder="1" applyAlignment="1">
      <alignment horizontal="center" vertical="top" wrapText="1"/>
    </xf>
    <xf numFmtId="164" fontId="6" fillId="8" borderId="22" xfId="0" applyNumberFormat="1" applyFont="1" applyFill="1" applyBorder="1" applyAlignment="1">
      <alignment horizontal="center" vertical="top" wrapText="1"/>
    </xf>
    <xf numFmtId="164" fontId="6" fillId="8" borderId="9" xfId="0" applyNumberFormat="1" applyFont="1" applyFill="1" applyBorder="1" applyAlignment="1">
      <alignment horizontal="center" vertical="top" wrapText="1"/>
    </xf>
    <xf numFmtId="164" fontId="6" fillId="9" borderId="24" xfId="0" applyNumberFormat="1" applyFont="1" applyFill="1" applyBorder="1" applyAlignment="1">
      <alignment horizontal="center" vertical="top" wrapText="1"/>
    </xf>
    <xf numFmtId="164" fontId="6" fillId="9" borderId="47" xfId="0" applyNumberFormat="1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top"/>
    </xf>
    <xf numFmtId="164" fontId="9" fillId="9" borderId="28" xfId="0" applyNumberFormat="1" applyFont="1" applyFill="1" applyBorder="1" applyAlignment="1">
      <alignment horizontal="center" vertical="top" wrapText="1"/>
    </xf>
    <xf numFmtId="164" fontId="9" fillId="9" borderId="34" xfId="0" applyNumberFormat="1" applyFont="1" applyFill="1" applyBorder="1" applyAlignment="1">
      <alignment horizontal="center" vertical="top" wrapText="1"/>
    </xf>
    <xf numFmtId="49" fontId="9" fillId="4" borderId="6" xfId="0" applyNumberFormat="1" applyFont="1" applyFill="1" applyBorder="1" applyAlignment="1">
      <alignment vertical="top"/>
    </xf>
    <xf numFmtId="49" fontId="9" fillId="4" borderId="11" xfId="0" applyNumberFormat="1" applyFont="1" applyFill="1" applyBorder="1" applyAlignment="1">
      <alignment vertical="top"/>
    </xf>
    <xf numFmtId="0" fontId="10" fillId="9" borderId="60" xfId="0" applyFont="1" applyFill="1" applyBorder="1" applyAlignment="1">
      <alignment horizontal="center" vertical="top"/>
    </xf>
    <xf numFmtId="164" fontId="13" fillId="3" borderId="30" xfId="0" applyNumberFormat="1" applyFont="1" applyFill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1" fontId="6" fillId="0" borderId="0" xfId="0" applyNumberFormat="1" applyFont="1" applyFill="1" applyBorder="1" applyAlignment="1">
      <alignment horizontal="center" vertical="top"/>
    </xf>
    <xf numFmtId="164" fontId="9" fillId="9" borderId="11" xfId="0" applyNumberFormat="1" applyFont="1" applyFill="1" applyBorder="1" applyAlignment="1">
      <alignment horizontal="center" vertical="top" wrapText="1"/>
    </xf>
    <xf numFmtId="0" fontId="10" fillId="8" borderId="0" xfId="0" applyFont="1" applyFill="1" applyBorder="1" applyAlignment="1">
      <alignment horizontal="center" vertical="top"/>
    </xf>
    <xf numFmtId="164" fontId="7" fillId="9" borderId="10" xfId="0" applyNumberFormat="1" applyFont="1" applyFill="1" applyBorder="1" applyAlignment="1">
      <alignment horizontal="center" vertical="top"/>
    </xf>
    <xf numFmtId="164" fontId="7" fillId="9" borderId="50" xfId="0" applyNumberFormat="1" applyFont="1" applyFill="1" applyBorder="1" applyAlignment="1">
      <alignment horizontal="center" vertical="top"/>
    </xf>
    <xf numFmtId="164" fontId="7" fillId="8" borderId="15" xfId="0" applyNumberFormat="1" applyFont="1" applyFill="1" applyBorder="1" applyAlignment="1">
      <alignment horizontal="center" vertical="top"/>
    </xf>
    <xf numFmtId="0" fontId="6" fillId="8" borderId="54" xfId="0" applyFont="1" applyFill="1" applyBorder="1" applyAlignment="1">
      <alignment horizontal="center" vertical="top"/>
    </xf>
    <xf numFmtId="164" fontId="11" fillId="8" borderId="25" xfId="0" applyNumberFormat="1" applyFont="1" applyFill="1" applyBorder="1" applyAlignment="1">
      <alignment horizontal="center" vertical="top" wrapText="1"/>
    </xf>
    <xf numFmtId="0" fontId="6" fillId="8" borderId="28" xfId="0" applyFont="1" applyFill="1" applyBorder="1" applyAlignment="1">
      <alignment horizontal="center" vertical="top"/>
    </xf>
    <xf numFmtId="164" fontId="11" fillId="8" borderId="15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top" wrapText="1"/>
    </xf>
    <xf numFmtId="0" fontId="9" fillId="8" borderId="34" xfId="0" applyNumberFormat="1" applyFont="1" applyFill="1" applyBorder="1" applyAlignment="1">
      <alignment horizontal="center" vertical="top"/>
    </xf>
    <xf numFmtId="0" fontId="6" fillId="0" borderId="26" xfId="0" applyFont="1" applyFill="1" applyBorder="1" applyAlignment="1">
      <alignment horizontal="left" vertical="top" wrapText="1"/>
    </xf>
    <xf numFmtId="164" fontId="11" fillId="9" borderId="39" xfId="0" applyNumberFormat="1" applyFont="1" applyFill="1" applyBorder="1" applyAlignment="1">
      <alignment horizontal="center" vertical="top" wrapText="1"/>
    </xf>
    <xf numFmtId="164" fontId="11" fillId="9" borderId="66" xfId="0" applyNumberFormat="1" applyFont="1" applyFill="1" applyBorder="1" applyAlignment="1">
      <alignment horizontal="center" vertical="top" wrapText="1"/>
    </xf>
    <xf numFmtId="164" fontId="11" fillId="9" borderId="12" xfId="0" applyNumberFormat="1" applyFont="1" applyFill="1" applyBorder="1" applyAlignment="1">
      <alignment horizontal="center" vertical="top" wrapText="1"/>
    </xf>
    <xf numFmtId="164" fontId="11" fillId="9" borderId="11" xfId="0" applyNumberFormat="1" applyFont="1" applyFill="1" applyBorder="1" applyAlignment="1">
      <alignment horizontal="center" vertical="top" wrapText="1"/>
    </xf>
    <xf numFmtId="164" fontId="11" fillId="9" borderId="0" xfId="0" applyNumberFormat="1" applyFont="1" applyFill="1" applyBorder="1" applyAlignment="1">
      <alignment horizontal="center" vertical="top"/>
    </xf>
    <xf numFmtId="1" fontId="11" fillId="0" borderId="38" xfId="0" applyNumberFormat="1" applyFont="1" applyFill="1" applyBorder="1" applyAlignment="1">
      <alignment horizontal="center" vertical="top"/>
    </xf>
    <xf numFmtId="164" fontId="11" fillId="9" borderId="65" xfId="0" applyNumberFormat="1" applyFont="1" applyFill="1" applyBorder="1" applyAlignment="1">
      <alignment horizontal="center" vertical="top"/>
    </xf>
    <xf numFmtId="164" fontId="11" fillId="9" borderId="6" xfId="0" applyNumberFormat="1" applyFont="1" applyFill="1" applyBorder="1" applyAlignment="1">
      <alignment horizontal="center" vertical="top"/>
    </xf>
    <xf numFmtId="164" fontId="11" fillId="4" borderId="9" xfId="0" applyNumberFormat="1" applyFont="1" applyFill="1" applyBorder="1" applyAlignment="1">
      <alignment horizontal="center" vertical="top" wrapText="1"/>
    </xf>
    <xf numFmtId="164" fontId="11" fillId="4" borderId="22" xfId="0" applyNumberFormat="1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vertical="top" wrapText="1"/>
    </xf>
    <xf numFmtId="0" fontId="10" fillId="0" borderId="24" xfId="0" applyFont="1" applyBorder="1" applyAlignment="1">
      <alignment horizontal="center" vertical="center" textRotation="90"/>
    </xf>
    <xf numFmtId="0" fontId="10" fillId="0" borderId="28" xfId="0" applyFont="1" applyBorder="1" applyAlignment="1">
      <alignment vertical="center" textRotation="90"/>
    </xf>
    <xf numFmtId="0" fontId="10" fillId="0" borderId="68" xfId="0" applyFont="1" applyBorder="1" applyAlignment="1">
      <alignment horizontal="center" vertical="center" textRotation="90"/>
    </xf>
    <xf numFmtId="0" fontId="9" fillId="0" borderId="73" xfId="0" applyFont="1" applyBorder="1" applyAlignment="1">
      <alignment horizontal="center" vertical="center" wrapText="1"/>
    </xf>
    <xf numFmtId="164" fontId="6" fillId="4" borderId="21" xfId="0" applyNumberFormat="1" applyFont="1" applyFill="1" applyBorder="1" applyAlignment="1">
      <alignment horizontal="center" vertical="top"/>
    </xf>
    <xf numFmtId="0" fontId="8" fillId="0" borderId="68" xfId="0" applyNumberFormat="1" applyFont="1" applyFill="1" applyBorder="1" applyAlignment="1">
      <alignment horizontal="center" vertical="top"/>
    </xf>
    <xf numFmtId="0" fontId="8" fillId="0" borderId="19" xfId="0" applyNumberFormat="1" applyFont="1" applyFill="1" applyBorder="1" applyAlignment="1">
      <alignment horizontal="center" vertical="top"/>
    </xf>
    <xf numFmtId="0" fontId="8" fillId="0" borderId="44" xfId="0" applyNumberFormat="1" applyFont="1" applyFill="1" applyBorder="1" applyAlignment="1">
      <alignment horizontal="center" vertical="top"/>
    </xf>
    <xf numFmtId="0" fontId="9" fillId="0" borderId="27" xfId="0" applyFont="1" applyFill="1" applyBorder="1" applyAlignment="1">
      <alignment horizontal="center" vertical="top" textRotation="180" wrapText="1"/>
    </xf>
    <xf numFmtId="0" fontId="9" fillId="9" borderId="15" xfId="0" applyFont="1" applyFill="1" applyBorder="1" applyAlignment="1">
      <alignment horizontal="center" vertical="top" wrapText="1"/>
    </xf>
    <xf numFmtId="0" fontId="9" fillId="4" borderId="73" xfId="0" applyFont="1" applyFill="1" applyBorder="1" applyAlignment="1">
      <alignment vertical="top" wrapText="1"/>
    </xf>
    <xf numFmtId="1" fontId="11" fillId="0" borderId="72" xfId="0" applyNumberFormat="1" applyFont="1" applyFill="1" applyBorder="1" applyAlignment="1">
      <alignment horizontal="center" vertical="top"/>
    </xf>
    <xf numFmtId="0" fontId="1" fillId="0" borderId="25" xfId="0" applyNumberFormat="1" applyFont="1" applyFill="1" applyBorder="1" applyAlignment="1">
      <alignment vertical="top" wrapText="1"/>
    </xf>
    <xf numFmtId="164" fontId="1" fillId="0" borderId="9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78" xfId="0" applyFont="1" applyFill="1" applyBorder="1" applyAlignment="1">
      <alignment vertical="top" wrapText="1"/>
    </xf>
    <xf numFmtId="0" fontId="1" fillId="0" borderId="54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4" borderId="24" xfId="0" applyNumberFormat="1" applyFont="1" applyFill="1" applyBorder="1" applyAlignment="1">
      <alignment vertical="top" wrapText="1"/>
    </xf>
    <xf numFmtId="0" fontId="1" fillId="4" borderId="54" xfId="0" applyNumberFormat="1" applyFont="1" applyFill="1" applyBorder="1" applyAlignment="1">
      <alignment vertical="top" wrapText="1"/>
    </xf>
    <xf numFmtId="164" fontId="13" fillId="9" borderId="49" xfId="0" applyNumberFormat="1" applyFont="1" applyFill="1" applyBorder="1" applyAlignment="1">
      <alignment horizontal="center" vertical="top"/>
    </xf>
    <xf numFmtId="164" fontId="6" fillId="9" borderId="35" xfId="0" applyNumberFormat="1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164" fontId="9" fillId="9" borderId="45" xfId="0" applyNumberFormat="1" applyFont="1" applyFill="1" applyBorder="1" applyAlignment="1">
      <alignment horizontal="center" vertical="top" wrapText="1"/>
    </xf>
    <xf numFmtId="164" fontId="9" fillId="9" borderId="14" xfId="0" applyNumberFormat="1" applyFont="1" applyFill="1" applyBorder="1" applyAlignment="1">
      <alignment horizontal="center" vertical="top" wrapText="1"/>
    </xf>
    <xf numFmtId="164" fontId="9" fillId="9" borderId="51" xfId="0" applyNumberFormat="1" applyFont="1" applyFill="1" applyBorder="1" applyAlignment="1">
      <alignment horizontal="center" vertical="top" wrapText="1"/>
    </xf>
    <xf numFmtId="164" fontId="9" fillId="9" borderId="13" xfId="0" applyNumberFormat="1" applyFont="1" applyFill="1" applyBorder="1" applyAlignment="1">
      <alignment horizontal="center" vertical="top" wrapText="1"/>
    </xf>
    <xf numFmtId="164" fontId="9" fillId="9" borderId="76" xfId="0" applyNumberFormat="1" applyFont="1" applyFill="1" applyBorder="1" applyAlignment="1">
      <alignment horizontal="center" vertical="top" wrapText="1"/>
    </xf>
    <xf numFmtId="0" fontId="11" fillId="0" borderId="78" xfId="0" applyFont="1" applyBorder="1" applyAlignment="1">
      <alignment vertical="top"/>
    </xf>
    <xf numFmtId="0" fontId="11" fillId="0" borderId="39" xfId="0" applyFont="1" applyBorder="1" applyAlignment="1">
      <alignment vertical="top"/>
    </xf>
    <xf numFmtId="0" fontId="11" fillId="0" borderId="79" xfId="0" applyFont="1" applyBorder="1" applyAlignment="1">
      <alignment vertical="top"/>
    </xf>
    <xf numFmtId="0" fontId="9" fillId="0" borderId="38" xfId="0" applyFont="1" applyFill="1" applyBorder="1" applyAlignment="1">
      <alignment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9" fillId="8" borderId="36" xfId="0" applyNumberFormat="1" applyFont="1" applyFill="1" applyBorder="1" applyAlignment="1">
      <alignment vertical="top"/>
    </xf>
    <xf numFmtId="1" fontId="11" fillId="0" borderId="50" xfId="0" applyNumberFormat="1" applyFont="1" applyFill="1" applyBorder="1" applyAlignment="1">
      <alignment horizontal="center" vertical="top"/>
    </xf>
    <xf numFmtId="164" fontId="13" fillId="9" borderId="45" xfId="0" applyNumberFormat="1" applyFont="1" applyFill="1" applyBorder="1" applyAlignment="1">
      <alignment horizontal="center" vertical="top"/>
    </xf>
    <xf numFmtId="164" fontId="13" fillId="9" borderId="64" xfId="0" applyNumberFormat="1" applyFont="1" applyFill="1" applyBorder="1" applyAlignment="1">
      <alignment horizontal="center" vertical="top"/>
    </xf>
    <xf numFmtId="49" fontId="10" fillId="3" borderId="11" xfId="0" applyNumberFormat="1" applyFont="1" applyFill="1" applyBorder="1" applyAlignment="1">
      <alignment vertical="top"/>
    </xf>
    <xf numFmtId="164" fontId="7" fillId="9" borderId="0" xfId="0" applyNumberFormat="1" applyFont="1" applyFill="1" applyBorder="1" applyAlignment="1">
      <alignment horizontal="center" vertical="top"/>
    </xf>
    <xf numFmtId="0" fontId="11" fillId="4" borderId="28" xfId="0" applyFont="1" applyFill="1" applyBorder="1" applyAlignment="1">
      <alignment horizontal="left" vertical="top" wrapText="1"/>
    </xf>
    <xf numFmtId="1" fontId="11" fillId="0" borderId="0" xfId="0" applyNumberFormat="1" applyFont="1" applyFill="1" applyBorder="1" applyAlignment="1">
      <alignment horizontal="center" vertical="top"/>
    </xf>
    <xf numFmtId="164" fontId="13" fillId="9" borderId="69" xfId="0" applyNumberFormat="1" applyFont="1" applyFill="1" applyBorder="1" applyAlignment="1">
      <alignment horizontal="center" vertical="top"/>
    </xf>
    <xf numFmtId="0" fontId="11" fillId="0" borderId="25" xfId="0" applyFont="1" applyFill="1" applyBorder="1" applyAlignment="1">
      <alignment horizontal="center" vertical="top" wrapText="1"/>
    </xf>
    <xf numFmtId="164" fontId="13" fillId="9" borderId="13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164" fontId="1" fillId="0" borderId="24" xfId="0" applyNumberFormat="1" applyFont="1" applyFill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44" xfId="0" applyNumberFormat="1" applyFont="1" applyFill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center" textRotation="90"/>
    </xf>
    <xf numFmtId="164" fontId="7" fillId="3" borderId="30" xfId="0" applyNumberFormat="1" applyFont="1" applyFill="1" applyBorder="1" applyAlignment="1">
      <alignment horizontal="center" vertical="center"/>
    </xf>
    <xf numFmtId="164" fontId="7" fillId="3" borderId="23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11" fillId="9" borderId="2" xfId="0" applyNumberFormat="1" applyFont="1" applyFill="1" applyBorder="1" applyAlignment="1">
      <alignment horizontal="center" vertical="top"/>
    </xf>
    <xf numFmtId="0" fontId="11" fillId="0" borderId="59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/>
    </xf>
    <xf numFmtId="164" fontId="11" fillId="0" borderId="22" xfId="0" applyNumberFormat="1" applyFont="1" applyFill="1" applyBorder="1" applyAlignment="1">
      <alignment horizontal="center" vertical="top"/>
    </xf>
    <xf numFmtId="164" fontId="11" fillId="9" borderId="5" xfId="0" applyNumberFormat="1" applyFont="1" applyFill="1" applyBorder="1" applyAlignment="1">
      <alignment horizontal="center" vertical="top"/>
    </xf>
    <xf numFmtId="49" fontId="9" fillId="4" borderId="34" xfId="0" applyNumberFormat="1" applyFont="1" applyFill="1" applyBorder="1" applyAlignment="1">
      <alignment vertical="top"/>
    </xf>
    <xf numFmtId="0" fontId="11" fillId="4" borderId="28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/>
    </xf>
    <xf numFmtId="0" fontId="9" fillId="0" borderId="20" xfId="0" applyFont="1" applyFill="1" applyBorder="1" applyAlignment="1">
      <alignment horizontal="center" vertical="top" textRotation="180" wrapText="1"/>
    </xf>
    <xf numFmtId="49" fontId="1" fillId="0" borderId="19" xfId="0" applyNumberFormat="1" applyFont="1" applyFill="1" applyBorder="1" applyAlignment="1">
      <alignment horizontal="center" vertical="top" wrapText="1"/>
    </xf>
    <xf numFmtId="0" fontId="11" fillId="0" borderId="70" xfId="0" applyFont="1" applyFill="1" applyBorder="1" applyAlignment="1">
      <alignment horizontal="center" vertical="top"/>
    </xf>
    <xf numFmtId="164" fontId="8" fillId="9" borderId="17" xfId="0" applyNumberFormat="1" applyFont="1" applyFill="1" applyBorder="1" applyAlignment="1">
      <alignment horizontal="center" vertical="top"/>
    </xf>
    <xf numFmtId="164" fontId="8" fillId="9" borderId="19" xfId="0" applyNumberFormat="1" applyFont="1" applyFill="1" applyBorder="1" applyAlignment="1">
      <alignment horizontal="center" vertical="top"/>
    </xf>
    <xf numFmtId="164" fontId="11" fillId="9" borderId="31" xfId="0" applyNumberFormat="1" applyFont="1" applyFill="1" applyBorder="1" applyAlignment="1">
      <alignment horizontal="center" vertical="top"/>
    </xf>
    <xf numFmtId="164" fontId="11" fillId="4" borderId="70" xfId="0" applyNumberFormat="1" applyFont="1" applyFill="1" applyBorder="1" applyAlignment="1">
      <alignment horizontal="center" vertical="top" wrapText="1"/>
    </xf>
    <xf numFmtId="164" fontId="11" fillId="4" borderId="44" xfId="0" applyNumberFormat="1" applyFont="1" applyFill="1" applyBorder="1" applyAlignment="1">
      <alignment horizontal="center" vertical="top" wrapText="1"/>
    </xf>
    <xf numFmtId="2" fontId="11" fillId="0" borderId="44" xfId="0" applyNumberFormat="1" applyFont="1" applyFill="1" applyBorder="1" applyAlignment="1">
      <alignment vertical="top" wrapText="1"/>
    </xf>
    <xf numFmtId="0" fontId="6" fillId="0" borderId="70" xfId="0" applyFont="1" applyFill="1" applyBorder="1" applyAlignment="1">
      <alignment vertical="top" wrapText="1"/>
    </xf>
    <xf numFmtId="0" fontId="6" fillId="0" borderId="70" xfId="0" applyFont="1" applyBorder="1" applyAlignment="1">
      <alignment horizontal="center" vertical="top" wrapText="1"/>
    </xf>
    <xf numFmtId="164" fontId="6" fillId="9" borderId="20" xfId="0" applyNumberFormat="1" applyFont="1" applyFill="1" applyBorder="1" applyAlignment="1">
      <alignment horizontal="center" vertical="top" wrapText="1"/>
    </xf>
    <xf numFmtId="164" fontId="6" fillId="9" borderId="19" xfId="0" applyNumberFormat="1" applyFont="1" applyFill="1" applyBorder="1" applyAlignment="1">
      <alignment horizontal="center" vertical="top" wrapText="1"/>
    </xf>
    <xf numFmtId="164" fontId="6" fillId="4" borderId="70" xfId="0" applyNumberFormat="1" applyFont="1" applyFill="1" applyBorder="1" applyAlignment="1">
      <alignment horizontal="center" vertical="top" wrapText="1"/>
    </xf>
    <xf numFmtId="164" fontId="6" fillId="4" borderId="44" xfId="0" applyNumberFormat="1" applyFont="1" applyFill="1" applyBorder="1" applyAlignment="1">
      <alignment horizontal="center" vertical="top" wrapText="1"/>
    </xf>
    <xf numFmtId="0" fontId="11" fillId="0" borderId="17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vertical="top" textRotation="90" wrapText="1"/>
    </xf>
    <xf numFmtId="0" fontId="12" fillId="0" borderId="10" xfId="0" applyFont="1" applyFill="1" applyBorder="1" applyAlignment="1">
      <alignment vertical="top" textRotation="90" wrapText="1"/>
    </xf>
    <xf numFmtId="0" fontId="12" fillId="0" borderId="17" xfId="0" applyFont="1" applyFill="1" applyBorder="1" applyAlignment="1">
      <alignment vertical="top" textRotation="90" wrapText="1"/>
    </xf>
    <xf numFmtId="49" fontId="10" fillId="0" borderId="34" xfId="0" applyNumberFormat="1" applyFont="1" applyBorder="1" applyAlignment="1">
      <alignment vertical="top"/>
    </xf>
    <xf numFmtId="49" fontId="10" fillId="0" borderId="31" xfId="0" applyNumberFormat="1" applyFont="1" applyBorder="1" applyAlignment="1">
      <alignment vertical="top"/>
    </xf>
    <xf numFmtId="49" fontId="10" fillId="0" borderId="35" xfId="0" applyNumberFormat="1" applyFont="1" applyBorder="1" applyAlignment="1">
      <alignment horizontal="center" vertical="top"/>
    </xf>
    <xf numFmtId="0" fontId="6" fillId="0" borderId="70" xfId="0" applyFont="1" applyFill="1" applyBorder="1" applyAlignment="1">
      <alignment horizontal="center" vertical="top"/>
    </xf>
    <xf numFmtId="164" fontId="11" fillId="9" borderId="68" xfId="0" applyNumberFormat="1" applyFont="1" applyFill="1" applyBorder="1" applyAlignment="1">
      <alignment horizontal="center" vertical="top"/>
    </xf>
    <xf numFmtId="164" fontId="11" fillId="9" borderId="19" xfId="0" applyNumberFormat="1" applyFont="1" applyFill="1" applyBorder="1" applyAlignment="1">
      <alignment horizontal="center" vertical="top"/>
    </xf>
    <xf numFmtId="164" fontId="11" fillId="9" borderId="67" xfId="0" applyNumberFormat="1" applyFont="1" applyFill="1" applyBorder="1" applyAlignment="1">
      <alignment horizontal="center" vertical="top"/>
    </xf>
    <xf numFmtId="164" fontId="11" fillId="0" borderId="70" xfId="0" applyNumberFormat="1" applyFont="1" applyFill="1" applyBorder="1" applyAlignment="1">
      <alignment horizontal="center" vertical="top"/>
    </xf>
    <xf numFmtId="164" fontId="6" fillId="0" borderId="62" xfId="0" applyNumberFormat="1" applyFont="1" applyFill="1" applyBorder="1" applyAlignment="1">
      <alignment horizontal="center" vertical="top"/>
    </xf>
    <xf numFmtId="0" fontId="1" fillId="0" borderId="40" xfId="0" applyFont="1" applyFill="1" applyBorder="1" applyAlignment="1">
      <alignment horizontal="left" vertical="top" wrapText="1"/>
    </xf>
    <xf numFmtId="49" fontId="10" fillId="2" borderId="3" xfId="0" applyNumberFormat="1" applyFont="1" applyFill="1" applyBorder="1" applyAlignment="1">
      <alignment vertical="top"/>
    </xf>
    <xf numFmtId="49" fontId="10" fillId="3" borderId="4" xfId="0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center" vertical="center" wrapText="1"/>
    </xf>
    <xf numFmtId="0" fontId="9" fillId="0" borderId="75" xfId="0" applyNumberFormat="1" applyFont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top" wrapText="1"/>
    </xf>
    <xf numFmtId="164" fontId="6" fillId="9" borderId="27" xfId="0" applyNumberFormat="1" applyFont="1" applyFill="1" applyBorder="1" applyAlignment="1">
      <alignment horizontal="center" vertical="top" wrapText="1"/>
    </xf>
    <xf numFmtId="164" fontId="6" fillId="9" borderId="4" xfId="0" applyNumberFormat="1" applyFont="1" applyFill="1" applyBorder="1" applyAlignment="1">
      <alignment horizontal="center" vertical="top" wrapText="1"/>
    </xf>
    <xf numFmtId="164" fontId="6" fillId="9" borderId="23" xfId="0" applyNumberFormat="1" applyFont="1" applyFill="1" applyBorder="1" applyAlignment="1">
      <alignment horizontal="center" vertical="top" wrapText="1"/>
    </xf>
    <xf numFmtId="164" fontId="6" fillId="9" borderId="29" xfId="0" applyNumberFormat="1" applyFont="1" applyFill="1" applyBorder="1" applyAlignment="1">
      <alignment horizontal="center" vertical="top" wrapText="1"/>
    </xf>
    <xf numFmtId="164" fontId="6" fillId="8" borderId="73" xfId="0" applyNumberFormat="1" applyFont="1" applyFill="1" applyBorder="1" applyAlignment="1">
      <alignment horizontal="center" vertical="top" wrapText="1"/>
    </xf>
    <xf numFmtId="0" fontId="1" fillId="4" borderId="73" xfId="0" applyNumberFormat="1" applyFont="1" applyFill="1" applyBorder="1" applyAlignment="1">
      <alignment vertical="top" wrapText="1"/>
    </xf>
    <xf numFmtId="0" fontId="11" fillId="4" borderId="23" xfId="0" applyNumberFormat="1" applyFont="1" applyFill="1" applyBorder="1" applyAlignment="1">
      <alignment horizontal="center" vertical="top" wrapText="1"/>
    </xf>
    <xf numFmtId="0" fontId="11" fillId="4" borderId="4" xfId="0" applyNumberFormat="1" applyFont="1" applyFill="1" applyBorder="1" applyAlignment="1">
      <alignment vertical="top" wrapText="1"/>
    </xf>
    <xf numFmtId="0" fontId="11" fillId="4" borderId="75" xfId="0" applyNumberFormat="1" applyFont="1" applyFill="1" applyBorder="1" applyAlignment="1">
      <alignment vertical="top" wrapText="1"/>
    </xf>
    <xf numFmtId="49" fontId="6" fillId="0" borderId="43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0" fontId="11" fillId="4" borderId="15" xfId="0" applyFont="1" applyFill="1" applyBorder="1" applyAlignment="1">
      <alignment horizontal="left" vertical="top" wrapText="1"/>
    </xf>
    <xf numFmtId="1" fontId="11" fillId="0" borderId="42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9" xfId="0" applyNumberFormat="1" applyFont="1" applyFill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 wrapText="1"/>
    </xf>
    <xf numFmtId="0" fontId="11" fillId="4" borderId="26" xfId="0" applyFont="1" applyFill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2" fontId="11" fillId="0" borderId="21" xfId="0" applyNumberFormat="1" applyFont="1" applyFill="1" applyBorder="1" applyAlignment="1">
      <alignment horizontal="left" vertical="top" wrapText="1"/>
    </xf>
    <xf numFmtId="49" fontId="10" fillId="2" borderId="28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center" vertical="top"/>
    </xf>
    <xf numFmtId="0" fontId="11" fillId="0" borderId="10" xfId="0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top" wrapText="1"/>
    </xf>
    <xf numFmtId="49" fontId="9" fillId="4" borderId="29" xfId="0" applyNumberFormat="1" applyFont="1" applyFill="1" applyBorder="1" applyAlignment="1">
      <alignment vertical="top"/>
    </xf>
    <xf numFmtId="49" fontId="9" fillId="4" borderId="18" xfId="0" applyNumberFormat="1" applyFont="1" applyFill="1" applyBorder="1" applyAlignment="1">
      <alignment vertical="top"/>
    </xf>
    <xf numFmtId="164" fontId="9" fillId="9" borderId="0" xfId="0" applyNumberFormat="1" applyFont="1" applyFill="1" applyBorder="1" applyAlignment="1">
      <alignment horizontal="center" vertical="top" wrapText="1"/>
    </xf>
    <xf numFmtId="164" fontId="9" fillId="9" borderId="2" xfId="0" applyNumberFormat="1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164" fontId="11" fillId="9" borderId="35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49" fontId="10" fillId="0" borderId="35" xfId="0" applyNumberFormat="1" applyFont="1" applyBorder="1" applyAlignment="1">
      <alignment vertical="top"/>
    </xf>
    <xf numFmtId="164" fontId="6" fillId="0" borderId="9" xfId="0" applyNumberFormat="1" applyFont="1" applyFill="1" applyBorder="1" applyAlignment="1">
      <alignment horizontal="center" vertical="top"/>
    </xf>
    <xf numFmtId="0" fontId="6" fillId="4" borderId="16" xfId="0" applyFont="1" applyFill="1" applyBorder="1" applyAlignment="1">
      <alignment horizontal="center" vertical="top" wrapText="1"/>
    </xf>
    <xf numFmtId="164" fontId="6" fillId="9" borderId="46" xfId="0" applyNumberFormat="1" applyFont="1" applyFill="1" applyBorder="1" applyAlignment="1">
      <alignment horizontal="center" vertical="top" wrapText="1"/>
    </xf>
    <xf numFmtId="164" fontId="6" fillId="9" borderId="58" xfId="0" applyNumberFormat="1" applyFont="1" applyFill="1" applyBorder="1" applyAlignment="1">
      <alignment horizontal="center" vertical="top" wrapText="1"/>
    </xf>
    <xf numFmtId="164" fontId="6" fillId="8" borderId="16" xfId="0" applyNumberFormat="1" applyFont="1" applyFill="1" applyBorder="1" applyAlignment="1">
      <alignment horizontal="center" vertical="top" wrapText="1"/>
    </xf>
    <xf numFmtId="164" fontId="6" fillId="4" borderId="77" xfId="0" applyNumberFormat="1" applyFont="1" applyFill="1" applyBorder="1" applyAlignment="1">
      <alignment horizontal="center" vertical="top" wrapText="1"/>
    </xf>
    <xf numFmtId="49" fontId="10" fillId="4" borderId="34" xfId="0" applyNumberFormat="1" applyFont="1" applyFill="1" applyBorder="1" applyAlignment="1">
      <alignment horizontal="center" vertical="top"/>
    </xf>
    <xf numFmtId="49" fontId="10" fillId="4" borderId="31" xfId="0" applyNumberFormat="1" applyFont="1" applyFill="1" applyBorder="1" applyAlignment="1">
      <alignment horizontal="center" vertical="top"/>
    </xf>
    <xf numFmtId="0" fontId="6" fillId="0" borderId="26" xfId="0" applyFont="1" applyBorder="1" applyAlignment="1">
      <alignment vertical="top" wrapText="1"/>
    </xf>
    <xf numFmtId="49" fontId="10" fillId="4" borderId="30" xfId="0" applyNumberFormat="1" applyFont="1" applyFill="1" applyBorder="1" applyAlignment="1">
      <alignment horizontal="center" vertical="top"/>
    </xf>
    <xf numFmtId="0" fontId="9" fillId="0" borderId="73" xfId="0" applyFont="1" applyBorder="1" applyAlignment="1">
      <alignment vertical="top" wrapText="1"/>
    </xf>
    <xf numFmtId="0" fontId="10" fillId="0" borderId="23" xfId="0" applyFont="1" applyBorder="1" applyAlignment="1">
      <alignment vertical="center" textRotation="90"/>
    </xf>
    <xf numFmtId="49" fontId="6" fillId="0" borderId="4" xfId="0" applyNumberFormat="1" applyFont="1" applyBorder="1" applyAlignment="1">
      <alignment horizontal="center" vertical="top" wrapText="1"/>
    </xf>
    <xf numFmtId="49" fontId="9" fillId="0" borderId="23" xfId="0" applyNumberFormat="1" applyFont="1" applyBorder="1" applyAlignment="1">
      <alignment horizontal="center" vertical="top"/>
    </xf>
    <xf numFmtId="0" fontId="6" fillId="0" borderId="73" xfId="0" applyFont="1" applyFill="1" applyBorder="1" applyAlignment="1">
      <alignment horizontal="center" vertical="top"/>
    </xf>
    <xf numFmtId="164" fontId="11" fillId="9" borderId="3" xfId="0" applyNumberFormat="1" applyFont="1" applyFill="1" applyBorder="1" applyAlignment="1">
      <alignment horizontal="center" vertical="top"/>
    </xf>
    <xf numFmtId="164" fontId="11" fillId="9" borderId="4" xfId="0" applyNumberFormat="1" applyFont="1" applyFill="1" applyBorder="1" applyAlignment="1">
      <alignment horizontal="center" vertical="top" wrapText="1"/>
    </xf>
    <xf numFmtId="164" fontId="11" fillId="9" borderId="30" xfId="0" applyNumberFormat="1" applyFont="1" applyFill="1" applyBorder="1" applyAlignment="1">
      <alignment horizontal="center" vertical="top" wrapText="1"/>
    </xf>
    <xf numFmtId="164" fontId="11" fillId="4" borderId="73" xfId="0" applyNumberFormat="1" applyFont="1" applyFill="1" applyBorder="1" applyAlignment="1">
      <alignment horizontal="center" vertical="top" wrapText="1"/>
    </xf>
    <xf numFmtId="0" fontId="11" fillId="0" borderId="23" xfId="0" applyFont="1" applyFill="1" applyBorder="1" applyAlignment="1">
      <alignment vertical="top" wrapText="1"/>
    </xf>
    <xf numFmtId="1" fontId="11" fillId="0" borderId="3" xfId="0" applyNumberFormat="1" applyFont="1" applyFill="1" applyBorder="1" applyAlignment="1">
      <alignment horizontal="center" vertical="top"/>
    </xf>
    <xf numFmtId="1" fontId="11" fillId="0" borderId="4" xfId="0" applyNumberFormat="1" applyFont="1" applyFill="1" applyBorder="1" applyAlignment="1">
      <alignment horizontal="center" vertical="top"/>
    </xf>
    <xf numFmtId="1" fontId="11" fillId="0" borderId="30" xfId="0" applyNumberFormat="1" applyFont="1" applyFill="1" applyBorder="1" applyAlignment="1">
      <alignment horizontal="center" vertical="top"/>
    </xf>
    <xf numFmtId="0" fontId="11" fillId="0" borderId="47" xfId="0" applyNumberFormat="1" applyFont="1" applyFill="1" applyBorder="1" applyAlignment="1">
      <alignment horizontal="center" vertical="top" wrapText="1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2" fillId="0" borderId="24" xfId="0" applyFont="1" applyFill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top" wrapText="1"/>
    </xf>
    <xf numFmtId="49" fontId="10" fillId="0" borderId="22" xfId="0" applyNumberFormat="1" applyFont="1" applyBorder="1" applyAlignment="1">
      <alignment horizontal="center" vertical="top"/>
    </xf>
    <xf numFmtId="49" fontId="10" fillId="0" borderId="21" xfId="0" applyNumberFormat="1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 wrapText="1"/>
    </xf>
    <xf numFmtId="0" fontId="6" fillId="0" borderId="25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49" fontId="10" fillId="0" borderId="19" xfId="0" applyNumberFormat="1" applyFont="1" applyBorder="1" applyAlignment="1">
      <alignment horizontal="center" vertical="top"/>
    </xf>
    <xf numFmtId="0" fontId="6" fillId="4" borderId="0" xfId="0" applyNumberFormat="1" applyFont="1" applyFill="1" applyBorder="1" applyAlignment="1">
      <alignment horizontal="left" vertical="top" wrapText="1"/>
    </xf>
    <xf numFmtId="49" fontId="16" fillId="0" borderId="0" xfId="0" applyNumberFormat="1" applyFont="1" applyFill="1" applyBorder="1" applyAlignment="1">
      <alignment horizontal="center" vertical="center" wrapText="1"/>
    </xf>
    <xf numFmtId="49" fontId="10" fillId="4" borderId="12" xfId="0" applyNumberFormat="1" applyFont="1" applyFill="1" applyBorder="1" applyAlignment="1">
      <alignment horizontal="center" vertical="top"/>
    </xf>
    <xf numFmtId="49" fontId="10" fillId="2" borderId="28" xfId="0" applyNumberFormat="1" applyFont="1" applyFill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49" fontId="10" fillId="4" borderId="7" xfId="0" applyNumberFormat="1" applyFont="1" applyFill="1" applyBorder="1" applyAlignment="1">
      <alignment horizontal="center" vertical="top"/>
    </xf>
    <xf numFmtId="49" fontId="6" fillId="0" borderId="43" xfId="0" applyNumberFormat="1" applyFont="1" applyBorder="1" applyAlignment="1">
      <alignment horizontal="center" vertical="top" wrapText="1"/>
    </xf>
    <xf numFmtId="164" fontId="11" fillId="8" borderId="7" xfId="0" applyNumberFormat="1" applyFont="1" applyFill="1" applyBorder="1" applyAlignment="1">
      <alignment horizontal="center" vertical="center"/>
    </xf>
    <xf numFmtId="164" fontId="6" fillId="8" borderId="35" xfId="0" applyNumberFormat="1" applyFont="1" applyFill="1" applyBorder="1" applyAlignment="1">
      <alignment horizontal="center" vertical="top"/>
    </xf>
    <xf numFmtId="164" fontId="11" fillId="8" borderId="1" xfId="0" applyNumberFormat="1" applyFont="1" applyFill="1" applyBorder="1" applyAlignment="1">
      <alignment horizontal="center" vertical="center"/>
    </xf>
    <xf numFmtId="164" fontId="6" fillId="8" borderId="51" xfId="0" applyNumberFormat="1" applyFont="1" applyFill="1" applyBorder="1" applyAlignment="1">
      <alignment horizontal="center" vertical="top"/>
    </xf>
    <xf numFmtId="164" fontId="11" fillId="8" borderId="45" xfId="0" applyNumberFormat="1" applyFont="1" applyFill="1" applyBorder="1" applyAlignment="1">
      <alignment horizontal="center" vertical="top"/>
    </xf>
    <xf numFmtId="164" fontId="11" fillId="8" borderId="46" xfId="0" applyNumberFormat="1" applyFont="1" applyFill="1" applyBorder="1" applyAlignment="1">
      <alignment horizontal="center" vertical="top"/>
    </xf>
    <xf numFmtId="164" fontId="11" fillId="8" borderId="48" xfId="0" applyNumberFormat="1" applyFont="1" applyFill="1" applyBorder="1" applyAlignment="1">
      <alignment horizontal="center" vertical="top"/>
    </xf>
    <xf numFmtId="164" fontId="7" fillId="8" borderId="48" xfId="0" applyNumberFormat="1" applyFont="1" applyFill="1" applyBorder="1" applyAlignment="1">
      <alignment horizontal="center" vertical="top"/>
    </xf>
    <xf numFmtId="164" fontId="7" fillId="8" borderId="47" xfId="0" applyNumberFormat="1" applyFont="1" applyFill="1" applyBorder="1" applyAlignment="1">
      <alignment horizontal="center" vertical="top"/>
    </xf>
    <xf numFmtId="164" fontId="11" fillId="8" borderId="24" xfId="0" applyNumberFormat="1" applyFont="1" applyFill="1" applyBorder="1" applyAlignment="1">
      <alignment horizontal="center" vertical="top"/>
    </xf>
    <xf numFmtId="164" fontId="11" fillId="8" borderId="7" xfId="0" applyNumberFormat="1" applyFont="1" applyFill="1" applyBorder="1" applyAlignment="1">
      <alignment horizontal="center" vertical="top"/>
    </xf>
    <xf numFmtId="164" fontId="7" fillId="8" borderId="7" xfId="0" applyNumberFormat="1" applyFont="1" applyFill="1" applyBorder="1" applyAlignment="1">
      <alignment horizontal="center" vertical="top"/>
    </xf>
    <xf numFmtId="164" fontId="7" fillId="8" borderId="35" xfId="0" applyNumberFormat="1" applyFont="1" applyFill="1" applyBorder="1" applyAlignment="1">
      <alignment horizontal="center" vertical="top"/>
    </xf>
    <xf numFmtId="164" fontId="8" fillId="8" borderId="32" xfId="0" applyNumberFormat="1" applyFont="1" applyFill="1" applyBorder="1" applyAlignment="1">
      <alignment horizontal="center" vertical="top"/>
    </xf>
    <xf numFmtId="164" fontId="8" fillId="8" borderId="47" xfId="0" applyNumberFormat="1" applyFont="1" applyFill="1" applyBorder="1" applyAlignment="1">
      <alignment horizontal="center" vertical="top"/>
    </xf>
    <xf numFmtId="164" fontId="13" fillId="8" borderId="49" xfId="0" applyNumberFormat="1" applyFont="1" applyFill="1" applyBorder="1" applyAlignment="1">
      <alignment horizontal="center" vertical="top"/>
    </xf>
    <xf numFmtId="164" fontId="8" fillId="8" borderId="33" xfId="0" applyNumberFormat="1" applyFont="1" applyFill="1" applyBorder="1" applyAlignment="1">
      <alignment horizontal="center" vertical="top"/>
    </xf>
    <xf numFmtId="164" fontId="8" fillId="8" borderId="48" xfId="0" applyNumberFormat="1" applyFont="1" applyFill="1" applyBorder="1" applyAlignment="1">
      <alignment horizontal="center" vertical="top"/>
    </xf>
    <xf numFmtId="164" fontId="8" fillId="8" borderId="5" xfId="0" applyNumberFormat="1" applyFont="1" applyFill="1" applyBorder="1" applyAlignment="1">
      <alignment horizontal="center" vertical="top"/>
    </xf>
    <xf numFmtId="164" fontId="8" fillId="8" borderId="65" xfId="0" applyNumberFormat="1" applyFont="1" applyFill="1" applyBorder="1" applyAlignment="1">
      <alignment horizontal="center" vertical="top"/>
    </xf>
    <xf numFmtId="164" fontId="8" fillId="8" borderId="8" xfId="0" applyNumberFormat="1" applyFont="1" applyFill="1" applyBorder="1" applyAlignment="1">
      <alignment horizontal="center" vertical="top"/>
    </xf>
    <xf numFmtId="164" fontId="8" fillId="8" borderId="45" xfId="0" applyNumberFormat="1" applyFont="1" applyFill="1" applyBorder="1" applyAlignment="1">
      <alignment horizontal="center" vertical="center"/>
    </xf>
    <xf numFmtId="164" fontId="8" fillId="8" borderId="64" xfId="0" applyNumberFormat="1" applyFont="1" applyFill="1" applyBorder="1" applyAlignment="1">
      <alignment horizontal="center" vertical="center"/>
    </xf>
    <xf numFmtId="164" fontId="8" fillId="8" borderId="69" xfId="0" applyNumberFormat="1" applyFont="1" applyFill="1" applyBorder="1" applyAlignment="1">
      <alignment horizontal="center" vertical="center"/>
    </xf>
    <xf numFmtId="164" fontId="11" fillId="8" borderId="80" xfId="0" applyNumberFormat="1" applyFont="1" applyFill="1" applyBorder="1" applyAlignment="1">
      <alignment horizontal="center" vertical="top"/>
    </xf>
    <xf numFmtId="164" fontId="11" fillId="8" borderId="78" xfId="0" applyNumberFormat="1" applyFont="1" applyFill="1" applyBorder="1" applyAlignment="1">
      <alignment horizontal="center" vertical="top"/>
    </xf>
    <xf numFmtId="164" fontId="11" fillId="8" borderId="57" xfId="0" applyNumberFormat="1" applyFont="1" applyFill="1" applyBorder="1" applyAlignment="1">
      <alignment horizontal="center" vertical="top"/>
    </xf>
    <xf numFmtId="164" fontId="11" fillId="8" borderId="10" xfId="0" applyNumberFormat="1" applyFont="1" applyFill="1" applyBorder="1" applyAlignment="1">
      <alignment horizontal="center" vertical="top"/>
    </xf>
    <xf numFmtId="164" fontId="11" fillId="8" borderId="11" xfId="0" applyNumberFormat="1" applyFont="1" applyFill="1" applyBorder="1" applyAlignment="1">
      <alignment horizontal="center" vertical="top"/>
    </xf>
    <xf numFmtId="164" fontId="12" fillId="8" borderId="12" xfId="0" applyNumberFormat="1" applyFont="1" applyFill="1" applyBorder="1" applyAlignment="1">
      <alignment horizontal="center" vertical="top"/>
    </xf>
    <xf numFmtId="164" fontId="8" fillId="8" borderId="10" xfId="0" applyNumberFormat="1" applyFont="1" applyFill="1" applyBorder="1" applyAlignment="1">
      <alignment horizontal="center" vertical="top"/>
    </xf>
    <xf numFmtId="164" fontId="8" fillId="8" borderId="12" xfId="0" applyNumberFormat="1" applyFont="1" applyFill="1" applyBorder="1" applyAlignment="1">
      <alignment horizontal="center" vertical="top"/>
    </xf>
    <xf numFmtId="164" fontId="8" fillId="8" borderId="28" xfId="0" applyNumberFormat="1" applyFont="1" applyFill="1" applyBorder="1" applyAlignment="1">
      <alignment horizontal="center" vertical="top"/>
    </xf>
    <xf numFmtId="164" fontId="8" fillId="8" borderId="17" xfId="0" applyNumberFormat="1" applyFont="1" applyFill="1" applyBorder="1" applyAlignment="1">
      <alignment horizontal="center" vertical="top"/>
    </xf>
    <xf numFmtId="164" fontId="8" fillId="8" borderId="19" xfId="0" applyNumberFormat="1" applyFont="1" applyFill="1" applyBorder="1" applyAlignment="1">
      <alignment horizontal="center" vertical="top"/>
    </xf>
    <xf numFmtId="164" fontId="11" fillId="8" borderId="31" xfId="0" applyNumberFormat="1" applyFont="1" applyFill="1" applyBorder="1" applyAlignment="1">
      <alignment horizontal="center" vertical="top"/>
    </xf>
    <xf numFmtId="164" fontId="11" fillId="8" borderId="5" xfId="0" applyNumberFormat="1" applyFont="1" applyFill="1" applyBorder="1" applyAlignment="1">
      <alignment horizontal="center" vertical="top"/>
    </xf>
    <xf numFmtId="164" fontId="11" fillId="8" borderId="35" xfId="0" applyNumberFormat="1" applyFont="1" applyFill="1" applyBorder="1" applyAlignment="1">
      <alignment horizontal="center" vertical="top"/>
    </xf>
    <xf numFmtId="164" fontId="12" fillId="8" borderId="50" xfId="0" applyNumberFormat="1" applyFont="1" applyFill="1" applyBorder="1" applyAlignment="1">
      <alignment horizontal="center" vertical="top"/>
    </xf>
    <xf numFmtId="164" fontId="11" fillId="8" borderId="50" xfId="0" applyNumberFormat="1" applyFont="1" applyFill="1" applyBorder="1" applyAlignment="1">
      <alignment horizontal="center" vertical="top"/>
    </xf>
    <xf numFmtId="164" fontId="11" fillId="8" borderId="21" xfId="0" applyNumberFormat="1" applyFont="1" applyFill="1" applyBorder="1" applyAlignment="1">
      <alignment horizontal="center" vertical="top"/>
    </xf>
    <xf numFmtId="164" fontId="6" fillId="8" borderId="50" xfId="0" applyNumberFormat="1" applyFont="1" applyFill="1" applyBorder="1" applyAlignment="1">
      <alignment horizontal="center" vertical="top"/>
    </xf>
    <xf numFmtId="164" fontId="11" fillId="8" borderId="72" xfId="0" applyNumberFormat="1" applyFont="1" applyFill="1" applyBorder="1" applyAlignment="1">
      <alignment horizontal="center" vertical="top"/>
    </xf>
    <xf numFmtId="164" fontId="11" fillId="8" borderId="79" xfId="0" applyNumberFormat="1" applyFont="1" applyFill="1" applyBorder="1" applyAlignment="1">
      <alignment horizontal="center" vertical="top"/>
    </xf>
    <xf numFmtId="164" fontId="6" fillId="8" borderId="8" xfId="0" applyNumberFormat="1" applyFont="1" applyFill="1" applyBorder="1" applyAlignment="1">
      <alignment horizontal="center" vertical="top" wrapText="1"/>
    </xf>
    <xf numFmtId="164" fontId="6" fillId="8" borderId="7" xfId="0" applyNumberFormat="1" applyFont="1" applyFill="1" applyBorder="1" applyAlignment="1">
      <alignment horizontal="center" vertical="top" wrapText="1"/>
    </xf>
    <xf numFmtId="164" fontId="6" fillId="8" borderId="54" xfId="0" applyNumberFormat="1" applyFont="1" applyFill="1" applyBorder="1" applyAlignment="1">
      <alignment horizontal="center" vertical="top" wrapText="1"/>
    </xf>
    <xf numFmtId="164" fontId="6" fillId="8" borderId="43" xfId="0" applyNumberFormat="1" applyFont="1" applyFill="1" applyBorder="1" applyAlignment="1">
      <alignment horizontal="center" vertical="top" wrapText="1"/>
    </xf>
    <xf numFmtId="164" fontId="6" fillId="8" borderId="60" xfId="0" applyNumberFormat="1" applyFont="1" applyFill="1" applyBorder="1" applyAlignment="1">
      <alignment horizontal="center" vertical="top" wrapText="1"/>
    </xf>
    <xf numFmtId="164" fontId="6" fillId="8" borderId="0" xfId="0" applyNumberFormat="1" applyFont="1" applyFill="1" applyBorder="1" applyAlignment="1">
      <alignment horizontal="center" vertical="top" wrapText="1"/>
    </xf>
    <xf numFmtId="164" fontId="6" fillId="8" borderId="12" xfId="0" applyNumberFormat="1" applyFont="1" applyFill="1" applyBorder="1" applyAlignment="1">
      <alignment horizontal="center" vertical="top" wrapText="1"/>
    </xf>
    <xf numFmtId="164" fontId="6" fillId="8" borderId="20" xfId="0" applyNumberFormat="1" applyFont="1" applyFill="1" applyBorder="1" applyAlignment="1">
      <alignment horizontal="center" vertical="top" wrapText="1"/>
    </xf>
    <xf numFmtId="164" fontId="6" fillId="8" borderId="19" xfId="0" applyNumberFormat="1" applyFont="1" applyFill="1" applyBorder="1" applyAlignment="1">
      <alignment horizontal="center" vertical="top" wrapText="1"/>
    </xf>
    <xf numFmtId="164" fontId="6" fillId="8" borderId="28" xfId="0" applyNumberFormat="1" applyFont="1" applyFill="1" applyBorder="1" applyAlignment="1">
      <alignment horizontal="center" vertical="top" wrapText="1"/>
    </xf>
    <xf numFmtId="164" fontId="6" fillId="8" borderId="6" xfId="0" applyNumberFormat="1" applyFont="1" applyFill="1" applyBorder="1" applyAlignment="1">
      <alignment horizontal="center" vertical="top"/>
    </xf>
    <xf numFmtId="164" fontId="6" fillId="8" borderId="58" xfId="0" applyNumberFormat="1" applyFont="1" applyFill="1" applyBorder="1" applyAlignment="1">
      <alignment horizontal="center" vertical="top"/>
    </xf>
    <xf numFmtId="164" fontId="6" fillId="8" borderId="38" xfId="0" applyNumberFormat="1" applyFont="1" applyFill="1" applyBorder="1" applyAlignment="1">
      <alignment horizontal="center" vertical="top"/>
    </xf>
    <xf numFmtId="164" fontId="6" fillId="8" borderId="39" xfId="0" applyNumberFormat="1" applyFont="1" applyFill="1" applyBorder="1" applyAlignment="1">
      <alignment horizontal="center" vertical="top"/>
    </xf>
    <xf numFmtId="164" fontId="6" fillId="8" borderId="66" xfId="0" applyNumberFormat="1" applyFont="1" applyFill="1" applyBorder="1" applyAlignment="1">
      <alignment horizontal="center" vertical="top"/>
    </xf>
    <xf numFmtId="164" fontId="6" fillId="8" borderId="52" xfId="0" applyNumberFormat="1" applyFont="1" applyFill="1" applyBorder="1" applyAlignment="1">
      <alignment horizontal="center" vertical="top"/>
    </xf>
    <xf numFmtId="164" fontId="6" fillId="8" borderId="43" xfId="0" applyNumberFormat="1" applyFont="1" applyFill="1" applyBorder="1" applyAlignment="1">
      <alignment horizontal="center" vertical="top"/>
    </xf>
    <xf numFmtId="164" fontId="6" fillId="8" borderId="53" xfId="0" applyNumberFormat="1" applyFont="1" applyFill="1" applyBorder="1" applyAlignment="1">
      <alignment horizontal="center" vertical="top"/>
    </xf>
    <xf numFmtId="164" fontId="6" fillId="8" borderId="11" xfId="0" applyNumberFormat="1" applyFont="1" applyFill="1" applyBorder="1" applyAlignment="1">
      <alignment horizontal="center" vertical="top"/>
    </xf>
    <xf numFmtId="164" fontId="11" fillId="8" borderId="68" xfId="0" applyNumberFormat="1" applyFont="1" applyFill="1" applyBorder="1" applyAlignment="1">
      <alignment horizontal="center" vertical="top"/>
    </xf>
    <xf numFmtId="164" fontId="11" fillId="8" borderId="2" xfId="0" applyNumberFormat="1" applyFont="1" applyFill="1" applyBorder="1" applyAlignment="1">
      <alignment horizontal="center" vertical="top"/>
    </xf>
    <xf numFmtId="164" fontId="11" fillId="8" borderId="19" xfId="0" applyNumberFormat="1" applyFont="1" applyFill="1" applyBorder="1" applyAlignment="1">
      <alignment horizontal="center" vertical="top"/>
    </xf>
    <xf numFmtId="164" fontId="11" fillId="8" borderId="67" xfId="0" applyNumberFormat="1" applyFont="1" applyFill="1" applyBorder="1" applyAlignment="1">
      <alignment horizontal="center" vertical="top"/>
    </xf>
    <xf numFmtId="164" fontId="6" fillId="8" borderId="24" xfId="0" applyNumberFormat="1" applyFont="1" applyFill="1" applyBorder="1" applyAlignment="1">
      <alignment horizontal="center" vertical="top" wrapText="1"/>
    </xf>
    <xf numFmtId="164" fontId="6" fillId="8" borderId="35" xfId="0" applyNumberFormat="1" applyFont="1" applyFill="1" applyBorder="1" applyAlignment="1">
      <alignment horizontal="center" vertical="top" wrapText="1"/>
    </xf>
    <xf numFmtId="164" fontId="6" fillId="8" borderId="1" xfId="0" applyNumberFormat="1" applyFont="1" applyFill="1" applyBorder="1" applyAlignment="1">
      <alignment horizontal="center" vertical="top" wrapText="1"/>
    </xf>
    <xf numFmtId="164" fontId="6" fillId="8" borderId="51" xfId="0" applyNumberFormat="1" applyFont="1" applyFill="1" applyBorder="1" applyAlignment="1">
      <alignment horizontal="center" vertical="top" wrapText="1"/>
    </xf>
    <xf numFmtId="164" fontId="6" fillId="8" borderId="10" xfId="0" applyNumberFormat="1" applyFont="1" applyFill="1" applyBorder="1" applyAlignment="1">
      <alignment horizontal="center" vertical="top" wrapText="1"/>
    </xf>
    <xf numFmtId="164" fontId="6" fillId="8" borderId="11" xfId="0" applyNumberFormat="1" applyFont="1" applyFill="1" applyBorder="1" applyAlignment="1">
      <alignment horizontal="center" vertical="top" wrapText="1"/>
    </xf>
    <xf numFmtId="164" fontId="6" fillId="8" borderId="34" xfId="0" applyNumberFormat="1" applyFont="1" applyFill="1" applyBorder="1" applyAlignment="1">
      <alignment horizontal="center" vertical="top" wrapText="1"/>
    </xf>
    <xf numFmtId="164" fontId="6" fillId="8" borderId="55" xfId="0" applyNumberFormat="1" applyFont="1" applyFill="1" applyBorder="1" applyAlignment="1">
      <alignment horizontal="center" vertical="top" wrapText="1"/>
    </xf>
    <xf numFmtId="164" fontId="6" fillId="8" borderId="80" xfId="0" applyNumberFormat="1" applyFont="1" applyFill="1" applyBorder="1" applyAlignment="1">
      <alignment horizontal="center" vertical="top" wrapText="1"/>
    </xf>
    <xf numFmtId="164" fontId="6" fillId="8" borderId="66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 wrapText="1"/>
    </xf>
    <xf numFmtId="164" fontId="6" fillId="8" borderId="27" xfId="0" applyNumberFormat="1" applyFont="1" applyFill="1" applyBorder="1" applyAlignment="1">
      <alignment horizontal="center" vertical="top" wrapText="1"/>
    </xf>
    <xf numFmtId="164" fontId="6" fillId="8" borderId="4" xfId="0" applyNumberFormat="1" applyFont="1" applyFill="1" applyBorder="1" applyAlignment="1">
      <alignment horizontal="center" vertical="top" wrapText="1"/>
    </xf>
    <xf numFmtId="164" fontId="6" fillId="8" borderId="23" xfId="0" applyNumberFormat="1" applyFont="1" applyFill="1" applyBorder="1" applyAlignment="1">
      <alignment horizontal="center" vertical="top" wrapText="1"/>
    </xf>
    <xf numFmtId="164" fontId="6" fillId="8" borderId="29" xfId="0" applyNumberFormat="1" applyFont="1" applyFill="1" applyBorder="1" applyAlignment="1">
      <alignment horizontal="center" vertical="top" wrapText="1"/>
    </xf>
    <xf numFmtId="164" fontId="6" fillId="8" borderId="46" xfId="0" applyNumberFormat="1" applyFont="1" applyFill="1" applyBorder="1" applyAlignment="1">
      <alignment horizontal="center" vertical="top" wrapText="1"/>
    </xf>
    <xf numFmtId="164" fontId="6" fillId="8" borderId="47" xfId="0" applyNumberFormat="1" applyFont="1" applyFill="1" applyBorder="1" applyAlignment="1">
      <alignment horizontal="center" vertical="top" wrapText="1"/>
    </xf>
    <xf numFmtId="164" fontId="6" fillId="8" borderId="58" xfId="0" applyNumberFormat="1" applyFont="1" applyFill="1" applyBorder="1" applyAlignment="1">
      <alignment horizontal="center" vertical="top" wrapText="1"/>
    </xf>
    <xf numFmtId="164" fontId="11" fillId="8" borderId="53" xfId="0" applyNumberFormat="1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top"/>
    </xf>
    <xf numFmtId="164" fontId="7" fillId="8" borderId="50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Border="1" applyAlignment="1">
      <alignment horizontal="center" vertical="top"/>
    </xf>
    <xf numFmtId="164" fontId="6" fillId="8" borderId="69" xfId="0" applyNumberFormat="1" applyFont="1" applyFill="1" applyBorder="1" applyAlignment="1">
      <alignment horizontal="center" vertical="top" wrapText="1"/>
    </xf>
    <xf numFmtId="164" fontId="11" fillId="8" borderId="6" xfId="0" applyNumberFormat="1" applyFont="1" applyFill="1" applyBorder="1" applyAlignment="1">
      <alignment horizontal="center" vertical="top"/>
    </xf>
    <xf numFmtId="164" fontId="11" fillId="8" borderId="0" xfId="0" applyNumberFormat="1" applyFont="1" applyFill="1" applyBorder="1" applyAlignment="1">
      <alignment horizontal="center" vertical="top"/>
    </xf>
    <xf numFmtId="164" fontId="11" fillId="8" borderId="39" xfId="0" applyNumberFormat="1" applyFont="1" applyFill="1" applyBorder="1" applyAlignment="1">
      <alignment horizontal="center" vertical="top" wrapText="1"/>
    </xf>
    <xf numFmtId="164" fontId="11" fillId="8" borderId="66" xfId="0" applyNumberFormat="1" applyFont="1" applyFill="1" applyBorder="1" applyAlignment="1">
      <alignment horizontal="center" vertical="top" wrapText="1"/>
    </xf>
    <xf numFmtId="164" fontId="11" fillId="8" borderId="12" xfId="0" applyNumberFormat="1" applyFont="1" applyFill="1" applyBorder="1" applyAlignment="1">
      <alignment horizontal="center" vertical="top" wrapText="1"/>
    </xf>
    <xf numFmtId="164" fontId="11" fillId="8" borderId="11" xfId="0" applyNumberFormat="1" applyFont="1" applyFill="1" applyBorder="1" applyAlignment="1">
      <alignment horizontal="center" vertical="top" wrapText="1"/>
    </xf>
    <xf numFmtId="164" fontId="11" fillId="8" borderId="3" xfId="0" applyNumberFormat="1" applyFont="1" applyFill="1" applyBorder="1" applyAlignment="1">
      <alignment horizontal="center" vertical="top"/>
    </xf>
    <xf numFmtId="164" fontId="11" fillId="8" borderId="4" xfId="0" applyNumberFormat="1" applyFont="1" applyFill="1" applyBorder="1" applyAlignment="1">
      <alignment horizontal="center" vertical="top" wrapText="1"/>
    </xf>
    <xf numFmtId="164" fontId="11" fillId="8" borderId="30" xfId="0" applyNumberFormat="1" applyFont="1" applyFill="1" applyBorder="1" applyAlignment="1">
      <alignment horizontal="center" vertical="top" wrapText="1"/>
    </xf>
    <xf numFmtId="164" fontId="11" fillId="8" borderId="37" xfId="0" applyNumberFormat="1" applyFont="1" applyFill="1" applyBorder="1" applyAlignment="1">
      <alignment horizontal="center" vertical="top"/>
    </xf>
    <xf numFmtId="0" fontId="10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49" fontId="10" fillId="3" borderId="0" xfId="0" applyNumberFormat="1" applyFont="1" applyFill="1" applyBorder="1" applyAlignment="1">
      <alignment horizontal="left" vertical="top"/>
    </xf>
    <xf numFmtId="164" fontId="10" fillId="3" borderId="75" xfId="0" applyNumberFormat="1" applyFont="1" applyFill="1" applyBorder="1" applyAlignment="1">
      <alignment horizontal="center" vertical="top"/>
    </xf>
    <xf numFmtId="164" fontId="11" fillId="9" borderId="18" xfId="0" applyNumberFormat="1" applyFont="1" applyFill="1" applyBorder="1" applyAlignment="1">
      <alignment horizontal="center" vertical="top"/>
    </xf>
    <xf numFmtId="164" fontId="7" fillId="9" borderId="54" xfId="0" applyNumberFormat="1" applyFont="1" applyFill="1" applyBorder="1" applyAlignment="1">
      <alignment horizontal="center" vertical="center"/>
    </xf>
    <xf numFmtId="164" fontId="11" fillId="9" borderId="41" xfId="0" applyNumberFormat="1" applyFont="1" applyFill="1" applyBorder="1" applyAlignment="1">
      <alignment horizontal="center" vertical="top"/>
    </xf>
    <xf numFmtId="164" fontId="7" fillId="3" borderId="29" xfId="0" applyNumberFormat="1" applyFont="1" applyFill="1" applyBorder="1" applyAlignment="1">
      <alignment horizontal="center" vertical="center"/>
    </xf>
    <xf numFmtId="164" fontId="11" fillId="8" borderId="60" xfId="0" applyNumberFormat="1" applyFont="1" applyFill="1" applyBorder="1" applyAlignment="1">
      <alignment horizontal="center" vertical="top"/>
    </xf>
    <xf numFmtId="164" fontId="8" fillId="8" borderId="22" xfId="0" applyNumberFormat="1" applyFont="1" applyFill="1" applyBorder="1" applyAlignment="1">
      <alignment horizontal="center" vertical="top"/>
    </xf>
    <xf numFmtId="164" fontId="8" fillId="8" borderId="76" xfId="0" applyNumberFormat="1" applyFont="1" applyFill="1" applyBorder="1" applyAlignment="1">
      <alignment horizontal="center" vertical="center"/>
    </xf>
    <xf numFmtId="164" fontId="6" fillId="8" borderId="37" xfId="0" applyNumberFormat="1" applyFont="1" applyFill="1" applyBorder="1" applyAlignment="1">
      <alignment horizontal="center" vertical="top" wrapText="1"/>
    </xf>
    <xf numFmtId="164" fontId="6" fillId="8" borderId="21" xfId="0" applyNumberFormat="1" applyFont="1" applyFill="1" applyBorder="1" applyAlignment="1">
      <alignment horizontal="center" vertical="top" wrapText="1"/>
    </xf>
    <xf numFmtId="164" fontId="6" fillId="8" borderId="68" xfId="0" applyNumberFormat="1" applyFont="1" applyFill="1" applyBorder="1" applyAlignment="1">
      <alignment horizontal="center" vertical="top" wrapText="1"/>
    </xf>
    <xf numFmtId="164" fontId="6" fillId="8" borderId="44" xfId="0" applyNumberFormat="1" applyFont="1" applyFill="1" applyBorder="1" applyAlignment="1">
      <alignment horizontal="center" vertical="top" wrapText="1"/>
    </xf>
    <xf numFmtId="164" fontId="6" fillId="8" borderId="36" xfId="0" applyNumberFormat="1" applyFont="1" applyFill="1" applyBorder="1" applyAlignment="1">
      <alignment horizontal="center" vertical="top"/>
    </xf>
    <xf numFmtId="164" fontId="6" fillId="8" borderId="55" xfId="0" applyNumberFormat="1" applyFont="1" applyFill="1" applyBorder="1" applyAlignment="1">
      <alignment horizontal="center" vertical="top"/>
    </xf>
    <xf numFmtId="164" fontId="6" fillId="8" borderId="30" xfId="0" applyNumberFormat="1" applyFont="1" applyFill="1" applyBorder="1" applyAlignment="1">
      <alignment horizontal="center" vertical="top" wrapText="1"/>
    </xf>
    <xf numFmtId="164" fontId="6" fillId="8" borderId="48" xfId="0" applyNumberFormat="1" applyFont="1" applyFill="1" applyBorder="1" applyAlignment="1">
      <alignment horizontal="center" vertical="top" wrapText="1"/>
    </xf>
    <xf numFmtId="164" fontId="11" fillId="8" borderId="55" xfId="0" applyNumberFormat="1" applyFont="1" applyFill="1" applyBorder="1" applyAlignment="1">
      <alignment horizontal="center" vertical="top"/>
    </xf>
    <xf numFmtId="164" fontId="7" fillId="8" borderId="21" xfId="0" applyNumberFormat="1" applyFont="1" applyFill="1" applyBorder="1" applyAlignment="1">
      <alignment horizontal="center" vertical="top"/>
    </xf>
    <xf numFmtId="164" fontId="13" fillId="9" borderId="76" xfId="0" applyNumberFormat="1" applyFont="1" applyFill="1" applyBorder="1" applyAlignment="1">
      <alignment horizontal="center" vertical="top"/>
    </xf>
    <xf numFmtId="164" fontId="11" fillId="9" borderId="29" xfId="0" applyNumberFormat="1" applyFont="1" applyFill="1" applyBorder="1" applyAlignment="1">
      <alignment horizontal="center" vertical="top" wrapText="1"/>
    </xf>
    <xf numFmtId="164" fontId="6" fillId="8" borderId="76" xfId="0" applyNumberFormat="1" applyFont="1" applyFill="1" applyBorder="1" applyAlignment="1">
      <alignment horizontal="center" vertical="top" wrapText="1"/>
    </xf>
    <xf numFmtId="164" fontId="11" fillId="8" borderId="36" xfId="0" applyNumberFormat="1" applyFont="1" applyFill="1" applyBorder="1" applyAlignment="1">
      <alignment horizontal="center" vertical="top" wrapText="1"/>
    </xf>
    <xf numFmtId="164" fontId="11" fillId="8" borderId="34" xfId="0" applyNumberFormat="1" applyFont="1" applyFill="1" applyBorder="1" applyAlignment="1">
      <alignment horizontal="center" vertical="top" wrapText="1"/>
    </xf>
    <xf numFmtId="164" fontId="13" fillId="3" borderId="75" xfId="0" applyNumberFormat="1" applyFont="1" applyFill="1" applyBorder="1" applyAlignment="1">
      <alignment horizontal="center" vertical="top"/>
    </xf>
    <xf numFmtId="164" fontId="6" fillId="8" borderId="14" xfId="0" applyNumberFormat="1" applyFont="1" applyFill="1" applyBorder="1" applyAlignment="1">
      <alignment horizontal="center" vertical="top"/>
    </xf>
    <xf numFmtId="164" fontId="11" fillId="8" borderId="58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164" fontId="8" fillId="8" borderId="58" xfId="0" applyNumberFormat="1" applyFont="1" applyFill="1" applyBorder="1" applyAlignment="1">
      <alignment horizontal="center" vertical="top"/>
    </xf>
    <xf numFmtId="164" fontId="11" fillId="8" borderId="14" xfId="0" applyNumberFormat="1" applyFont="1" applyFill="1" applyBorder="1" applyAlignment="1">
      <alignment horizontal="center" vertical="top"/>
    </xf>
    <xf numFmtId="164" fontId="11" fillId="8" borderId="18" xfId="0" applyNumberFormat="1" applyFont="1" applyFill="1" applyBorder="1" applyAlignment="1">
      <alignment horizontal="center" vertical="top"/>
    </xf>
    <xf numFmtId="164" fontId="11" fillId="8" borderId="41" xfId="0" applyNumberFormat="1" applyFont="1" applyFill="1" applyBorder="1" applyAlignment="1">
      <alignment horizontal="center" vertical="top"/>
    </xf>
    <xf numFmtId="164" fontId="6" fillId="8" borderId="6" xfId="0" applyNumberFormat="1" applyFont="1" applyFill="1" applyBorder="1" applyAlignment="1">
      <alignment horizontal="center" vertical="top" wrapText="1"/>
    </xf>
    <xf numFmtId="164" fontId="11" fillId="8" borderId="29" xfId="0" applyNumberFormat="1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left" vertical="top"/>
    </xf>
    <xf numFmtId="0" fontId="10" fillId="3" borderId="21" xfId="0" applyFont="1" applyFill="1" applyBorder="1" applyAlignment="1">
      <alignment horizontal="left" vertical="top"/>
    </xf>
    <xf numFmtId="0" fontId="9" fillId="3" borderId="28" xfId="0" applyFont="1" applyFill="1" applyBorder="1" applyAlignment="1">
      <alignment horizontal="left" vertical="top"/>
    </xf>
    <xf numFmtId="0" fontId="9" fillId="3" borderId="21" xfId="0" applyFont="1" applyFill="1" applyBorder="1" applyAlignment="1">
      <alignment horizontal="left" vertical="top"/>
    </xf>
    <xf numFmtId="49" fontId="10" fillId="3" borderId="28" xfId="0" applyNumberFormat="1" applyFont="1" applyFill="1" applyBorder="1" applyAlignment="1">
      <alignment horizontal="left" vertical="top"/>
    </xf>
    <xf numFmtId="49" fontId="10" fillId="3" borderId="21" xfId="0" applyNumberFormat="1" applyFont="1" applyFill="1" applyBorder="1" applyAlignment="1">
      <alignment horizontal="left" vertical="top"/>
    </xf>
    <xf numFmtId="164" fontId="22" fillId="8" borderId="10" xfId="0" applyNumberFormat="1" applyFont="1" applyFill="1" applyBorder="1" applyAlignment="1">
      <alignment horizontal="center" vertical="top"/>
    </xf>
    <xf numFmtId="164" fontId="22" fillId="8" borderId="12" xfId="0" applyNumberFormat="1" applyFont="1" applyFill="1" applyBorder="1" applyAlignment="1">
      <alignment horizontal="center" vertical="top"/>
    </xf>
    <xf numFmtId="164" fontId="22" fillId="8" borderId="11" xfId="0" applyNumberFormat="1" applyFont="1" applyFill="1" applyBorder="1" applyAlignment="1">
      <alignment horizontal="center" vertical="top"/>
    </xf>
    <xf numFmtId="164" fontId="22" fillId="8" borderId="28" xfId="0" applyNumberFormat="1" applyFont="1" applyFill="1" applyBorder="1" applyAlignment="1">
      <alignment horizontal="center" vertical="top"/>
    </xf>
    <xf numFmtId="164" fontId="22" fillId="8" borderId="51" xfId="0" applyNumberFormat="1" applyFont="1" applyFill="1" applyBorder="1" applyAlignment="1">
      <alignment horizontal="center" vertical="top"/>
    </xf>
    <xf numFmtId="164" fontId="22" fillId="8" borderId="1" xfId="0" applyNumberFormat="1" applyFont="1" applyFill="1" applyBorder="1" applyAlignment="1">
      <alignment horizontal="center" vertical="top"/>
    </xf>
    <xf numFmtId="164" fontId="22" fillId="8" borderId="0" xfId="0" applyNumberFormat="1" applyFont="1" applyFill="1" applyBorder="1" applyAlignment="1">
      <alignment horizontal="center" vertical="top"/>
    </xf>
    <xf numFmtId="164" fontId="11" fillId="8" borderId="47" xfId="0" applyNumberFormat="1" applyFont="1" applyFill="1" applyBorder="1" applyAlignment="1">
      <alignment horizontal="center" vertical="top" wrapText="1"/>
    </xf>
    <xf numFmtId="164" fontId="11" fillId="8" borderId="48" xfId="0" applyNumberFormat="1" applyFont="1" applyFill="1" applyBorder="1" applyAlignment="1">
      <alignment horizontal="center" vertical="top" wrapText="1"/>
    </xf>
    <xf numFmtId="164" fontId="11" fillId="8" borderId="64" xfId="0" applyNumberFormat="1" applyFont="1" applyFill="1" applyBorder="1" applyAlignment="1">
      <alignment horizontal="center" vertical="top"/>
    </xf>
    <xf numFmtId="164" fontId="11" fillId="8" borderId="1" xfId="0" applyNumberFormat="1" applyFont="1" applyFill="1" applyBorder="1" applyAlignment="1">
      <alignment horizontal="center" vertical="top" wrapText="1"/>
    </xf>
    <xf numFmtId="164" fontId="11" fillId="8" borderId="14" xfId="0" applyNumberFormat="1" applyFont="1" applyFill="1" applyBorder="1" applyAlignment="1">
      <alignment horizontal="center" vertical="top" wrapText="1"/>
    </xf>
    <xf numFmtId="164" fontId="11" fillId="8" borderId="76" xfId="0" applyNumberFormat="1" applyFont="1" applyFill="1" applyBorder="1" applyAlignment="1">
      <alignment horizontal="center" vertical="top"/>
    </xf>
    <xf numFmtId="164" fontId="11" fillId="8" borderId="36" xfId="0" applyNumberFormat="1" applyFont="1" applyFill="1" applyBorder="1" applyAlignment="1">
      <alignment horizontal="center" vertical="top"/>
    </xf>
    <xf numFmtId="164" fontId="8" fillId="8" borderId="56" xfId="0" applyNumberFormat="1" applyFont="1" applyFill="1" applyBorder="1" applyAlignment="1">
      <alignment horizontal="center" vertical="top"/>
    </xf>
    <xf numFmtId="164" fontId="8" fillId="8" borderId="1" xfId="0" applyNumberFormat="1" applyFont="1" applyFill="1" applyBorder="1" applyAlignment="1">
      <alignment horizontal="center" vertical="top"/>
    </xf>
    <xf numFmtId="164" fontId="8" fillId="8" borderId="38" xfId="0" applyNumberFormat="1" applyFont="1" applyFill="1" applyBorder="1" applyAlignment="1">
      <alignment horizontal="center" vertical="top"/>
    </xf>
    <xf numFmtId="164" fontId="8" fillId="8" borderId="39" xfId="0" applyNumberFormat="1" applyFont="1" applyFill="1" applyBorder="1" applyAlignment="1">
      <alignment horizontal="center" vertical="top"/>
    </xf>
    <xf numFmtId="164" fontId="8" fillId="8" borderId="45" xfId="0" applyNumberFormat="1" applyFont="1" applyFill="1" applyBorder="1" applyAlignment="1">
      <alignment horizontal="center" vertical="top"/>
    </xf>
    <xf numFmtId="164" fontId="8" fillId="8" borderId="69" xfId="0" applyNumberFormat="1" applyFont="1" applyFill="1" applyBorder="1" applyAlignment="1">
      <alignment horizontal="center" vertical="top"/>
    </xf>
    <xf numFmtId="164" fontId="8" fillId="8" borderId="43" xfId="0" applyNumberFormat="1" applyFont="1" applyFill="1" applyBorder="1" applyAlignment="1">
      <alignment horizontal="center" vertical="top"/>
    </xf>
    <xf numFmtId="164" fontId="11" fillId="8" borderId="66" xfId="0" applyNumberFormat="1" applyFont="1" applyFill="1" applyBorder="1" applyAlignment="1">
      <alignment horizontal="center" vertical="top"/>
    </xf>
    <xf numFmtId="164" fontId="7" fillId="8" borderId="49" xfId="0" applyNumberFormat="1" applyFont="1" applyFill="1" applyBorder="1" applyAlignment="1">
      <alignment horizontal="center" vertical="top"/>
    </xf>
    <xf numFmtId="164" fontId="11" fillId="4" borderId="47" xfId="0" applyNumberFormat="1" applyFont="1" applyFill="1" applyBorder="1" applyAlignment="1">
      <alignment horizontal="center" vertical="top"/>
    </xf>
    <xf numFmtId="164" fontId="11" fillId="8" borderId="69" xfId="0" applyNumberFormat="1" applyFont="1" applyFill="1" applyBorder="1" applyAlignment="1">
      <alignment horizontal="center" vertical="top"/>
    </xf>
    <xf numFmtId="164" fontId="11" fillId="9" borderId="69" xfId="0" applyNumberFormat="1" applyFont="1" applyFill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 vertical="top"/>
    </xf>
    <xf numFmtId="0" fontId="11" fillId="0" borderId="45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 wrapText="1"/>
    </xf>
    <xf numFmtId="0" fontId="11" fillId="0" borderId="51" xfId="0" applyFont="1" applyFill="1" applyBorder="1" applyAlignment="1">
      <alignment horizontal="center" vertical="top" wrapText="1"/>
    </xf>
    <xf numFmtId="0" fontId="11" fillId="0" borderId="45" xfId="0" applyFont="1" applyFill="1" applyBorder="1" applyAlignment="1">
      <alignment horizontal="center" vertical="top" wrapText="1"/>
    </xf>
    <xf numFmtId="164" fontId="11" fillId="4" borderId="80" xfId="0" applyNumberFormat="1" applyFont="1" applyFill="1" applyBorder="1" applyAlignment="1">
      <alignment horizontal="center" vertical="top"/>
    </xf>
    <xf numFmtId="164" fontId="11" fillId="4" borderId="39" xfId="0" applyNumberFormat="1" applyFont="1" applyFill="1" applyBorder="1" applyAlignment="1">
      <alignment horizontal="center" vertical="top"/>
    </xf>
    <xf numFmtId="0" fontId="11" fillId="0" borderId="52" xfId="0" applyFont="1" applyFill="1" applyBorder="1" applyAlignment="1">
      <alignment horizontal="center" vertical="top" wrapText="1"/>
    </xf>
    <xf numFmtId="0" fontId="11" fillId="0" borderId="43" xfId="0" applyFont="1" applyFill="1" applyBorder="1" applyAlignment="1">
      <alignment horizontal="center" vertical="top" wrapText="1"/>
    </xf>
    <xf numFmtId="0" fontId="11" fillId="0" borderId="55" xfId="0" applyFont="1" applyFill="1" applyBorder="1" applyAlignment="1">
      <alignment horizontal="center" vertical="top" wrapText="1"/>
    </xf>
    <xf numFmtId="164" fontId="11" fillId="0" borderId="32" xfId="0" applyNumberFormat="1" applyFont="1" applyFill="1" applyBorder="1" applyAlignment="1">
      <alignment horizontal="left" vertical="top" wrapText="1"/>
    </xf>
    <xf numFmtId="0" fontId="11" fillId="0" borderId="56" xfId="0" applyFont="1" applyFill="1" applyBorder="1" applyAlignment="1">
      <alignment horizontal="center" vertical="top"/>
    </xf>
    <xf numFmtId="164" fontId="11" fillId="4" borderId="69" xfId="0" applyNumberFormat="1" applyFont="1" applyFill="1" applyBorder="1" applyAlignment="1">
      <alignment horizontal="center" vertical="top" wrapText="1"/>
    </xf>
    <xf numFmtId="164" fontId="11" fillId="4" borderId="13" xfId="0" applyNumberFormat="1" applyFont="1" applyFill="1" applyBorder="1" applyAlignment="1">
      <alignment horizontal="center" vertical="top" wrapText="1"/>
    </xf>
    <xf numFmtId="2" fontId="11" fillId="0" borderId="16" xfId="0" applyNumberFormat="1" applyFont="1" applyFill="1" applyBorder="1" applyAlignment="1">
      <alignment vertical="top" wrapText="1"/>
    </xf>
    <xf numFmtId="0" fontId="11" fillId="0" borderId="48" xfId="0" applyFont="1" applyFill="1" applyBorder="1" applyAlignment="1">
      <alignment horizontal="center" vertical="top"/>
    </xf>
    <xf numFmtId="2" fontId="11" fillId="0" borderId="13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top"/>
    </xf>
    <xf numFmtId="0" fontId="11" fillId="0" borderId="51" xfId="0" applyFont="1" applyFill="1" applyBorder="1" applyAlignment="1">
      <alignment horizontal="center" vertical="top"/>
    </xf>
    <xf numFmtId="0" fontId="11" fillId="0" borderId="64" xfId="0" applyFont="1" applyFill="1" applyBorder="1" applyAlignment="1">
      <alignment horizontal="center" vertical="top"/>
    </xf>
    <xf numFmtId="0" fontId="11" fillId="0" borderId="76" xfId="0" applyFont="1" applyFill="1" applyBorder="1" applyAlignment="1">
      <alignment horizontal="center" vertical="top"/>
    </xf>
    <xf numFmtId="164" fontId="11" fillId="4" borderId="56" xfId="0" applyNumberFormat="1" applyFont="1" applyFill="1" applyBorder="1" applyAlignment="1">
      <alignment horizontal="center" vertical="top" wrapText="1"/>
    </xf>
    <xf numFmtId="164" fontId="11" fillId="4" borderId="77" xfId="0" applyNumberFormat="1" applyFont="1" applyFill="1" applyBorder="1" applyAlignment="1">
      <alignment horizontal="center" vertical="top" wrapText="1"/>
    </xf>
    <xf numFmtId="164" fontId="11" fillId="0" borderId="33" xfId="0" applyNumberFormat="1" applyFont="1" applyFill="1" applyBorder="1" applyAlignment="1">
      <alignment horizontal="center" vertical="top" wrapText="1"/>
    </xf>
    <xf numFmtId="164" fontId="11" fillId="0" borderId="60" xfId="0" applyNumberFormat="1" applyFont="1" applyFill="1" applyBorder="1" applyAlignment="1">
      <alignment horizontal="center" vertical="top" wrapText="1"/>
    </xf>
    <xf numFmtId="164" fontId="11" fillId="0" borderId="69" xfId="0" applyNumberFormat="1" applyFont="1" applyFill="1" applyBorder="1" applyAlignment="1">
      <alignment horizontal="center" vertical="top" wrapText="1"/>
    </xf>
    <xf numFmtId="164" fontId="11" fillId="0" borderId="56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Fill="1" applyBorder="1" applyAlignment="1">
      <alignment horizontal="center" vertical="top" wrapText="1"/>
    </xf>
    <xf numFmtId="164" fontId="11" fillId="0" borderId="28" xfId="0" applyNumberFormat="1" applyFont="1" applyFill="1" applyBorder="1" applyAlignment="1">
      <alignment horizontal="center" vertical="top" wrapText="1"/>
    </xf>
    <xf numFmtId="164" fontId="11" fillId="0" borderId="54" xfId="0" applyNumberFormat="1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/>
    </xf>
    <xf numFmtId="164" fontId="11" fillId="0" borderId="26" xfId="0" applyNumberFormat="1" applyFont="1" applyBorder="1" applyAlignment="1">
      <alignment horizontal="left" vertical="top" wrapText="1"/>
    </xf>
    <xf numFmtId="164" fontId="11" fillId="0" borderId="13" xfId="0" applyNumberFormat="1" applyFont="1" applyBorder="1" applyAlignment="1">
      <alignment horizontal="left" vertical="top" wrapText="1"/>
    </xf>
    <xf numFmtId="0" fontId="11" fillId="0" borderId="54" xfId="0" applyFont="1" applyFill="1" applyBorder="1" applyAlignment="1">
      <alignment horizontal="center" vertical="top" wrapText="1"/>
    </xf>
    <xf numFmtId="0" fontId="8" fillId="0" borderId="46" xfId="0" applyFont="1" applyFill="1" applyBorder="1" applyAlignment="1">
      <alignment horizontal="center" vertical="top" wrapText="1"/>
    </xf>
    <xf numFmtId="0" fontId="8" fillId="0" borderId="47" xfId="0" applyFont="1" applyFill="1" applyBorder="1" applyAlignment="1">
      <alignment horizontal="center" vertical="top" wrapText="1"/>
    </xf>
    <xf numFmtId="0" fontId="8" fillId="0" borderId="48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164" fontId="11" fillId="0" borderId="16" xfId="0" applyNumberFormat="1" applyFont="1" applyBorder="1" applyAlignment="1">
      <alignment horizontal="left" vertical="top" wrapText="1"/>
    </xf>
    <xf numFmtId="2" fontId="11" fillId="0" borderId="26" xfId="0" applyNumberFormat="1" applyFont="1" applyFill="1" applyBorder="1" applyAlignment="1">
      <alignment vertical="top" wrapText="1"/>
    </xf>
    <xf numFmtId="0" fontId="11" fillId="4" borderId="80" xfId="0" applyFont="1" applyFill="1" applyBorder="1" applyAlignment="1">
      <alignment horizontal="center" vertical="top"/>
    </xf>
    <xf numFmtId="0" fontId="11" fillId="4" borderId="39" xfId="0" applyFont="1" applyFill="1" applyBorder="1" applyAlignment="1">
      <alignment horizontal="center" vertical="top"/>
    </xf>
    <xf numFmtId="0" fontId="11" fillId="4" borderId="79" xfId="0" applyFont="1" applyFill="1" applyBorder="1" applyAlignment="1">
      <alignment horizontal="center" vertical="top"/>
    </xf>
    <xf numFmtId="0" fontId="11" fillId="0" borderId="32" xfId="0" applyFont="1" applyFill="1" applyBorder="1" applyAlignment="1">
      <alignment horizontal="center" vertical="top"/>
    </xf>
    <xf numFmtId="0" fontId="11" fillId="0" borderId="58" xfId="0" applyFont="1" applyFill="1" applyBorder="1" applyAlignment="1">
      <alignment horizontal="center" vertical="top"/>
    </xf>
    <xf numFmtId="0" fontId="11" fillId="0" borderId="80" xfId="0" applyFont="1" applyFill="1" applyBorder="1" applyAlignment="1">
      <alignment horizontal="center" vertical="top"/>
    </xf>
    <xf numFmtId="0" fontId="11" fillId="0" borderId="66" xfId="0" applyFont="1" applyFill="1" applyBorder="1" applyAlignment="1">
      <alignment horizontal="center" vertical="top"/>
    </xf>
    <xf numFmtId="0" fontId="11" fillId="0" borderId="36" xfId="0" applyFont="1" applyFill="1" applyBorder="1" applyAlignment="1">
      <alignment horizontal="center" vertical="top"/>
    </xf>
    <xf numFmtId="164" fontId="11" fillId="0" borderId="13" xfId="0" applyNumberFormat="1" applyFont="1" applyFill="1" applyBorder="1" applyAlignment="1">
      <alignment horizontal="center" vertical="top" wrapText="1"/>
    </xf>
    <xf numFmtId="164" fontId="11" fillId="0" borderId="26" xfId="0" applyNumberFormat="1" applyFont="1" applyFill="1" applyBorder="1" applyAlignment="1">
      <alignment horizontal="center" vertical="top" wrapText="1"/>
    </xf>
    <xf numFmtId="164" fontId="11" fillId="0" borderId="79" xfId="0" applyNumberFormat="1" applyFont="1" applyFill="1" applyBorder="1" applyAlignment="1">
      <alignment horizontal="center" vertical="top" wrapText="1"/>
    </xf>
    <xf numFmtId="0" fontId="11" fillId="0" borderId="38" xfId="0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/>
    </xf>
    <xf numFmtId="164" fontId="11" fillId="4" borderId="56" xfId="0" applyNumberFormat="1" applyFont="1" applyFill="1" applyBorder="1" applyAlignment="1">
      <alignment horizontal="center" vertical="top"/>
    </xf>
    <xf numFmtId="164" fontId="11" fillId="4" borderId="13" xfId="0" applyNumberFormat="1" applyFont="1" applyFill="1" applyBorder="1" applyAlignment="1">
      <alignment horizontal="center" vertical="top"/>
    </xf>
    <xf numFmtId="164" fontId="11" fillId="4" borderId="54" xfId="0" applyNumberFormat="1" applyFont="1" applyFill="1" applyBorder="1" applyAlignment="1">
      <alignment horizontal="center" vertical="top"/>
    </xf>
    <xf numFmtId="164" fontId="11" fillId="4" borderId="25" xfId="0" applyNumberFormat="1" applyFont="1" applyFill="1" applyBorder="1" applyAlignment="1">
      <alignment horizontal="center" vertical="top"/>
    </xf>
    <xf numFmtId="164" fontId="11" fillId="4" borderId="37" xfId="0" applyNumberFormat="1" applyFont="1" applyFill="1" applyBorder="1" applyAlignment="1">
      <alignment horizontal="center" vertical="top" wrapText="1"/>
    </xf>
    <xf numFmtId="164" fontId="13" fillId="9" borderId="54" xfId="0" applyNumberFormat="1" applyFont="1" applyFill="1" applyBorder="1" applyAlignment="1">
      <alignment horizontal="center" vertical="top"/>
    </xf>
    <xf numFmtId="164" fontId="8" fillId="9" borderId="80" xfId="0" applyNumberFormat="1" applyFont="1" applyFill="1" applyBorder="1" applyAlignment="1">
      <alignment horizontal="center" vertical="top"/>
    </xf>
    <xf numFmtId="164" fontId="8" fillId="8" borderId="46" xfId="0" applyNumberFormat="1" applyFont="1" applyFill="1" applyBorder="1" applyAlignment="1">
      <alignment horizontal="center" vertical="top"/>
    </xf>
    <xf numFmtId="164" fontId="8" fillId="9" borderId="46" xfId="0" applyNumberFormat="1" applyFont="1" applyFill="1" applyBorder="1" applyAlignment="1">
      <alignment horizontal="center" vertical="top"/>
    </xf>
    <xf numFmtId="164" fontId="11" fillId="0" borderId="16" xfId="0" applyNumberFormat="1" applyFont="1" applyBorder="1" applyAlignment="1">
      <alignment horizontal="center" vertical="top"/>
    </xf>
    <xf numFmtId="164" fontId="11" fillId="0" borderId="77" xfId="0" applyNumberFormat="1" applyFont="1" applyBorder="1" applyAlignment="1">
      <alignment horizontal="center" vertical="top"/>
    </xf>
    <xf numFmtId="2" fontId="11" fillId="0" borderId="77" xfId="0" applyNumberFormat="1" applyFont="1" applyFill="1" applyBorder="1" applyAlignment="1">
      <alignment vertical="top" wrapText="1"/>
    </xf>
    <xf numFmtId="2" fontId="11" fillId="0" borderId="79" xfId="0" applyNumberFormat="1" applyFont="1" applyFill="1" applyBorder="1" applyAlignment="1">
      <alignment vertical="top" wrapText="1"/>
    </xf>
    <xf numFmtId="164" fontId="13" fillId="9" borderId="55" xfId="0" applyNumberFormat="1" applyFont="1" applyFill="1" applyBorder="1" applyAlignment="1">
      <alignment horizontal="center" vertical="top"/>
    </xf>
    <xf numFmtId="0" fontId="11" fillId="0" borderId="13" xfId="0" applyNumberFormat="1" applyFont="1" applyFill="1" applyBorder="1" applyAlignment="1">
      <alignment vertical="top" wrapText="1"/>
    </xf>
    <xf numFmtId="0" fontId="11" fillId="0" borderId="64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top" wrapText="1"/>
    </xf>
    <xf numFmtId="0" fontId="11" fillId="0" borderId="51" xfId="0" applyNumberFormat="1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vertical="top" wrapText="1"/>
    </xf>
    <xf numFmtId="164" fontId="11" fillId="0" borderId="26" xfId="0" applyNumberFormat="1" applyFont="1" applyFill="1" applyBorder="1" applyAlignment="1">
      <alignment vertical="top" wrapText="1"/>
    </xf>
    <xf numFmtId="164" fontId="11" fillId="0" borderId="0" xfId="0" applyNumberFormat="1" applyFont="1" applyFill="1" applyBorder="1" applyAlignment="1">
      <alignment horizontal="center" vertical="top"/>
    </xf>
    <xf numFmtId="0" fontId="11" fillId="0" borderId="46" xfId="0" applyNumberFormat="1" applyFont="1" applyFill="1" applyBorder="1" applyAlignment="1">
      <alignment horizontal="center" vertical="top"/>
    </xf>
    <xf numFmtId="0" fontId="11" fillId="0" borderId="38" xfId="0" applyNumberFormat="1" applyFont="1" applyFill="1" applyBorder="1" applyAlignment="1">
      <alignment horizontal="center" vertical="top"/>
    </xf>
    <xf numFmtId="0" fontId="11" fillId="0" borderId="69" xfId="0" applyFont="1" applyFill="1" applyBorder="1" applyAlignment="1">
      <alignment vertical="top" wrapText="1"/>
    </xf>
    <xf numFmtId="1" fontId="11" fillId="0" borderId="10" xfId="0" applyNumberFormat="1" applyFont="1" applyFill="1" applyBorder="1" applyAlignment="1">
      <alignment vertical="top"/>
    </xf>
    <xf numFmtId="1" fontId="11" fillId="0" borderId="12" xfId="0" applyNumberFormat="1" applyFont="1" applyFill="1" applyBorder="1" applyAlignment="1">
      <alignment vertical="top"/>
    </xf>
    <xf numFmtId="1" fontId="11" fillId="0" borderId="34" xfId="0" applyNumberFormat="1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2" xfId="0" applyFont="1" applyFill="1" applyBorder="1" applyAlignment="1">
      <alignment horizontal="center" vertical="center" textRotation="90" wrapText="1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3" borderId="6" xfId="0" applyNumberFormat="1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top"/>
    </xf>
    <xf numFmtId="164" fontId="8" fillId="4" borderId="65" xfId="0" applyNumberFormat="1" applyFont="1" applyFill="1" applyBorder="1" applyAlignment="1">
      <alignment horizontal="center" vertical="top"/>
    </xf>
    <xf numFmtId="164" fontId="11" fillId="4" borderId="7" xfId="0" applyNumberFormat="1" applyFont="1" applyFill="1" applyBorder="1" applyAlignment="1">
      <alignment horizontal="center" vertical="top"/>
    </xf>
    <xf numFmtId="164" fontId="11" fillId="4" borderId="6" xfId="0" applyNumberFormat="1" applyFont="1" applyFill="1" applyBorder="1" applyAlignment="1">
      <alignment horizontal="center" vertical="top"/>
    </xf>
    <xf numFmtId="164" fontId="11" fillId="4" borderId="9" xfId="0" applyNumberFormat="1" applyFont="1" applyFill="1" applyBorder="1" applyAlignment="1">
      <alignment horizontal="center" vertical="top"/>
    </xf>
    <xf numFmtId="49" fontId="7" fillId="3" borderId="11" xfId="0" applyNumberFormat="1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164" fontId="8" fillId="4" borderId="45" xfId="0" applyNumberFormat="1" applyFont="1" applyFill="1" applyBorder="1" applyAlignment="1">
      <alignment horizontal="center" vertical="top"/>
    </xf>
    <xf numFmtId="164" fontId="8" fillId="4" borderId="1" xfId="0" applyNumberFormat="1" applyFont="1" applyFill="1" applyBorder="1" applyAlignment="1">
      <alignment horizontal="center" vertical="top"/>
    </xf>
    <xf numFmtId="164" fontId="11" fillId="4" borderId="1" xfId="0" applyNumberFormat="1" applyFont="1" applyFill="1" applyBorder="1" applyAlignment="1">
      <alignment horizontal="center" vertical="top"/>
    </xf>
    <xf numFmtId="164" fontId="11" fillId="4" borderId="14" xfId="0" applyNumberFormat="1" applyFont="1" applyFill="1" applyBorder="1" applyAlignment="1">
      <alignment horizontal="center" vertical="top"/>
    </xf>
    <xf numFmtId="164" fontId="11" fillId="4" borderId="76" xfId="0" applyNumberFormat="1" applyFont="1" applyFill="1" applyBorder="1" applyAlignment="1">
      <alignment horizontal="center" vertical="top"/>
    </xf>
    <xf numFmtId="164" fontId="11" fillId="4" borderId="69" xfId="0" applyNumberFormat="1" applyFont="1" applyFill="1" applyBorder="1" applyAlignment="1">
      <alignment horizontal="center" vertical="top"/>
    </xf>
    <xf numFmtId="0" fontId="11" fillId="0" borderId="28" xfId="0" applyFont="1" applyBorder="1" applyAlignment="1">
      <alignment vertical="top"/>
    </xf>
    <xf numFmtId="164" fontId="8" fillId="4" borderId="10" xfId="0" applyNumberFormat="1" applyFont="1" applyFill="1" applyBorder="1" applyAlignment="1">
      <alignment horizontal="center" vertical="top"/>
    </xf>
    <xf numFmtId="164" fontId="8" fillId="4" borderId="12" xfId="0" applyNumberFormat="1" applyFont="1" applyFill="1" applyBorder="1" applyAlignment="1">
      <alignment horizontal="center" vertical="top"/>
    </xf>
    <xf numFmtId="164" fontId="11" fillId="4" borderId="12" xfId="0" applyNumberFormat="1" applyFont="1" applyFill="1" applyBorder="1" applyAlignment="1">
      <alignment horizontal="center" vertical="top"/>
    </xf>
    <xf numFmtId="164" fontId="11" fillId="4" borderId="11" xfId="0" applyNumberFormat="1" applyFont="1" applyFill="1" applyBorder="1" applyAlignment="1">
      <alignment horizontal="center" vertical="top"/>
    </xf>
    <xf numFmtId="164" fontId="11" fillId="4" borderId="15" xfId="0" applyNumberFormat="1" applyFont="1" applyFill="1" applyBorder="1" applyAlignment="1">
      <alignment horizontal="center" vertical="top"/>
    </xf>
    <xf numFmtId="0" fontId="7" fillId="9" borderId="62" xfId="0" applyFont="1" applyFill="1" applyBorder="1" applyAlignment="1">
      <alignment horizontal="center" vertical="top"/>
    </xf>
    <xf numFmtId="0" fontId="7" fillId="9" borderId="40" xfId="0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0" fontId="11" fillId="0" borderId="20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164" fontId="8" fillId="0" borderId="80" xfId="0" applyNumberFormat="1" applyFont="1" applyFill="1" applyBorder="1" applyAlignment="1">
      <alignment horizontal="center" vertical="top"/>
    </xf>
    <xf numFmtId="164" fontId="8" fillId="0" borderId="66" xfId="0" applyNumberFormat="1" applyFont="1" applyFill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0" fontId="11" fillId="8" borderId="9" xfId="0" applyFont="1" applyFill="1" applyBorder="1" applyAlignment="1">
      <alignment vertical="top" wrapText="1"/>
    </xf>
    <xf numFmtId="0" fontId="11" fillId="0" borderId="9" xfId="0" applyFont="1" applyBorder="1" applyAlignment="1">
      <alignment horizontal="center" vertical="top"/>
    </xf>
    <xf numFmtId="164" fontId="8" fillId="0" borderId="39" xfId="0" applyNumberFormat="1" applyFont="1" applyFill="1" applyBorder="1" applyAlignment="1">
      <alignment horizontal="center" vertical="top"/>
    </xf>
    <xf numFmtId="0" fontId="11" fillId="8" borderId="15" xfId="0" applyFont="1" applyFill="1" applyBorder="1" applyAlignment="1">
      <alignment vertical="top" wrapText="1"/>
    </xf>
    <xf numFmtId="49" fontId="7" fillId="0" borderId="7" xfId="0" applyNumberFormat="1" applyFont="1" applyBorder="1" applyAlignment="1">
      <alignment vertical="top"/>
    </xf>
    <xf numFmtId="49" fontId="11" fillId="0" borderId="7" xfId="0" applyNumberFormat="1" applyFont="1" applyBorder="1" applyAlignment="1">
      <alignment horizontal="center" vertical="top"/>
    </xf>
    <xf numFmtId="0" fontId="13" fillId="0" borderId="8" xfId="0" applyNumberFormat="1" applyFont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 wrapText="1"/>
    </xf>
    <xf numFmtId="49" fontId="7" fillId="0" borderId="19" xfId="0" applyNumberFormat="1" applyFont="1" applyBorder="1" applyAlignment="1">
      <alignment vertical="top"/>
    </xf>
    <xf numFmtId="49" fontId="11" fillId="0" borderId="19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center" vertical="top"/>
    </xf>
    <xf numFmtId="0" fontId="13" fillId="9" borderId="62" xfId="0" applyFont="1" applyFill="1" applyBorder="1" applyAlignment="1">
      <alignment horizontal="center" vertical="top" wrapText="1"/>
    </xf>
    <xf numFmtId="164" fontId="7" fillId="3" borderId="3" xfId="0" applyNumberFormat="1" applyFont="1" applyFill="1" applyBorder="1" applyAlignment="1">
      <alignment horizontal="center" vertical="top"/>
    </xf>
    <xf numFmtId="164" fontId="7" fillId="3" borderId="23" xfId="0" applyNumberFormat="1" applyFont="1" applyFill="1" applyBorder="1" applyAlignment="1">
      <alignment horizontal="center" vertical="top"/>
    </xf>
    <xf numFmtId="164" fontId="7" fillId="3" borderId="4" xfId="0" applyNumberFormat="1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 textRotation="180" wrapText="1"/>
    </xf>
    <xf numFmtId="49" fontId="8" fillId="0" borderId="7" xfId="0" applyNumberFormat="1" applyFont="1" applyBorder="1" applyAlignment="1">
      <alignment horizontal="center" vertical="top" wrapText="1"/>
    </xf>
    <xf numFmtId="49" fontId="13" fillId="0" borderId="12" xfId="0" applyNumberFormat="1" applyFont="1" applyBorder="1" applyAlignment="1">
      <alignment horizontal="center" vertical="top"/>
    </xf>
    <xf numFmtId="0" fontId="8" fillId="4" borderId="15" xfId="0" applyFont="1" applyFill="1" applyBorder="1" applyAlignment="1">
      <alignment vertical="top" wrapText="1"/>
    </xf>
    <xf numFmtId="0" fontId="13" fillId="0" borderId="28" xfId="0" applyFont="1" applyFill="1" applyBorder="1" applyAlignment="1">
      <alignment horizontal="center" vertical="top" textRotation="180" wrapText="1"/>
    </xf>
    <xf numFmtId="49" fontId="8" fillId="0" borderId="12" xfId="0" applyNumberFormat="1" applyFont="1" applyBorder="1" applyAlignment="1">
      <alignment horizontal="center" vertical="top" wrapText="1"/>
    </xf>
    <xf numFmtId="0" fontId="13" fillId="0" borderId="21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vertical="top"/>
    </xf>
    <xf numFmtId="49" fontId="11" fillId="0" borderId="12" xfId="0" applyNumberFormat="1" applyFont="1" applyBorder="1" applyAlignment="1">
      <alignment horizontal="center" vertical="top"/>
    </xf>
    <xf numFmtId="164" fontId="13" fillId="9" borderId="59" xfId="0" applyNumberFormat="1" applyFont="1" applyFill="1" applyBorder="1" applyAlignment="1">
      <alignment horizontal="center" vertical="top"/>
    </xf>
    <xf numFmtId="164" fontId="13" fillId="9" borderId="61" xfId="0" applyNumberFormat="1" applyFont="1" applyFill="1" applyBorder="1" applyAlignment="1">
      <alignment horizontal="center" vertical="top"/>
    </xf>
    <xf numFmtId="164" fontId="13" fillId="9" borderId="67" xfId="0" applyNumberFormat="1" applyFont="1" applyFill="1" applyBorder="1" applyAlignment="1">
      <alignment horizontal="center" vertical="top"/>
    </xf>
    <xf numFmtId="49" fontId="8" fillId="6" borderId="0" xfId="0" applyNumberFormat="1" applyFont="1" applyFill="1" applyBorder="1" applyAlignment="1">
      <alignment horizontal="center" vertical="top"/>
    </xf>
    <xf numFmtId="0" fontId="8" fillId="4" borderId="25" xfId="0" applyFont="1" applyFill="1" applyBorder="1" applyAlignment="1">
      <alignment vertical="top" wrapText="1"/>
    </xf>
    <xf numFmtId="0" fontId="13" fillId="0" borderId="28" xfId="0" applyFont="1" applyFill="1" applyBorder="1" applyAlignment="1">
      <alignment horizontal="center" vertical="top" wrapText="1"/>
    </xf>
    <xf numFmtId="0" fontId="8" fillId="0" borderId="15" xfId="0" applyNumberFormat="1" applyFont="1" applyBorder="1" applyAlignment="1">
      <alignment vertical="center" textRotation="90" wrapText="1"/>
    </xf>
    <xf numFmtId="0" fontId="8" fillId="4" borderId="26" xfId="0" applyFont="1" applyFill="1" applyBorder="1" applyAlignment="1">
      <alignment vertical="top" wrapText="1"/>
    </xf>
    <xf numFmtId="49" fontId="13" fillId="0" borderId="11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vertical="top" wrapText="1"/>
    </xf>
    <xf numFmtId="0" fontId="7" fillId="9" borderId="25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textRotation="180" wrapText="1"/>
    </xf>
    <xf numFmtId="0" fontId="7" fillId="0" borderId="0" xfId="0" applyNumberFormat="1" applyFont="1" applyBorder="1" applyAlignment="1">
      <alignment horizontal="center" vertical="top"/>
    </xf>
    <xf numFmtId="0" fontId="11" fillId="0" borderId="15" xfId="0" applyNumberFormat="1" applyFont="1" applyBorder="1" applyAlignment="1">
      <alignment horizontal="center" vertical="center" textRotation="90" wrapText="1"/>
    </xf>
    <xf numFmtId="164" fontId="13" fillId="9" borderId="2" xfId="0" applyNumberFormat="1" applyFont="1" applyFill="1" applyBorder="1" applyAlignment="1">
      <alignment horizontal="center" vertical="top"/>
    </xf>
    <xf numFmtId="164" fontId="13" fillId="9" borderId="41" xfId="0" applyNumberFormat="1" applyFont="1" applyFill="1" applyBorder="1" applyAlignment="1">
      <alignment horizontal="center" vertical="top"/>
    </xf>
    <xf numFmtId="49" fontId="7" fillId="0" borderId="12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textRotation="180" wrapText="1"/>
    </xf>
    <xf numFmtId="49" fontId="8" fillId="0" borderId="12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/>
    </xf>
    <xf numFmtId="0" fontId="11" fillId="0" borderId="28" xfId="0" applyFont="1" applyFill="1" applyBorder="1" applyAlignment="1">
      <alignment vertical="top"/>
    </xf>
    <xf numFmtId="0" fontId="11" fillId="0" borderId="15" xfId="0" applyFont="1" applyBorder="1" applyAlignment="1">
      <alignment vertical="top"/>
    </xf>
    <xf numFmtId="49" fontId="13" fillId="6" borderId="11" xfId="0" applyNumberFormat="1" applyFont="1" applyFill="1" applyBorder="1" applyAlignment="1">
      <alignment horizontal="center" vertical="top"/>
    </xf>
    <xf numFmtId="49" fontId="8" fillId="0" borderId="39" xfId="0" applyNumberFormat="1" applyFont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top"/>
    </xf>
    <xf numFmtId="0" fontId="8" fillId="0" borderId="15" xfId="0" applyNumberFormat="1" applyFont="1" applyFill="1" applyBorder="1" applyAlignment="1">
      <alignment horizontal="center" vertical="center" textRotation="90" wrapText="1"/>
    </xf>
    <xf numFmtId="0" fontId="8" fillId="6" borderId="0" xfId="0" applyNumberFormat="1" applyFont="1" applyFill="1" applyBorder="1" applyAlignment="1">
      <alignment horizontal="center" vertical="top"/>
    </xf>
    <xf numFmtId="164" fontId="7" fillId="6" borderId="56" xfId="0" applyNumberFormat="1" applyFont="1" applyFill="1" applyBorder="1" applyAlignment="1">
      <alignment horizontal="center" vertical="top"/>
    </xf>
    <xf numFmtId="49" fontId="13" fillId="4" borderId="8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top" wrapText="1"/>
    </xf>
    <xf numFmtId="164" fontId="11" fillId="4" borderId="5" xfId="0" applyNumberFormat="1" applyFont="1" applyFill="1" applyBorder="1" applyAlignment="1">
      <alignment horizontal="center" vertical="top"/>
    </xf>
    <xf numFmtId="164" fontId="11" fillId="4" borderId="35" xfId="0" applyNumberFormat="1" applyFont="1" applyFill="1" applyBorder="1" applyAlignment="1">
      <alignment horizontal="center" vertical="top"/>
    </xf>
    <xf numFmtId="49" fontId="13" fillId="4" borderId="20" xfId="0" applyNumberFormat="1" applyFont="1" applyFill="1" applyBorder="1" applyAlignment="1">
      <alignment horizontal="center" vertical="top"/>
    </xf>
    <xf numFmtId="49" fontId="7" fillId="4" borderId="8" xfId="0" applyNumberFormat="1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vertical="top" wrapText="1"/>
    </xf>
    <xf numFmtId="0" fontId="7" fillId="0" borderId="5" xfId="0" applyFont="1" applyFill="1" applyBorder="1" applyAlignment="1">
      <alignment vertical="center" textRotation="90" wrapText="1"/>
    </xf>
    <xf numFmtId="164" fontId="11" fillId="8" borderId="8" xfId="0" applyNumberFormat="1" applyFont="1" applyFill="1" applyBorder="1" applyAlignment="1">
      <alignment horizontal="center" vertical="top" wrapText="1"/>
    </xf>
    <xf numFmtId="164" fontId="11" fillId="8" borderId="7" xfId="0" applyNumberFormat="1" applyFont="1" applyFill="1" applyBorder="1" applyAlignment="1">
      <alignment horizontal="center" vertical="top" wrapText="1"/>
    </xf>
    <xf numFmtId="164" fontId="11" fillId="4" borderId="24" xfId="0" applyNumberFormat="1" applyFont="1" applyFill="1" applyBorder="1" applyAlignment="1">
      <alignment horizontal="center" vertical="top" wrapText="1"/>
    </xf>
    <xf numFmtId="164" fontId="11" fillId="4" borderId="7" xfId="0" applyNumberFormat="1" applyFont="1" applyFill="1" applyBorder="1" applyAlignment="1">
      <alignment horizontal="center" vertical="top" wrapText="1"/>
    </xf>
    <xf numFmtId="164" fontId="11" fillId="9" borderId="8" xfId="0" applyNumberFormat="1" applyFont="1" applyFill="1" applyBorder="1" applyAlignment="1">
      <alignment horizontal="center" vertical="top" wrapText="1"/>
    </xf>
    <xf numFmtId="164" fontId="11" fillId="9" borderId="7" xfId="0" applyNumberFormat="1" applyFont="1" applyFill="1" applyBorder="1" applyAlignment="1">
      <alignment horizontal="center" vertical="top" wrapText="1"/>
    </xf>
    <xf numFmtId="49" fontId="8" fillId="4" borderId="0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center" textRotation="90" wrapText="1"/>
    </xf>
    <xf numFmtId="0" fontId="11" fillId="0" borderId="13" xfId="0" applyFont="1" applyBorder="1" applyAlignment="1">
      <alignment horizontal="center" vertical="top" wrapText="1"/>
    </xf>
    <xf numFmtId="164" fontId="11" fillId="8" borderId="69" xfId="0" applyNumberFormat="1" applyFont="1" applyFill="1" applyBorder="1" applyAlignment="1">
      <alignment horizontal="center" vertical="top" wrapText="1"/>
    </xf>
    <xf numFmtId="164" fontId="8" fillId="4" borderId="56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top" wrapText="1"/>
    </xf>
    <xf numFmtId="164" fontId="11" fillId="4" borderId="1" xfId="0" applyNumberFormat="1" applyFont="1" applyFill="1" applyBorder="1" applyAlignment="1">
      <alignment horizontal="center" vertical="top" wrapText="1"/>
    </xf>
    <xf numFmtId="164" fontId="11" fillId="9" borderId="69" xfId="0" applyNumberFormat="1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center" vertical="top" wrapText="1"/>
    </xf>
    <xf numFmtId="164" fontId="11" fillId="8" borderId="60" xfId="0" applyNumberFormat="1" applyFont="1" applyFill="1" applyBorder="1" applyAlignment="1">
      <alignment horizontal="center" vertical="top" wrapText="1"/>
    </xf>
    <xf numFmtId="164" fontId="11" fillId="8" borderId="43" xfId="0" applyNumberFormat="1" applyFont="1" applyFill="1" applyBorder="1" applyAlignment="1">
      <alignment horizontal="center" vertical="top" wrapText="1"/>
    </xf>
    <xf numFmtId="164" fontId="11" fillId="4" borderId="43" xfId="0" applyNumberFormat="1" applyFont="1" applyFill="1" applyBorder="1" applyAlignment="1">
      <alignment horizontal="center" vertical="top" wrapText="1"/>
    </xf>
    <xf numFmtId="164" fontId="11" fillId="9" borderId="60" xfId="0" applyNumberFormat="1" applyFont="1" applyFill="1" applyBorder="1" applyAlignment="1">
      <alignment horizontal="center" vertical="top" wrapText="1"/>
    </xf>
    <xf numFmtId="164" fontId="11" fillId="9" borderId="43" xfId="0" applyNumberFormat="1" applyFont="1" applyFill="1" applyBorder="1" applyAlignment="1">
      <alignment horizontal="center" vertical="top" wrapText="1"/>
    </xf>
    <xf numFmtId="49" fontId="8" fillId="4" borderId="51" xfId="0" applyNumberFormat="1" applyFont="1" applyFill="1" applyBorder="1" applyAlignment="1">
      <alignment horizontal="center" vertical="top" wrapText="1"/>
    </xf>
    <xf numFmtId="0" fontId="11" fillId="8" borderId="25" xfId="0" applyFont="1" applyFill="1" applyBorder="1" applyAlignment="1">
      <alignment horizontal="center" vertical="top" wrapText="1"/>
    </xf>
    <xf numFmtId="164" fontId="11" fillId="8" borderId="54" xfId="0" applyNumberFormat="1" applyFont="1" applyFill="1" applyBorder="1" applyAlignment="1">
      <alignment horizontal="center" vertical="top" wrapText="1"/>
    </xf>
    <xf numFmtId="164" fontId="11" fillId="9" borderId="54" xfId="0" applyNumberFormat="1" applyFont="1" applyFill="1" applyBorder="1" applyAlignment="1">
      <alignment horizontal="center" vertical="top" wrapText="1"/>
    </xf>
    <xf numFmtId="49" fontId="7" fillId="2" borderId="17" xfId="0" applyNumberFormat="1" applyFont="1" applyFill="1" applyBorder="1" applyAlignment="1">
      <alignment vertical="top" wrapText="1"/>
    </xf>
    <xf numFmtId="49" fontId="7" fillId="0" borderId="19" xfId="0" applyNumberFormat="1" applyFont="1" applyBorder="1" applyAlignment="1">
      <alignment vertical="top" wrapText="1"/>
    </xf>
    <xf numFmtId="0" fontId="7" fillId="0" borderId="17" xfId="0" applyFont="1" applyFill="1" applyBorder="1" applyAlignment="1">
      <alignment vertical="center" textRotation="90" wrapText="1"/>
    </xf>
    <xf numFmtId="0" fontId="11" fillId="0" borderId="19" xfId="0" applyFont="1" applyBorder="1" applyAlignment="1">
      <alignment vertical="top" wrapText="1"/>
    </xf>
    <xf numFmtId="164" fontId="11" fillId="4" borderId="8" xfId="0" applyNumberFormat="1" applyFont="1" applyFill="1" applyBorder="1" applyAlignment="1">
      <alignment horizontal="center" vertical="top"/>
    </xf>
    <xf numFmtId="49" fontId="7" fillId="4" borderId="20" xfId="0" applyNumberFormat="1" applyFont="1" applyFill="1" applyBorder="1" applyAlignment="1">
      <alignment horizontal="center" vertical="top" wrapText="1"/>
    </xf>
    <xf numFmtId="164" fontId="13" fillId="9" borderId="63" xfId="0" applyNumberFormat="1" applyFont="1" applyFill="1" applyBorder="1" applyAlignment="1">
      <alignment horizontal="center" vertical="top"/>
    </xf>
    <xf numFmtId="164" fontId="13" fillId="9" borderId="42" xfId="0" applyNumberFormat="1" applyFont="1" applyFill="1" applyBorder="1" applyAlignment="1">
      <alignment horizontal="center" vertical="top"/>
    </xf>
    <xf numFmtId="49" fontId="7" fillId="4" borderId="8" xfId="0" applyNumberFormat="1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49" fontId="13" fillId="0" borderId="22" xfId="0" applyNumberFormat="1" applyFont="1" applyFill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164" fontId="8" fillId="4" borderId="9" xfId="0" applyNumberFormat="1" applyFont="1" applyFill="1" applyBorder="1" applyAlignment="1">
      <alignment horizontal="center" vertical="top" wrapText="1"/>
    </xf>
    <xf numFmtId="49" fontId="7" fillId="4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/>
    </xf>
    <xf numFmtId="49" fontId="13" fillId="0" borderId="21" xfId="0" applyNumberFormat="1" applyFont="1" applyFill="1" applyBorder="1" applyAlignment="1">
      <alignment horizontal="center" vertical="top" wrapText="1"/>
    </xf>
    <xf numFmtId="164" fontId="8" fillId="4" borderId="13" xfId="0" applyNumberFormat="1" applyFont="1" applyFill="1" applyBorder="1" applyAlignment="1">
      <alignment horizontal="center" vertical="top" wrapText="1"/>
    </xf>
    <xf numFmtId="164" fontId="8" fillId="4" borderId="76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 wrapText="1"/>
    </xf>
    <xf numFmtId="164" fontId="8" fillId="0" borderId="38" xfId="0" applyNumberFormat="1" applyFont="1" applyFill="1" applyBorder="1" applyAlignment="1">
      <alignment horizontal="center" vertical="top"/>
    </xf>
    <xf numFmtId="164" fontId="11" fillId="4" borderId="0" xfId="0" applyNumberFormat="1" applyFont="1" applyFill="1" applyBorder="1" applyAlignment="1">
      <alignment horizontal="center" vertical="top"/>
    </xf>
    <xf numFmtId="0" fontId="15" fillId="0" borderId="0" xfId="0" applyFont="1" applyBorder="1" applyAlignment="1">
      <alignment horizontal="center" wrapText="1"/>
    </xf>
    <xf numFmtId="0" fontId="15" fillId="0" borderId="12" xfId="0" applyFont="1" applyBorder="1" applyAlignment="1">
      <alignment horizontal="center" vertical="top"/>
    </xf>
    <xf numFmtId="0" fontId="13" fillId="0" borderId="21" xfId="0" applyFont="1" applyBorder="1" applyAlignment="1">
      <alignment horizontal="center" vertical="top" wrapText="1"/>
    </xf>
    <xf numFmtId="164" fontId="8" fillId="0" borderId="52" xfId="0" applyNumberFormat="1" applyFont="1" applyFill="1" applyBorder="1" applyAlignment="1">
      <alignment horizontal="center" vertical="top"/>
    </xf>
    <xf numFmtId="164" fontId="8" fillId="0" borderId="43" xfId="0" applyNumberFormat="1" applyFont="1" applyFill="1" applyBorder="1" applyAlignment="1">
      <alignment horizontal="center" vertical="top"/>
    </xf>
    <xf numFmtId="164" fontId="11" fillId="4" borderId="55" xfId="0" applyNumberFormat="1" applyFont="1" applyFill="1" applyBorder="1" applyAlignment="1">
      <alignment horizontal="center" vertical="top"/>
    </xf>
    <xf numFmtId="164" fontId="11" fillId="4" borderId="37" xfId="0" applyNumberFormat="1" applyFont="1" applyFill="1" applyBorder="1" applyAlignment="1">
      <alignment horizontal="center" vertical="top"/>
    </xf>
    <xf numFmtId="49" fontId="7" fillId="4" borderId="20" xfId="0" applyNumberFormat="1" applyFont="1" applyFill="1" applyBorder="1" applyAlignment="1">
      <alignment horizontal="center" vertical="top"/>
    </xf>
    <xf numFmtId="0" fontId="15" fillId="0" borderId="20" xfId="0" applyFont="1" applyBorder="1" applyAlignment="1">
      <alignment horizontal="center" wrapText="1"/>
    </xf>
    <xf numFmtId="0" fontId="15" fillId="0" borderId="19" xfId="0" applyFont="1" applyBorder="1" applyAlignment="1">
      <alignment horizontal="center" vertical="top"/>
    </xf>
    <xf numFmtId="0" fontId="13" fillId="0" borderId="44" xfId="0" applyFont="1" applyBorder="1" applyAlignment="1">
      <alignment horizontal="center" vertical="top" wrapText="1"/>
    </xf>
    <xf numFmtId="0" fontId="13" fillId="9" borderId="62" xfId="0" applyFont="1" applyFill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49" fontId="7" fillId="2" borderId="27" xfId="0" applyNumberFormat="1" applyFont="1" applyFill="1" applyBorder="1" applyAlignment="1">
      <alignment horizontal="center" vertical="top"/>
    </xf>
    <xf numFmtId="49" fontId="7" fillId="2" borderId="5" xfId="0" applyNumberFormat="1" applyFont="1" applyFill="1" applyBorder="1" applyAlignment="1">
      <alignment vertical="top"/>
    </xf>
    <xf numFmtId="49" fontId="13" fillId="4" borderId="7" xfId="0" applyNumberFormat="1" applyFont="1" applyFill="1" applyBorder="1" applyAlignment="1">
      <alignment vertical="top"/>
    </xf>
    <xf numFmtId="49" fontId="13" fillId="6" borderId="35" xfId="0" applyNumberFormat="1" applyFont="1" applyFill="1" applyBorder="1" applyAlignment="1">
      <alignment horizontal="center" vertical="top"/>
    </xf>
    <xf numFmtId="0" fontId="11" fillId="4" borderId="9" xfId="0" applyFont="1" applyFill="1" applyBorder="1" applyAlignment="1">
      <alignment horizontal="center" vertical="top" wrapText="1"/>
    </xf>
    <xf numFmtId="164" fontId="11" fillId="8" borderId="24" xfId="0" applyNumberFormat="1" applyFont="1" applyFill="1" applyBorder="1" applyAlignment="1">
      <alignment horizontal="center" vertical="top" wrapText="1"/>
    </xf>
    <xf numFmtId="164" fontId="11" fillId="4" borderId="5" xfId="0" applyNumberFormat="1" applyFont="1" applyFill="1" applyBorder="1" applyAlignment="1">
      <alignment horizontal="center" vertical="top" wrapText="1"/>
    </xf>
    <xf numFmtId="164" fontId="11" fillId="4" borderId="6" xfId="0" applyNumberFormat="1" applyFont="1" applyFill="1" applyBorder="1" applyAlignment="1">
      <alignment horizontal="center" vertical="top" wrapText="1"/>
    </xf>
    <xf numFmtId="164" fontId="11" fillId="9" borderId="24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vertical="top"/>
    </xf>
    <xf numFmtId="49" fontId="13" fillId="4" borderId="12" xfId="0" applyNumberFormat="1" applyFont="1" applyFill="1" applyBorder="1" applyAlignment="1">
      <alignment vertical="top"/>
    </xf>
    <xf numFmtId="0" fontId="13" fillId="0" borderId="52" xfId="0" applyFont="1" applyFill="1" applyBorder="1" applyAlignment="1">
      <alignment horizontal="center" vertical="top" wrapText="1"/>
    </xf>
    <xf numFmtId="0" fontId="13" fillId="0" borderId="55" xfId="0" applyNumberFormat="1" applyFont="1" applyBorder="1" applyAlignment="1">
      <alignment horizontal="center" vertical="top"/>
    </xf>
    <xf numFmtId="164" fontId="11" fillId="8" borderId="45" xfId="0" applyNumberFormat="1" applyFont="1" applyFill="1" applyBorder="1" applyAlignment="1">
      <alignment horizontal="center" vertical="top" wrapText="1"/>
    </xf>
    <xf numFmtId="164" fontId="11" fillId="8" borderId="51" xfId="0" applyNumberFormat="1" applyFont="1" applyFill="1" applyBorder="1" applyAlignment="1">
      <alignment horizontal="center" vertical="top" wrapText="1"/>
    </xf>
    <xf numFmtId="164" fontId="11" fillId="4" borderId="45" xfId="0" applyNumberFormat="1" applyFont="1" applyFill="1" applyBorder="1" applyAlignment="1">
      <alignment horizontal="center" vertical="top" wrapText="1"/>
    </xf>
    <xf numFmtId="164" fontId="11" fillId="9" borderId="45" xfId="0" applyNumberFormat="1" applyFont="1" applyFill="1" applyBorder="1" applyAlignment="1">
      <alignment horizontal="center" vertical="top" wrapText="1"/>
    </xf>
    <xf numFmtId="164" fontId="11" fillId="9" borderId="51" xfId="0" applyNumberFormat="1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8" fillId="8" borderId="21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top" wrapText="1"/>
    </xf>
    <xf numFmtId="164" fontId="11" fillId="8" borderId="10" xfId="0" applyNumberFormat="1" applyFont="1" applyFill="1" applyBorder="1" applyAlignment="1">
      <alignment horizontal="center" vertical="top" wrapText="1"/>
    </xf>
    <xf numFmtId="164" fontId="11" fillId="4" borderId="10" xfId="0" applyNumberFormat="1" applyFont="1" applyFill="1" applyBorder="1" applyAlignment="1">
      <alignment horizontal="center" vertical="top" wrapText="1"/>
    </xf>
    <xf numFmtId="164" fontId="11" fillId="4" borderId="11" xfId="0" applyNumberFormat="1" applyFont="1" applyFill="1" applyBorder="1" applyAlignment="1">
      <alignment horizontal="center" vertical="top" wrapText="1"/>
    </xf>
    <xf numFmtId="164" fontId="11" fillId="9" borderId="10" xfId="0" applyNumberFormat="1" applyFont="1" applyFill="1" applyBorder="1" applyAlignment="1">
      <alignment horizontal="center" vertical="top" wrapText="1"/>
    </xf>
    <xf numFmtId="164" fontId="11" fillId="9" borderId="34" xfId="0" applyNumberFormat="1" applyFont="1" applyFill="1" applyBorder="1" applyAlignment="1">
      <alignment horizontal="center" vertical="top" wrapText="1"/>
    </xf>
    <xf numFmtId="0" fontId="13" fillId="0" borderId="38" xfId="0" applyFont="1" applyFill="1" applyBorder="1" applyAlignment="1">
      <alignment horizontal="center" vertical="top" wrapText="1"/>
    </xf>
    <xf numFmtId="49" fontId="8" fillId="0" borderId="39" xfId="0" applyNumberFormat="1" applyFont="1" applyBorder="1" applyAlignment="1">
      <alignment vertical="top" wrapText="1"/>
    </xf>
    <xf numFmtId="0" fontId="13" fillId="0" borderId="36" xfId="0" applyNumberFormat="1" applyFont="1" applyBorder="1" applyAlignment="1">
      <alignment horizontal="center" vertical="top"/>
    </xf>
    <xf numFmtId="164" fontId="13" fillId="9" borderId="52" xfId="0" applyNumberFormat="1" applyFont="1" applyFill="1" applyBorder="1" applyAlignment="1">
      <alignment horizontal="center" vertical="top" wrapText="1"/>
    </xf>
    <xf numFmtId="164" fontId="13" fillId="9" borderId="53" xfId="0" applyNumberFormat="1" applyFont="1" applyFill="1" applyBorder="1" applyAlignment="1">
      <alignment horizontal="center" vertical="top" wrapText="1"/>
    </xf>
    <xf numFmtId="164" fontId="13" fillId="9" borderId="55" xfId="0" applyNumberFormat="1" applyFont="1" applyFill="1" applyBorder="1" applyAlignment="1">
      <alignment horizontal="center" vertical="top" wrapText="1"/>
    </xf>
    <xf numFmtId="0" fontId="7" fillId="0" borderId="52" xfId="0" applyFont="1" applyFill="1" applyBorder="1" applyAlignment="1">
      <alignment horizontal="center" vertical="top" wrapText="1"/>
    </xf>
    <xf numFmtId="49" fontId="8" fillId="0" borderId="43" xfId="0" applyNumberFormat="1" applyFont="1" applyBorder="1" applyAlignment="1">
      <alignment horizontal="center" vertical="top" wrapText="1"/>
    </xf>
    <xf numFmtId="0" fontId="13" fillId="0" borderId="37" xfId="0" applyNumberFormat="1" applyFont="1" applyBorder="1" applyAlignment="1">
      <alignment horizontal="center" vertical="top"/>
    </xf>
    <xf numFmtId="0" fontId="11" fillId="4" borderId="25" xfId="0" applyFont="1" applyFill="1" applyBorder="1" applyAlignment="1">
      <alignment horizontal="center" vertical="top" wrapText="1"/>
    </xf>
    <xf numFmtId="164" fontId="11" fillId="8" borderId="53" xfId="0" applyNumberFormat="1" applyFont="1" applyFill="1" applyBorder="1" applyAlignment="1">
      <alignment horizontal="center" vertical="top" wrapText="1"/>
    </xf>
    <xf numFmtId="164" fontId="11" fillId="8" borderId="55" xfId="0" applyNumberFormat="1" applyFont="1" applyFill="1" applyBorder="1" applyAlignment="1">
      <alignment horizontal="center" vertical="top" wrapText="1"/>
    </xf>
    <xf numFmtId="164" fontId="11" fillId="4" borderId="54" xfId="0" applyNumberFormat="1" applyFont="1" applyFill="1" applyBorder="1" applyAlignment="1">
      <alignment horizontal="center" vertical="top" wrapText="1"/>
    </xf>
    <xf numFmtId="164" fontId="11" fillId="4" borderId="53" xfId="0" applyNumberFormat="1" applyFont="1" applyFill="1" applyBorder="1" applyAlignment="1">
      <alignment horizontal="center" vertical="top" wrapText="1"/>
    </xf>
    <xf numFmtId="164" fontId="11" fillId="9" borderId="53" xfId="0" applyNumberFormat="1" applyFont="1" applyFill="1" applyBorder="1" applyAlignment="1">
      <alignment horizontal="center" vertical="top" wrapText="1"/>
    </xf>
    <xf numFmtId="164" fontId="11" fillId="9" borderId="55" xfId="0" applyNumberFormat="1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164" fontId="11" fillId="8" borderId="56" xfId="0" applyNumberFormat="1" applyFont="1" applyFill="1" applyBorder="1" applyAlignment="1">
      <alignment horizontal="center" vertical="top" wrapText="1"/>
    </xf>
    <xf numFmtId="164" fontId="11" fillId="9" borderId="56" xfId="0" applyNumberFormat="1" applyFont="1" applyFill="1" applyBorder="1" applyAlignment="1">
      <alignment horizontal="center" vertical="top" wrapText="1"/>
    </xf>
    <xf numFmtId="0" fontId="11" fillId="4" borderId="26" xfId="0" applyFont="1" applyFill="1" applyBorder="1" applyAlignment="1">
      <alignment horizontal="center" vertical="top" wrapText="1"/>
    </xf>
    <xf numFmtId="164" fontId="11" fillId="8" borderId="80" xfId="0" applyNumberFormat="1" applyFont="1" applyFill="1" applyBorder="1" applyAlignment="1">
      <alignment horizontal="center" vertical="top" wrapText="1"/>
    </xf>
    <xf numFmtId="164" fontId="11" fillId="4" borderId="66" xfId="0" applyNumberFormat="1" applyFont="1" applyFill="1" applyBorder="1" applyAlignment="1">
      <alignment horizontal="center" vertical="top" wrapText="1"/>
    </xf>
    <xf numFmtId="164" fontId="11" fillId="9" borderId="80" xfId="0" applyNumberFormat="1" applyFont="1" applyFill="1" applyBorder="1" applyAlignment="1">
      <alignment horizontal="center" vertical="top" wrapText="1"/>
    </xf>
    <xf numFmtId="164" fontId="11" fillId="9" borderId="36" xfId="0" applyNumberFormat="1" applyFont="1" applyFill="1" applyBorder="1" applyAlignment="1">
      <alignment horizontal="center" vertical="top" wrapText="1"/>
    </xf>
    <xf numFmtId="0" fontId="13" fillId="9" borderId="15" xfId="0" applyFont="1" applyFill="1" applyBorder="1" applyAlignment="1">
      <alignment horizontal="center" vertical="top" wrapText="1"/>
    </xf>
    <xf numFmtId="164" fontId="13" fillId="9" borderId="28" xfId="0" applyNumberFormat="1" applyFont="1" applyFill="1" applyBorder="1" applyAlignment="1">
      <alignment horizontal="center" vertical="top" wrapText="1"/>
    </xf>
    <xf numFmtId="164" fontId="13" fillId="9" borderId="11" xfId="0" applyNumberFormat="1" applyFont="1" applyFill="1" applyBorder="1" applyAlignment="1">
      <alignment horizontal="center" vertical="top" wrapText="1"/>
    </xf>
    <xf numFmtId="164" fontId="13" fillId="9" borderId="34" xfId="0" applyNumberFormat="1" applyFont="1" applyFill="1" applyBorder="1" applyAlignment="1">
      <alignment horizontal="center" vertical="top" wrapText="1"/>
    </xf>
    <xf numFmtId="0" fontId="7" fillId="0" borderId="38" xfId="0" applyFont="1" applyFill="1" applyBorder="1" applyAlignment="1">
      <alignment horizontal="center" vertical="top" wrapText="1"/>
    </xf>
    <xf numFmtId="0" fontId="13" fillId="0" borderId="79" xfId="0" applyNumberFormat="1" applyFont="1" applyBorder="1" applyAlignment="1">
      <alignment horizontal="center" vertical="top"/>
    </xf>
    <xf numFmtId="0" fontId="8" fillId="8" borderId="79" xfId="0" applyNumberFormat="1" applyFont="1" applyFill="1" applyBorder="1" applyAlignment="1">
      <alignment horizontal="center" vertical="center" wrapText="1"/>
    </xf>
    <xf numFmtId="0" fontId="13" fillId="9" borderId="26" xfId="0" applyFont="1" applyFill="1" applyBorder="1" applyAlignment="1">
      <alignment horizontal="center" vertical="top" wrapText="1"/>
    </xf>
    <xf numFmtId="164" fontId="13" fillId="9" borderId="80" xfId="0" applyNumberFormat="1" applyFont="1" applyFill="1" applyBorder="1" applyAlignment="1">
      <alignment horizontal="center" vertical="top" wrapText="1"/>
    </xf>
    <xf numFmtId="164" fontId="13" fillId="9" borderId="66" xfId="0" applyNumberFormat="1" applyFont="1" applyFill="1" applyBorder="1" applyAlignment="1">
      <alignment horizontal="center" vertical="top" wrapText="1"/>
    </xf>
    <xf numFmtId="164" fontId="13" fillId="9" borderId="36" xfId="0" applyNumberFormat="1" applyFont="1" applyFill="1" applyBorder="1" applyAlignment="1">
      <alignment horizontal="center" vertical="top" wrapText="1"/>
    </xf>
    <xf numFmtId="49" fontId="7" fillId="2" borderId="17" xfId="0" applyNumberFormat="1" applyFont="1" applyFill="1" applyBorder="1" applyAlignment="1">
      <alignment vertical="top"/>
    </xf>
    <xf numFmtId="49" fontId="13" fillId="4" borderId="19" xfId="0" applyNumberFormat="1" applyFont="1" applyFill="1" applyBorder="1" applyAlignment="1">
      <alignment vertical="top"/>
    </xf>
    <xf numFmtId="49" fontId="7" fillId="6" borderId="41" xfId="0" applyNumberFormat="1" applyFont="1" applyFill="1" applyBorder="1" applyAlignment="1">
      <alignment vertical="top"/>
    </xf>
    <xf numFmtId="49" fontId="7" fillId="6" borderId="67" xfId="0" applyNumberFormat="1" applyFont="1" applyFill="1" applyBorder="1" applyAlignment="1">
      <alignment vertical="top"/>
    </xf>
    <xf numFmtId="0" fontId="11" fillId="6" borderId="67" xfId="0" applyNumberFormat="1" applyFont="1" applyFill="1" applyBorder="1" applyAlignment="1">
      <alignment horizontal="center" vertical="center" textRotation="90" wrapText="1"/>
    </xf>
    <xf numFmtId="0" fontId="13" fillId="6" borderId="62" xfId="0" applyFont="1" applyFill="1" applyBorder="1" applyAlignment="1">
      <alignment horizontal="center" vertical="top" wrapText="1"/>
    </xf>
    <xf numFmtId="164" fontId="7" fillId="6" borderId="40" xfId="0" applyNumberFormat="1" applyFont="1" applyFill="1" applyBorder="1" applyAlignment="1">
      <alignment horizontal="center" vertical="top"/>
    </xf>
    <xf numFmtId="0" fontId="13" fillId="4" borderId="24" xfId="0" applyFont="1" applyFill="1" applyBorder="1" applyAlignment="1">
      <alignment vertical="top" wrapText="1"/>
    </xf>
    <xf numFmtId="49" fontId="8" fillId="0" borderId="7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13" fillId="0" borderId="34" xfId="0" applyNumberFormat="1" applyFont="1" applyBorder="1" applyAlignment="1">
      <alignment horizontal="center" vertical="center"/>
    </xf>
    <xf numFmtId="0" fontId="11" fillId="4" borderId="76" xfId="0" applyFont="1" applyFill="1" applyBorder="1" applyAlignment="1">
      <alignment horizontal="center" vertical="top" wrapText="1"/>
    </xf>
    <xf numFmtId="0" fontId="11" fillId="4" borderId="37" xfId="0" applyFont="1" applyFill="1" applyBorder="1" applyAlignment="1">
      <alignment horizontal="center" vertical="top" wrapText="1"/>
    </xf>
    <xf numFmtId="164" fontId="11" fillId="8" borderId="52" xfId="0" applyNumberFormat="1" applyFont="1" applyFill="1" applyBorder="1" applyAlignment="1">
      <alignment horizontal="center" vertical="top" wrapText="1"/>
    </xf>
    <xf numFmtId="164" fontId="11" fillId="9" borderId="52" xfId="0" applyNumberFormat="1" applyFont="1" applyFill="1" applyBorder="1" applyAlignment="1">
      <alignment horizontal="center" vertical="top" wrapText="1"/>
    </xf>
    <xf numFmtId="0" fontId="13" fillId="9" borderId="37" xfId="0" applyFont="1" applyFill="1" applyBorder="1" applyAlignment="1">
      <alignment horizontal="center" vertical="top" wrapText="1"/>
    </xf>
    <xf numFmtId="49" fontId="7" fillId="0" borderId="52" xfId="0" applyNumberFormat="1" applyFont="1" applyBorder="1" applyAlignment="1">
      <alignment vertical="center" textRotation="90"/>
    </xf>
    <xf numFmtId="49" fontId="11" fillId="8" borderId="43" xfId="0" applyNumberFormat="1" applyFont="1" applyFill="1" applyBorder="1" applyAlignment="1">
      <alignment vertical="top" wrapText="1"/>
    </xf>
    <xf numFmtId="49" fontId="7" fillId="0" borderId="38" xfId="0" applyNumberFormat="1" applyFont="1" applyBorder="1" applyAlignment="1">
      <alignment vertical="center" textRotation="90"/>
    </xf>
    <xf numFmtId="49" fontId="11" fillId="8" borderId="39" xfId="0" applyNumberFormat="1" applyFont="1" applyFill="1" applyBorder="1" applyAlignment="1">
      <alignment vertical="top" wrapText="1"/>
    </xf>
    <xf numFmtId="0" fontId="7" fillId="9" borderId="37" xfId="0" applyFont="1" applyFill="1" applyBorder="1" applyAlignment="1">
      <alignment horizontal="center" vertical="top"/>
    </xf>
    <xf numFmtId="49" fontId="7" fillId="0" borderId="10" xfId="0" applyNumberFormat="1" applyFont="1" applyBorder="1" applyAlignment="1">
      <alignment vertical="center" textRotation="90"/>
    </xf>
    <xf numFmtId="49" fontId="11" fillId="8" borderId="12" xfId="0" applyNumberFormat="1" applyFont="1" applyFill="1" applyBorder="1" applyAlignment="1">
      <alignment vertical="top" wrapText="1"/>
    </xf>
    <xf numFmtId="0" fontId="13" fillId="0" borderId="10" xfId="0" applyFont="1" applyFill="1" applyBorder="1" applyAlignment="1">
      <alignment vertical="center" wrapText="1"/>
    </xf>
    <xf numFmtId="0" fontId="13" fillId="0" borderId="34" xfId="0" applyNumberFormat="1" applyFont="1" applyBorder="1" applyAlignment="1">
      <alignment vertical="center"/>
    </xf>
    <xf numFmtId="0" fontId="13" fillId="8" borderId="55" xfId="0" applyNumberFormat="1" applyFont="1" applyFill="1" applyBorder="1" applyAlignment="1">
      <alignment horizontal="center" vertical="top"/>
    </xf>
    <xf numFmtId="0" fontId="13" fillId="8" borderId="34" xfId="0" applyNumberFormat="1" applyFont="1" applyFill="1" applyBorder="1" applyAlignment="1">
      <alignment vertical="top"/>
    </xf>
    <xf numFmtId="164" fontId="11" fillId="4" borderId="52" xfId="0" applyNumberFormat="1" applyFont="1" applyFill="1" applyBorder="1" applyAlignment="1">
      <alignment horizontal="center" vertical="top" wrapText="1"/>
    </xf>
    <xf numFmtId="0" fontId="15" fillId="0" borderId="0" xfId="0" applyFont="1" applyBorder="1"/>
    <xf numFmtId="164" fontId="8" fillId="0" borderId="45" xfId="0" applyNumberFormat="1" applyFont="1" applyFill="1" applyBorder="1" applyAlignment="1">
      <alignment horizontal="center" vertical="top"/>
    </xf>
    <xf numFmtId="164" fontId="8" fillId="0" borderId="64" xfId="0" applyNumberFormat="1" applyFont="1" applyFill="1" applyBorder="1" applyAlignment="1">
      <alignment horizontal="center" vertical="top"/>
    </xf>
    <xf numFmtId="164" fontId="8" fillId="0" borderId="51" xfId="0" applyNumberFormat="1" applyFont="1" applyFill="1" applyBorder="1" applyAlignment="1">
      <alignment horizontal="center" vertical="top"/>
    </xf>
    <xf numFmtId="164" fontId="8" fillId="9" borderId="64" xfId="0" applyNumberFormat="1" applyFont="1" applyFill="1" applyBorder="1" applyAlignment="1">
      <alignment horizontal="center" vertical="top" wrapText="1"/>
    </xf>
    <xf numFmtId="164" fontId="8" fillId="9" borderId="1" xfId="0" applyNumberFormat="1" applyFont="1" applyFill="1" applyBorder="1" applyAlignment="1">
      <alignment horizontal="center" vertical="top" wrapText="1"/>
    </xf>
    <xf numFmtId="164" fontId="8" fillId="9" borderId="14" xfId="0" applyNumberFormat="1" applyFont="1" applyFill="1" applyBorder="1" applyAlignment="1">
      <alignment horizontal="center" vertical="top" wrapText="1"/>
    </xf>
    <xf numFmtId="164" fontId="13" fillId="9" borderId="57" xfId="0" applyNumberFormat="1" applyFont="1" applyFill="1" applyBorder="1" applyAlignment="1">
      <alignment horizontal="center" vertical="top" wrapText="1"/>
    </xf>
    <xf numFmtId="164" fontId="13" fillId="9" borderId="60" xfId="0" applyNumberFormat="1" applyFont="1" applyFill="1" applyBorder="1" applyAlignment="1">
      <alignment horizontal="center" vertical="top" wrapText="1"/>
    </xf>
    <xf numFmtId="164" fontId="13" fillId="9" borderId="37" xfId="0" applyNumberFormat="1" applyFont="1" applyFill="1" applyBorder="1" applyAlignment="1">
      <alignment horizontal="center" vertical="top" wrapText="1"/>
    </xf>
    <xf numFmtId="164" fontId="13" fillId="9" borderId="25" xfId="0" applyNumberFormat="1" applyFont="1" applyFill="1" applyBorder="1" applyAlignment="1">
      <alignment horizontal="center" vertical="top" wrapText="1"/>
    </xf>
    <xf numFmtId="49" fontId="7" fillId="3" borderId="29" xfId="0" applyNumberFormat="1" applyFont="1" applyFill="1" applyBorder="1" applyAlignment="1">
      <alignment horizontal="center" vertical="top"/>
    </xf>
    <xf numFmtId="164" fontId="11" fillId="4" borderId="35" xfId="0" applyNumberFormat="1" applyFont="1" applyFill="1" applyBorder="1" applyAlignment="1">
      <alignment horizontal="center" vertical="top" wrapText="1"/>
    </xf>
    <xf numFmtId="164" fontId="11" fillId="9" borderId="50" xfId="0" applyNumberFormat="1" applyFont="1" applyFill="1" applyBorder="1" applyAlignment="1">
      <alignment horizontal="center" vertical="top" wrapText="1"/>
    </xf>
    <xf numFmtId="164" fontId="11" fillId="9" borderId="64" xfId="0" applyNumberFormat="1" applyFont="1" applyFill="1" applyBorder="1" applyAlignment="1">
      <alignment horizontal="center" vertical="top" wrapText="1"/>
    </xf>
    <xf numFmtId="164" fontId="11" fillId="4" borderId="60" xfId="0" applyNumberFormat="1" applyFont="1" applyFill="1" applyBorder="1" applyAlignment="1">
      <alignment horizontal="center" vertical="top" wrapText="1"/>
    </xf>
    <xf numFmtId="164" fontId="11" fillId="9" borderId="57" xfId="0" applyNumberFormat="1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vertical="center" textRotation="90"/>
    </xf>
    <xf numFmtId="49" fontId="11" fillId="0" borderId="1" xfId="0" applyNumberFormat="1" applyFont="1" applyBorder="1" applyAlignment="1">
      <alignment horizontal="center" vertical="top" wrapText="1"/>
    </xf>
    <xf numFmtId="49" fontId="7" fillId="2" borderId="28" xfId="0" applyNumberFormat="1" applyFont="1" applyFill="1" applyBorder="1" applyAlignment="1">
      <alignment vertical="top"/>
    </xf>
    <xf numFmtId="0" fontId="13" fillId="0" borderId="9" xfId="0" applyFont="1" applyBorder="1" applyAlignment="1">
      <alignment vertical="top" wrapText="1"/>
    </xf>
    <xf numFmtId="49" fontId="7" fillId="2" borderId="68" xfId="0" applyNumberFormat="1" applyFont="1" applyFill="1" applyBorder="1" applyAlignment="1">
      <alignment horizontal="center" vertical="top"/>
    </xf>
    <xf numFmtId="49" fontId="13" fillId="0" borderId="31" xfId="0" applyNumberFormat="1" applyFont="1" applyBorder="1" applyAlignment="1">
      <alignment vertical="top"/>
    </xf>
    <xf numFmtId="49" fontId="7" fillId="2" borderId="18" xfId="0" applyNumberFormat="1" applyFont="1" applyFill="1" applyBorder="1" applyAlignment="1">
      <alignment horizontal="center" vertical="top"/>
    </xf>
    <xf numFmtId="164" fontId="7" fillId="2" borderId="3" xfId="0" applyNumberFormat="1" applyFont="1" applyFill="1" applyBorder="1" applyAlignment="1">
      <alignment horizontal="center" vertical="top"/>
    </xf>
    <xf numFmtId="164" fontId="7" fillId="2" borderId="23" xfId="0" applyNumberFormat="1" applyFont="1" applyFill="1" applyBorder="1" applyAlignment="1">
      <alignment horizontal="center" vertical="top"/>
    </xf>
    <xf numFmtId="164" fontId="7" fillId="2" borderId="4" xfId="0" applyNumberFormat="1" applyFont="1" applyFill="1" applyBorder="1" applyAlignment="1">
      <alignment horizontal="center" vertical="top"/>
    </xf>
    <xf numFmtId="164" fontId="7" fillId="2" borderId="27" xfId="0" applyNumberFormat="1" applyFont="1" applyFill="1" applyBorder="1" applyAlignment="1">
      <alignment horizontal="center" vertical="top"/>
    </xf>
    <xf numFmtId="49" fontId="7" fillId="5" borderId="3" xfId="0" applyNumberFormat="1" applyFont="1" applyFill="1" applyBorder="1" applyAlignment="1">
      <alignment horizontal="center" vertical="top"/>
    </xf>
    <xf numFmtId="0" fontId="8" fillId="0" borderId="0" xfId="0" applyNumberFormat="1" applyFont="1" applyBorder="1" applyAlignment="1">
      <alignment vertical="top" wrapText="1"/>
    </xf>
    <xf numFmtId="0" fontId="8" fillId="0" borderId="0" xfId="0" applyFont="1" applyFill="1" applyAlignment="1">
      <alignment vertical="top"/>
    </xf>
    <xf numFmtId="0" fontId="8" fillId="4" borderId="0" xfId="0" applyFont="1" applyFill="1" applyAlignment="1">
      <alignment vertical="top"/>
    </xf>
    <xf numFmtId="0" fontId="11" fillId="4" borderId="0" xfId="0" applyFont="1" applyFill="1" applyBorder="1" applyAlignment="1">
      <alignment vertical="top"/>
    </xf>
    <xf numFmtId="0" fontId="8" fillId="0" borderId="0" xfId="0" applyFont="1" applyBorder="1" applyAlignment="1">
      <alignment horizontal="left" vertical="top"/>
    </xf>
    <xf numFmtId="0" fontId="13" fillId="0" borderId="0" xfId="0" applyFont="1" applyAlignment="1">
      <alignment horizontal="center"/>
    </xf>
    <xf numFmtId="0" fontId="8" fillId="0" borderId="0" xfId="0" applyNumberFormat="1" applyFont="1" applyAlignment="1">
      <alignment horizontal="center" vertical="center" textRotation="90" wrapText="1"/>
    </xf>
    <xf numFmtId="0" fontId="15" fillId="0" borderId="0" xfId="0" applyNumberFormat="1" applyFont="1" applyAlignment="1">
      <alignment horizontal="center" vertical="center" textRotation="90" wrapText="1"/>
    </xf>
    <xf numFmtId="49" fontId="7" fillId="0" borderId="19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7" fillId="0" borderId="20" xfId="0" applyNumberFormat="1" applyFont="1" applyBorder="1" applyAlignment="1">
      <alignment horizontal="center" vertical="top" wrapText="1"/>
    </xf>
    <xf numFmtId="0" fontId="11" fillId="0" borderId="15" xfId="0" applyFont="1" applyBorder="1" applyAlignment="1">
      <alignment vertical="top" wrapText="1"/>
    </xf>
    <xf numFmtId="0" fontId="11" fillId="0" borderId="25" xfId="0" applyFont="1" applyBorder="1" applyAlignment="1">
      <alignment vertical="top" wrapText="1"/>
    </xf>
    <xf numFmtId="164" fontId="8" fillId="0" borderId="46" xfId="0" applyNumberFormat="1" applyFont="1" applyBorder="1" applyAlignment="1">
      <alignment horizontal="center" vertical="top"/>
    </xf>
    <xf numFmtId="164" fontId="8" fillId="0" borderId="7" xfId="0" applyNumberFormat="1" applyFont="1" applyBorder="1" applyAlignment="1">
      <alignment horizontal="center" vertical="top"/>
    </xf>
    <xf numFmtId="164" fontId="8" fillId="0" borderId="35" xfId="0" applyNumberFormat="1" applyFont="1" applyBorder="1" applyAlignment="1">
      <alignment horizontal="center" vertical="top"/>
    </xf>
    <xf numFmtId="164" fontId="8" fillId="0" borderId="10" xfId="0" applyNumberFormat="1" applyFont="1" applyBorder="1" applyAlignment="1">
      <alignment horizontal="center" vertical="top"/>
    </xf>
    <xf numFmtId="164" fontId="8" fillId="8" borderId="51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/>
    </xf>
    <xf numFmtId="0" fontId="8" fillId="8" borderId="21" xfId="0" applyNumberFormat="1" applyFont="1" applyFill="1" applyBorder="1" applyAlignment="1">
      <alignment horizontal="center" vertical="top" wrapText="1"/>
    </xf>
    <xf numFmtId="0" fontId="13" fillId="0" borderId="52" xfId="0" applyFont="1" applyFill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0" fontId="13" fillId="0" borderId="55" xfId="0" applyNumberFormat="1" applyFont="1" applyBorder="1" applyAlignment="1">
      <alignment horizontal="center" vertical="center"/>
    </xf>
    <xf numFmtId="0" fontId="13" fillId="0" borderId="38" xfId="0" applyFont="1" applyFill="1" applyBorder="1" applyAlignment="1">
      <alignment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0" fontId="13" fillId="0" borderId="36" xfId="0" applyNumberFormat="1" applyFont="1" applyBorder="1" applyAlignment="1">
      <alignment vertical="center"/>
    </xf>
    <xf numFmtId="0" fontId="13" fillId="9" borderId="76" xfId="0" applyFont="1" applyFill="1" applyBorder="1" applyAlignment="1">
      <alignment horizontal="center" vertical="top" wrapText="1"/>
    </xf>
    <xf numFmtId="164" fontId="13" fillId="9" borderId="45" xfId="0" applyNumberFormat="1" applyFont="1" applyFill="1" applyBorder="1" applyAlignment="1">
      <alignment horizontal="center" vertical="top" wrapText="1"/>
    </xf>
    <xf numFmtId="164" fontId="13" fillId="9" borderId="14" xfId="0" applyNumberFormat="1" applyFont="1" applyFill="1" applyBorder="1" applyAlignment="1">
      <alignment horizontal="center" vertical="top" wrapText="1"/>
    </xf>
    <xf numFmtId="164" fontId="13" fillId="9" borderId="51" xfId="0" applyNumberFormat="1" applyFont="1" applyFill="1" applyBorder="1" applyAlignment="1">
      <alignment horizontal="center" vertical="top" wrapText="1"/>
    </xf>
    <xf numFmtId="0" fontId="11" fillId="0" borderId="9" xfId="0" applyNumberFormat="1" applyFont="1" applyBorder="1" applyAlignment="1">
      <alignment vertical="top" wrapText="1"/>
    </xf>
    <xf numFmtId="0" fontId="11" fillId="0" borderId="15" xfId="0" applyNumberFormat="1" applyFont="1" applyBorder="1" applyAlignment="1">
      <alignment vertical="top" wrapText="1"/>
    </xf>
    <xf numFmtId="0" fontId="11" fillId="0" borderId="25" xfId="0" applyNumberFormat="1" applyFont="1" applyBorder="1" applyAlignment="1">
      <alignment vertical="top" wrapText="1"/>
    </xf>
    <xf numFmtId="49" fontId="7" fillId="0" borderId="35" xfId="0" applyNumberFormat="1" applyFont="1" applyBorder="1" applyAlignment="1">
      <alignment vertical="top" wrapText="1"/>
    </xf>
    <xf numFmtId="49" fontId="7" fillId="0" borderId="34" xfId="0" applyNumberFormat="1" applyFont="1" applyBorder="1" applyAlignment="1">
      <alignment vertical="top" wrapText="1"/>
    </xf>
    <xf numFmtId="49" fontId="7" fillId="0" borderId="5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vertical="center" textRotation="90"/>
    </xf>
    <xf numFmtId="0" fontId="7" fillId="0" borderId="10" xfId="0" applyFont="1" applyBorder="1" applyAlignment="1">
      <alignment vertical="center" textRotation="90"/>
    </xf>
    <xf numFmtId="0" fontId="11" fillId="4" borderId="9" xfId="0" applyNumberFormat="1" applyFont="1" applyFill="1" applyBorder="1" applyAlignment="1">
      <alignment vertical="top" wrapText="1"/>
    </xf>
    <xf numFmtId="0" fontId="11" fillId="4" borderId="15" xfId="0" applyNumberFormat="1" applyFont="1" applyFill="1" applyBorder="1" applyAlignment="1">
      <alignment vertical="top" wrapText="1"/>
    </xf>
    <xf numFmtId="164" fontId="11" fillId="8" borderId="38" xfId="0" applyNumberFormat="1" applyFont="1" applyFill="1" applyBorder="1" applyAlignment="1">
      <alignment horizontal="center" vertical="top" wrapText="1"/>
    </xf>
    <xf numFmtId="164" fontId="11" fillId="8" borderId="78" xfId="0" applyNumberFormat="1" applyFont="1" applyFill="1" applyBorder="1" applyAlignment="1">
      <alignment horizontal="center" vertical="top" wrapText="1"/>
    </xf>
    <xf numFmtId="164" fontId="11" fillId="4" borderId="38" xfId="0" applyNumberFormat="1" applyFont="1" applyFill="1" applyBorder="1" applyAlignment="1">
      <alignment horizontal="center" vertical="top" wrapText="1"/>
    </xf>
    <xf numFmtId="164" fontId="11" fillId="4" borderId="78" xfId="0" applyNumberFormat="1" applyFont="1" applyFill="1" applyBorder="1" applyAlignment="1">
      <alignment horizontal="center" vertical="top" wrapText="1"/>
    </xf>
    <xf numFmtId="164" fontId="11" fillId="4" borderId="39" xfId="0" applyNumberFormat="1" applyFont="1" applyFill="1" applyBorder="1" applyAlignment="1">
      <alignment horizontal="center" vertical="top" wrapText="1"/>
    </xf>
    <xf numFmtId="164" fontId="11" fillId="9" borderId="78" xfId="0" applyNumberFormat="1" applyFont="1" applyFill="1" applyBorder="1" applyAlignment="1">
      <alignment horizontal="center" vertical="top" wrapText="1"/>
    </xf>
    <xf numFmtId="164" fontId="11" fillId="8" borderId="5" xfId="0" applyNumberFormat="1" applyFont="1" applyFill="1" applyBorder="1" applyAlignment="1">
      <alignment horizontal="center" vertical="top" wrapText="1"/>
    </xf>
    <xf numFmtId="164" fontId="11" fillId="9" borderId="0" xfId="0" applyNumberFormat="1" applyFont="1" applyFill="1" applyBorder="1" applyAlignment="1">
      <alignment horizontal="center" vertical="top" wrapText="1"/>
    </xf>
    <xf numFmtId="0" fontId="13" fillId="9" borderId="25" xfId="0" applyFont="1" applyFill="1" applyBorder="1" applyAlignment="1">
      <alignment horizontal="center" vertical="top"/>
    </xf>
    <xf numFmtId="164" fontId="11" fillId="4" borderId="64" xfId="0" applyNumberFormat="1" applyFont="1" applyFill="1" applyBorder="1" applyAlignment="1">
      <alignment horizontal="center" vertical="top" wrapText="1"/>
    </xf>
    <xf numFmtId="0" fontId="7" fillId="0" borderId="28" xfId="0" applyNumberFormat="1" applyFont="1" applyFill="1" applyBorder="1" applyAlignment="1">
      <alignment horizontal="center" vertical="top"/>
    </xf>
    <xf numFmtId="0" fontId="7" fillId="0" borderId="12" xfId="0" applyNumberFormat="1" applyFont="1" applyFill="1" applyBorder="1" applyAlignment="1">
      <alignment horizontal="center" vertical="top"/>
    </xf>
    <xf numFmtId="0" fontId="7" fillId="0" borderId="21" xfId="0" applyNumberFormat="1" applyFont="1" applyFill="1" applyBorder="1" applyAlignment="1">
      <alignment horizontal="center" vertical="top"/>
    </xf>
    <xf numFmtId="49" fontId="7" fillId="10" borderId="8" xfId="0" applyNumberFormat="1" applyFont="1" applyFill="1" applyBorder="1" applyAlignment="1">
      <alignment horizontal="center" vertical="top"/>
    </xf>
    <xf numFmtId="49" fontId="7" fillId="10" borderId="0" xfId="0" applyNumberFormat="1" applyFont="1" applyFill="1" applyBorder="1" applyAlignment="1">
      <alignment horizontal="center" vertical="top"/>
    </xf>
    <xf numFmtId="49" fontId="8" fillId="10" borderId="55" xfId="0" applyNumberFormat="1" applyFont="1" applyFill="1" applyBorder="1" applyAlignment="1">
      <alignment horizontal="center" vertical="top"/>
    </xf>
    <xf numFmtId="0" fontId="7" fillId="9" borderId="25" xfId="0" applyFont="1" applyFill="1" applyBorder="1" applyAlignment="1">
      <alignment horizontal="center" vertical="top" wrapText="1"/>
    </xf>
    <xf numFmtId="164" fontId="11" fillId="0" borderId="38" xfId="0" applyNumberFormat="1" applyFont="1" applyFill="1" applyBorder="1" applyAlignment="1">
      <alignment horizontal="center" vertical="top" wrapText="1"/>
    </xf>
    <xf numFmtId="164" fontId="11" fillId="0" borderId="39" xfId="0" applyNumberFormat="1" applyFont="1" applyFill="1" applyBorder="1" applyAlignment="1">
      <alignment horizontal="center" vertical="top" wrapText="1"/>
    </xf>
    <xf numFmtId="164" fontId="11" fillId="0" borderId="36" xfId="0" applyNumberFormat="1" applyFont="1" applyFill="1" applyBorder="1" applyAlignment="1">
      <alignment horizontal="center" vertical="top" wrapText="1"/>
    </xf>
    <xf numFmtId="0" fontId="11" fillId="10" borderId="62" xfId="0" applyNumberFormat="1" applyFont="1" applyFill="1" applyBorder="1" applyAlignment="1">
      <alignment vertical="top" wrapText="1"/>
    </xf>
    <xf numFmtId="0" fontId="7" fillId="10" borderId="62" xfId="0" applyFont="1" applyFill="1" applyBorder="1" applyAlignment="1">
      <alignment horizontal="center" vertical="top" wrapText="1"/>
    </xf>
    <xf numFmtId="164" fontId="7" fillId="10" borderId="61" xfId="0" applyNumberFormat="1" applyFont="1" applyFill="1" applyBorder="1" applyAlignment="1">
      <alignment horizontal="center" vertical="top"/>
    </xf>
    <xf numFmtId="164" fontId="7" fillId="10" borderId="41" xfId="0" applyNumberFormat="1" applyFont="1" applyFill="1" applyBorder="1" applyAlignment="1">
      <alignment horizontal="center" vertical="top"/>
    </xf>
    <xf numFmtId="0" fontId="7" fillId="10" borderId="40" xfId="0" applyNumberFormat="1" applyFont="1" applyFill="1" applyBorder="1" applyAlignment="1">
      <alignment horizontal="center" vertical="top"/>
    </xf>
    <xf numFmtId="0" fontId="7" fillId="10" borderId="2" xfId="0" applyNumberFormat="1" applyFont="1" applyFill="1" applyBorder="1" applyAlignment="1">
      <alignment horizontal="center" vertical="top"/>
    </xf>
    <xf numFmtId="0" fontId="7" fillId="10" borderId="67" xfId="0" applyNumberFormat="1" applyFont="1" applyFill="1" applyBorder="1" applyAlignment="1">
      <alignment horizontal="center" vertical="top"/>
    </xf>
    <xf numFmtId="164" fontId="7" fillId="2" borderId="30" xfId="0" applyNumberFormat="1" applyFont="1" applyFill="1" applyBorder="1" applyAlignment="1">
      <alignment horizontal="center" vertical="top"/>
    </xf>
    <xf numFmtId="164" fontId="7" fillId="5" borderId="31" xfId="0" applyNumberFormat="1" applyFont="1" applyFill="1" applyBorder="1" applyAlignment="1">
      <alignment horizontal="center" vertical="center" wrapText="1"/>
    </xf>
    <xf numFmtId="164" fontId="13" fillId="3" borderId="74" xfId="0" applyNumberFormat="1" applyFont="1" applyFill="1" applyBorder="1" applyAlignment="1">
      <alignment horizontal="center" vertical="top"/>
    </xf>
    <xf numFmtId="164" fontId="7" fillId="2" borderId="74" xfId="0" applyNumberFormat="1" applyFont="1" applyFill="1" applyBorder="1" applyAlignment="1">
      <alignment horizontal="center" vertical="top"/>
    </xf>
    <xf numFmtId="164" fontId="7" fillId="5" borderId="71" xfId="0" applyNumberFormat="1" applyFont="1" applyFill="1" applyBorder="1" applyAlignment="1">
      <alignment horizontal="center" vertical="center" wrapText="1"/>
    </xf>
    <xf numFmtId="164" fontId="8" fillId="0" borderId="58" xfId="0" applyNumberFormat="1" applyFont="1" applyFill="1" applyBorder="1" applyAlignment="1">
      <alignment horizontal="center" vertical="top"/>
    </xf>
    <xf numFmtId="0" fontId="7" fillId="9" borderId="68" xfId="0" applyFont="1" applyFill="1" applyBorder="1" applyAlignment="1">
      <alignment horizontal="center" vertical="top"/>
    </xf>
    <xf numFmtId="164" fontId="13" fillId="9" borderId="20" xfId="0" applyNumberFormat="1" applyFont="1" applyFill="1" applyBorder="1" applyAlignment="1">
      <alignment horizontal="center" vertical="top"/>
    </xf>
    <xf numFmtId="164" fontId="7" fillId="9" borderId="25" xfId="0" applyNumberFormat="1" applyFont="1" applyFill="1" applyBorder="1" applyAlignment="1">
      <alignment horizontal="center" vertical="top" wrapText="1"/>
    </xf>
    <xf numFmtId="164" fontId="7" fillId="9" borderId="37" xfId="0" applyNumberFormat="1" applyFont="1" applyFill="1" applyBorder="1" applyAlignment="1">
      <alignment horizontal="center" vertical="top" wrapText="1"/>
    </xf>
    <xf numFmtId="0" fontId="8" fillId="0" borderId="78" xfId="0" applyFont="1" applyBorder="1" applyAlignment="1">
      <alignment vertical="top"/>
    </xf>
    <xf numFmtId="164" fontId="8" fillId="0" borderId="45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top" wrapText="1"/>
    </xf>
    <xf numFmtId="164" fontId="8" fillId="0" borderId="51" xfId="0" applyNumberFormat="1" applyFont="1" applyFill="1" applyBorder="1" applyAlignment="1">
      <alignment horizontal="center" vertical="top" wrapText="1"/>
    </xf>
    <xf numFmtId="164" fontId="11" fillId="0" borderId="25" xfId="0" applyNumberFormat="1" applyFont="1" applyFill="1" applyBorder="1" applyAlignment="1">
      <alignment horizontal="center" vertical="top"/>
    </xf>
    <xf numFmtId="164" fontId="8" fillId="0" borderId="72" xfId="0" applyNumberFormat="1" applyFont="1" applyFill="1" applyBorder="1" applyAlignment="1">
      <alignment horizontal="center" vertical="top"/>
    </xf>
    <xf numFmtId="0" fontId="11" fillId="8" borderId="5" xfId="0" applyFont="1" applyFill="1" applyBorder="1" applyAlignment="1">
      <alignment horizontal="center" vertical="top" wrapText="1"/>
    </xf>
    <xf numFmtId="0" fontId="11" fillId="8" borderId="7" xfId="0" applyFont="1" applyFill="1" applyBorder="1" applyAlignment="1">
      <alignment horizontal="center" vertical="top" wrapText="1"/>
    </xf>
    <xf numFmtId="0" fontId="11" fillId="8" borderId="35" xfId="0" applyFont="1" applyFill="1" applyBorder="1" applyAlignment="1">
      <alignment horizontal="center" vertical="top" wrapText="1"/>
    </xf>
    <xf numFmtId="164" fontId="11" fillId="0" borderId="9" xfId="0" applyNumberFormat="1" applyFont="1" applyFill="1" applyBorder="1" applyAlignment="1">
      <alignment vertical="top" wrapText="1"/>
    </xf>
    <xf numFmtId="164" fontId="8" fillId="0" borderId="1" xfId="0" applyNumberFormat="1" applyFont="1" applyFill="1" applyBorder="1" applyAlignment="1">
      <alignment horizontal="center" vertical="top"/>
    </xf>
    <xf numFmtId="164" fontId="11" fillId="4" borderId="72" xfId="0" applyNumberFormat="1" applyFont="1" applyFill="1" applyBorder="1" applyAlignment="1">
      <alignment horizontal="center" vertical="top"/>
    </xf>
    <xf numFmtId="164" fontId="7" fillId="3" borderId="73" xfId="0" applyNumberFormat="1" applyFont="1" applyFill="1" applyBorder="1" applyAlignment="1">
      <alignment horizontal="center" vertical="top"/>
    </xf>
    <xf numFmtId="164" fontId="11" fillId="0" borderId="80" xfId="0" applyNumberFormat="1" applyFont="1" applyFill="1" applyBorder="1" applyAlignment="1">
      <alignment horizontal="center" vertical="top"/>
    </xf>
    <xf numFmtId="0" fontId="11" fillId="0" borderId="37" xfId="0" applyFont="1" applyFill="1" applyBorder="1" applyAlignment="1">
      <alignment horizontal="center" vertical="top"/>
    </xf>
    <xf numFmtId="2" fontId="8" fillId="0" borderId="13" xfId="0" applyNumberFormat="1" applyFont="1" applyFill="1" applyBorder="1" applyAlignment="1">
      <alignment vertical="top" wrapText="1"/>
    </xf>
    <xf numFmtId="2" fontId="8" fillId="0" borderId="25" xfId="0" applyNumberFormat="1" applyFont="1" applyFill="1" applyBorder="1" applyAlignment="1">
      <alignment vertical="top" wrapText="1"/>
    </xf>
    <xf numFmtId="164" fontId="7" fillId="9" borderId="13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top" wrapText="1"/>
    </xf>
    <xf numFmtId="164" fontId="11" fillId="0" borderId="5" xfId="0" applyNumberFormat="1" applyFont="1" applyFill="1" applyBorder="1" applyAlignment="1">
      <alignment horizontal="center" vertical="top"/>
    </xf>
    <xf numFmtId="164" fontId="11" fillId="0" borderId="35" xfId="0" applyNumberFormat="1" applyFont="1" applyFill="1" applyBorder="1" applyAlignment="1">
      <alignment horizontal="center" vertical="top"/>
    </xf>
    <xf numFmtId="164" fontId="11" fillId="8" borderId="70" xfId="0" applyNumberFormat="1" applyFont="1" applyFill="1" applyBorder="1" applyAlignment="1">
      <alignment vertical="top" wrapText="1"/>
    </xf>
    <xf numFmtId="164" fontId="8" fillId="8" borderId="24" xfId="0" applyNumberFormat="1" applyFont="1" applyFill="1" applyBorder="1" applyAlignment="1">
      <alignment horizontal="center" vertical="top"/>
    </xf>
    <xf numFmtId="164" fontId="8" fillId="8" borderId="7" xfId="0" applyNumberFormat="1" applyFont="1" applyFill="1" applyBorder="1" applyAlignment="1">
      <alignment horizontal="center" vertical="top"/>
    </xf>
    <xf numFmtId="164" fontId="8" fillId="8" borderId="35" xfId="0" applyNumberFormat="1" applyFont="1" applyFill="1" applyBorder="1" applyAlignment="1">
      <alignment horizontal="center" vertical="top"/>
    </xf>
    <xf numFmtId="164" fontId="8" fillId="8" borderId="64" xfId="0" applyNumberFormat="1" applyFont="1" applyFill="1" applyBorder="1" applyAlignment="1">
      <alignment horizontal="center" vertical="top"/>
    </xf>
    <xf numFmtId="164" fontId="13" fillId="9" borderId="68" xfId="0" applyNumberFormat="1" applyFont="1" applyFill="1" applyBorder="1" applyAlignment="1">
      <alignment horizontal="center" vertical="top"/>
    </xf>
    <xf numFmtId="0" fontId="11" fillId="0" borderId="47" xfId="0" applyNumberFormat="1" applyFont="1" applyFill="1" applyBorder="1" applyAlignment="1">
      <alignment horizontal="center" vertical="top"/>
    </xf>
    <xf numFmtId="0" fontId="11" fillId="0" borderId="48" xfId="0" applyNumberFormat="1" applyFont="1" applyFill="1" applyBorder="1" applyAlignment="1">
      <alignment horizontal="center" vertical="top"/>
    </xf>
    <xf numFmtId="164" fontId="7" fillId="9" borderId="15" xfId="0" applyNumberFormat="1" applyFont="1" applyFill="1" applyBorder="1" applyAlignment="1">
      <alignment horizontal="center" vertical="top" wrapText="1"/>
    </xf>
    <xf numFmtId="164" fontId="7" fillId="9" borderId="21" xfId="0" applyNumberFormat="1" applyFont="1" applyFill="1" applyBorder="1" applyAlignment="1">
      <alignment horizontal="center" vertical="top" wrapText="1"/>
    </xf>
    <xf numFmtId="164" fontId="11" fillId="4" borderId="80" xfId="0" applyNumberFormat="1" applyFont="1" applyFill="1" applyBorder="1" applyAlignment="1">
      <alignment horizontal="center" vertical="top" wrapText="1"/>
    </xf>
    <xf numFmtId="164" fontId="7" fillId="9" borderId="26" xfId="0" applyNumberFormat="1" applyFont="1" applyFill="1" applyBorder="1" applyAlignment="1">
      <alignment horizontal="center" vertical="top" wrapText="1"/>
    </xf>
    <xf numFmtId="164" fontId="7" fillId="9" borderId="79" xfId="0" applyNumberFormat="1" applyFont="1" applyFill="1" applyBorder="1" applyAlignment="1">
      <alignment horizontal="center" vertical="top" wrapText="1"/>
    </xf>
    <xf numFmtId="0" fontId="11" fillId="4" borderId="8" xfId="0" applyNumberFormat="1" applyFont="1" applyFill="1" applyBorder="1" applyAlignment="1">
      <alignment vertical="top" wrapText="1"/>
    </xf>
    <xf numFmtId="0" fontId="11" fillId="4" borderId="7" xfId="0" applyNumberFormat="1" applyFont="1" applyFill="1" applyBorder="1" applyAlignment="1">
      <alignment vertical="top" wrapText="1"/>
    </xf>
    <xf numFmtId="0" fontId="11" fillId="4" borderId="22" xfId="0" applyNumberFormat="1" applyFont="1" applyFill="1" applyBorder="1" applyAlignment="1">
      <alignment vertical="top" wrapText="1"/>
    </xf>
    <xf numFmtId="164" fontId="11" fillId="8" borderId="13" xfId="0" applyNumberFormat="1" applyFont="1" applyFill="1" applyBorder="1" applyAlignment="1">
      <alignment horizontal="center" vertical="top" wrapText="1"/>
    </xf>
    <xf numFmtId="0" fontId="11" fillId="4" borderId="25" xfId="0" applyNumberFormat="1" applyFont="1" applyFill="1" applyBorder="1" applyAlignment="1">
      <alignment vertical="top" wrapText="1"/>
    </xf>
    <xf numFmtId="0" fontId="11" fillId="4" borderId="52" xfId="0" applyNumberFormat="1" applyFont="1" applyFill="1" applyBorder="1" applyAlignment="1">
      <alignment horizontal="center" wrapText="1"/>
    </xf>
    <xf numFmtId="0" fontId="11" fillId="4" borderId="10" xfId="0" applyNumberFormat="1" applyFont="1" applyFill="1" applyBorder="1" applyAlignment="1">
      <alignment vertical="top" wrapText="1"/>
    </xf>
    <xf numFmtId="0" fontId="11" fillId="4" borderId="26" xfId="0" applyNumberFormat="1" applyFont="1" applyFill="1" applyBorder="1" applyAlignment="1">
      <alignment vertical="top" wrapText="1"/>
    </xf>
    <xf numFmtId="164" fontId="7" fillId="9" borderId="13" xfId="0" applyNumberFormat="1" applyFont="1" applyFill="1" applyBorder="1" applyAlignment="1">
      <alignment horizontal="center" vertical="top" wrapText="1"/>
    </xf>
    <xf numFmtId="164" fontId="7" fillId="9" borderId="76" xfId="0" applyNumberFormat="1" applyFont="1" applyFill="1" applyBorder="1" applyAlignment="1">
      <alignment horizontal="center" vertical="top" wrapText="1"/>
    </xf>
    <xf numFmtId="164" fontId="7" fillId="3" borderId="17" xfId="0" applyNumberFormat="1" applyFont="1" applyFill="1" applyBorder="1" applyAlignment="1">
      <alignment horizontal="center" vertical="top"/>
    </xf>
    <xf numFmtId="1" fontId="11" fillId="8" borderId="10" xfId="0" applyNumberFormat="1" applyFont="1" applyFill="1" applyBorder="1" applyAlignment="1">
      <alignment horizontal="center" vertical="top"/>
    </xf>
    <xf numFmtId="1" fontId="11" fillId="8" borderId="12" xfId="0" applyNumberFormat="1" applyFont="1" applyFill="1" applyBorder="1" applyAlignment="1">
      <alignment horizontal="center" vertical="top"/>
    </xf>
    <xf numFmtId="1" fontId="11" fillId="8" borderId="34" xfId="0" applyNumberFormat="1" applyFont="1" applyFill="1" applyBorder="1" applyAlignment="1">
      <alignment horizontal="center" vertical="top"/>
    </xf>
    <xf numFmtId="0" fontId="13" fillId="0" borderId="73" xfId="0" applyFont="1" applyBorder="1" applyAlignment="1">
      <alignment horizontal="center" vertical="center" wrapText="1"/>
    </xf>
    <xf numFmtId="164" fontId="13" fillId="5" borderId="73" xfId="0" applyNumberFormat="1" applyFont="1" applyFill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164" fontId="8" fillId="0" borderId="21" xfId="0" applyNumberFormat="1" applyFont="1" applyFill="1" applyBorder="1" applyAlignment="1">
      <alignment horizontal="center" vertical="top" wrapText="1"/>
    </xf>
    <xf numFmtId="164" fontId="8" fillId="0" borderId="15" xfId="0" applyNumberFormat="1" applyFont="1" applyFill="1" applyBorder="1" applyAlignment="1">
      <alignment horizontal="center" vertical="top" wrapText="1"/>
    </xf>
    <xf numFmtId="164" fontId="8" fillId="0" borderId="62" xfId="0" applyNumberFormat="1" applyFont="1" applyFill="1" applyBorder="1" applyAlignment="1">
      <alignment horizontal="center" vertical="top" wrapText="1"/>
    </xf>
    <xf numFmtId="164" fontId="8" fillId="0" borderId="21" xfId="0" applyNumberFormat="1" applyFont="1" applyBorder="1" applyAlignment="1">
      <alignment horizontal="center" vertical="top" wrapText="1"/>
    </xf>
    <xf numFmtId="164" fontId="13" fillId="9" borderId="73" xfId="0" applyNumberFormat="1" applyFont="1" applyFill="1" applyBorder="1" applyAlignment="1">
      <alignment horizontal="center" vertical="top" wrapText="1"/>
    </xf>
    <xf numFmtId="0" fontId="8" fillId="8" borderId="45" xfId="0" applyFont="1" applyFill="1" applyBorder="1" applyAlignment="1">
      <alignment horizontal="center" vertical="top" wrapText="1"/>
    </xf>
    <xf numFmtId="0" fontId="8" fillId="8" borderId="52" xfId="0" applyFont="1" applyFill="1" applyBorder="1" applyAlignment="1">
      <alignment horizontal="center" vertical="top" wrapText="1"/>
    </xf>
    <xf numFmtId="49" fontId="7" fillId="4" borderId="7" xfId="0" applyNumberFormat="1" applyFont="1" applyFill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164" fontId="8" fillId="0" borderId="32" xfId="0" applyNumberFormat="1" applyFont="1" applyFill="1" applyBorder="1" applyAlignment="1">
      <alignment horizontal="center" vertical="top"/>
    </xf>
    <xf numFmtId="164" fontId="8" fillId="0" borderId="47" xfId="0" applyNumberFormat="1" applyFont="1" applyFill="1" applyBorder="1" applyAlignment="1">
      <alignment horizontal="center" vertical="top"/>
    </xf>
    <xf numFmtId="164" fontId="8" fillId="8" borderId="72" xfId="0" applyNumberFormat="1" applyFont="1" applyFill="1" applyBorder="1" applyAlignment="1">
      <alignment horizontal="center" vertical="top"/>
    </xf>
    <xf numFmtId="0" fontId="13" fillId="0" borderId="28" xfId="0" applyFont="1" applyFill="1" applyBorder="1" applyAlignment="1">
      <alignment horizontal="center" vertical="center" textRotation="90" wrapText="1"/>
    </xf>
    <xf numFmtId="0" fontId="13" fillId="0" borderId="11" xfId="0" applyNumberFormat="1" applyFont="1" applyBorder="1" applyAlignment="1">
      <alignment horizontal="center" vertical="top"/>
    </xf>
    <xf numFmtId="0" fontId="13" fillId="4" borderId="9" xfId="0" applyFont="1" applyFill="1" applyBorder="1" applyAlignment="1">
      <alignment vertical="top" wrapText="1"/>
    </xf>
    <xf numFmtId="0" fontId="7" fillId="4" borderId="9" xfId="0" applyFont="1" applyFill="1" applyBorder="1" applyAlignment="1">
      <alignment horizontal="center" vertical="top"/>
    </xf>
    <xf numFmtId="164" fontId="7" fillId="8" borderId="24" xfId="0" applyNumberFormat="1" applyFont="1" applyFill="1" applyBorder="1" applyAlignment="1">
      <alignment horizontal="center" vertical="center"/>
    </xf>
    <xf numFmtId="164" fontId="7" fillId="8" borderId="7" xfId="0" applyNumberFormat="1" applyFont="1" applyFill="1" applyBorder="1" applyAlignment="1">
      <alignment horizontal="center" vertical="center"/>
    </xf>
    <xf numFmtId="164" fontId="7" fillId="8" borderId="8" xfId="0" applyNumberFormat="1" applyFont="1" applyFill="1" applyBorder="1" applyAlignment="1">
      <alignment horizontal="center" vertical="center"/>
    </xf>
    <xf numFmtId="164" fontId="7" fillId="8" borderId="35" xfId="0" applyNumberFormat="1" applyFont="1" applyFill="1" applyBorder="1" applyAlignment="1">
      <alignment horizontal="center" vertical="center"/>
    </xf>
    <xf numFmtId="164" fontId="7" fillId="4" borderId="5" xfId="0" applyNumberFormat="1" applyFont="1" applyFill="1" applyBorder="1" applyAlignment="1">
      <alignment horizontal="center" vertical="center"/>
    </xf>
    <xf numFmtId="164" fontId="7" fillId="4" borderId="65" xfId="0" applyNumberFormat="1" applyFont="1" applyFill="1" applyBorder="1" applyAlignment="1">
      <alignment horizontal="center" vertical="center"/>
    </xf>
    <xf numFmtId="164" fontId="7" fillId="4" borderId="22" xfId="0" applyNumberFormat="1" applyFont="1" applyFill="1" applyBorder="1" applyAlignment="1">
      <alignment horizontal="center" vertical="center"/>
    </xf>
    <xf numFmtId="164" fontId="7" fillId="9" borderId="24" xfId="0" applyNumberFormat="1" applyFont="1" applyFill="1" applyBorder="1" applyAlignment="1">
      <alignment horizontal="center" vertical="center"/>
    </xf>
    <xf numFmtId="164" fontId="7" fillId="9" borderId="7" xfId="0" applyNumberFormat="1" applyFont="1" applyFill="1" applyBorder="1" applyAlignment="1">
      <alignment horizontal="center" vertical="center"/>
    </xf>
    <xf numFmtId="164" fontId="7" fillId="9" borderId="8" xfId="0" applyNumberFormat="1" applyFont="1" applyFill="1" applyBorder="1" applyAlignment="1">
      <alignment horizontal="center" vertical="center"/>
    </xf>
    <xf numFmtId="164" fontId="7" fillId="9" borderId="35" xfId="0" applyNumberFormat="1" applyFont="1" applyFill="1" applyBorder="1" applyAlignment="1">
      <alignment horizontal="center" vertical="center"/>
    </xf>
    <xf numFmtId="164" fontId="7" fillId="8" borderId="9" xfId="0" applyNumberFormat="1" applyFont="1" applyFill="1" applyBorder="1" applyAlignment="1">
      <alignment horizontal="center" vertical="center"/>
    </xf>
    <xf numFmtId="0" fontId="11" fillId="4" borderId="24" xfId="0" applyNumberFormat="1" applyFont="1" applyFill="1" applyBorder="1" applyAlignment="1">
      <alignment vertical="top" wrapText="1"/>
    </xf>
    <xf numFmtId="0" fontId="11" fillId="4" borderId="35" xfId="0" applyNumberFormat="1" applyFont="1" applyFill="1" applyBorder="1" applyAlignment="1">
      <alignment vertical="top" wrapText="1"/>
    </xf>
    <xf numFmtId="164" fontId="11" fillId="0" borderId="69" xfId="0" applyNumberFormat="1" applyFont="1" applyFill="1" applyBorder="1" applyAlignment="1">
      <alignment horizontal="center" vertical="top"/>
    </xf>
    <xf numFmtId="164" fontId="8" fillId="4" borderId="14" xfId="0" applyNumberFormat="1" applyFont="1" applyFill="1" applyBorder="1" applyAlignment="1">
      <alignment horizontal="center" vertical="top" wrapText="1"/>
    </xf>
    <xf numFmtId="49" fontId="8" fillId="6" borderId="53" xfId="0" applyNumberFormat="1" applyFont="1" applyFill="1" applyBorder="1" applyAlignment="1">
      <alignment horizontal="center" vertical="top"/>
    </xf>
    <xf numFmtId="164" fontId="11" fillId="0" borderId="28" xfId="0" applyNumberFormat="1" applyFont="1" applyBorder="1" applyAlignment="1">
      <alignment horizontal="center" vertical="top"/>
    </xf>
    <xf numFmtId="164" fontId="11" fillId="0" borderId="12" xfId="0" applyNumberFormat="1" applyFont="1" applyBorder="1" applyAlignment="1">
      <alignment horizontal="center" vertical="top"/>
    </xf>
    <xf numFmtId="164" fontId="11" fillId="0" borderId="50" xfId="0" applyNumberFormat="1" applyFont="1" applyBorder="1" applyAlignment="1">
      <alignment horizontal="center" vertical="top"/>
    </xf>
    <xf numFmtId="164" fontId="11" fillId="8" borderId="0" xfId="0" applyNumberFormat="1" applyFont="1" applyFill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8" fillId="4" borderId="12" xfId="0" applyNumberFormat="1" applyFont="1" applyFill="1" applyBorder="1" applyAlignment="1">
      <alignment horizontal="center" vertical="top" wrapText="1"/>
    </xf>
    <xf numFmtId="164" fontId="11" fillId="4" borderId="12" xfId="0" applyNumberFormat="1" applyFont="1" applyFill="1" applyBorder="1" applyAlignment="1">
      <alignment horizontal="center" vertical="top" wrapText="1"/>
    </xf>
    <xf numFmtId="49" fontId="7" fillId="6" borderId="78" xfId="0" applyNumberFormat="1" applyFont="1" applyFill="1" applyBorder="1" applyAlignment="1">
      <alignment horizontal="center" vertical="top"/>
    </xf>
    <xf numFmtId="0" fontId="7" fillId="9" borderId="13" xfId="0" applyFont="1" applyFill="1" applyBorder="1" applyAlignment="1">
      <alignment horizontal="center" vertical="top"/>
    </xf>
    <xf numFmtId="0" fontId="13" fillId="9" borderId="13" xfId="0" applyFont="1" applyFill="1" applyBorder="1" applyAlignment="1">
      <alignment horizontal="center" vertical="top" wrapText="1"/>
    </xf>
    <xf numFmtId="164" fontId="7" fillId="9" borderId="45" xfId="0" applyNumberFormat="1" applyFont="1" applyFill="1" applyBorder="1" applyAlignment="1">
      <alignment horizontal="center" vertical="top"/>
    </xf>
    <xf numFmtId="164" fontId="7" fillId="9" borderId="64" xfId="0" applyNumberFormat="1" applyFont="1" applyFill="1" applyBorder="1" applyAlignment="1">
      <alignment horizontal="center" vertical="top"/>
    </xf>
    <xf numFmtId="164" fontId="7" fillId="9" borderId="76" xfId="0" applyNumberFormat="1" applyFont="1" applyFill="1" applyBorder="1" applyAlignment="1">
      <alignment horizontal="center" vertical="top"/>
    </xf>
    <xf numFmtId="164" fontId="7" fillId="9" borderId="69" xfId="0" applyNumberFormat="1" applyFont="1" applyFill="1" applyBorder="1" applyAlignment="1">
      <alignment horizontal="center" vertical="top"/>
    </xf>
    <xf numFmtId="164" fontId="7" fillId="9" borderId="56" xfId="0" applyNumberFormat="1" applyFont="1" applyFill="1" applyBorder="1" applyAlignment="1">
      <alignment horizontal="center" vertical="top"/>
    </xf>
    <xf numFmtId="0" fontId="13" fillId="9" borderId="13" xfId="0" applyFont="1" applyFill="1" applyBorder="1" applyAlignment="1">
      <alignment horizontal="center" vertical="top"/>
    </xf>
    <xf numFmtId="164" fontId="13" fillId="9" borderId="56" xfId="0" applyNumberFormat="1" applyFont="1" applyFill="1" applyBorder="1" applyAlignment="1">
      <alignment horizontal="center" vertical="top"/>
    </xf>
    <xf numFmtId="164" fontId="13" fillId="9" borderId="1" xfId="0" applyNumberFormat="1" applyFont="1" applyFill="1" applyBorder="1" applyAlignment="1">
      <alignment horizontal="center" vertical="top"/>
    </xf>
    <xf numFmtId="0" fontId="7" fillId="9" borderId="51" xfId="0" applyFont="1" applyFill="1" applyBorder="1" applyAlignment="1">
      <alignment horizontal="center" vertical="top"/>
    </xf>
    <xf numFmtId="0" fontId="13" fillId="9" borderId="76" xfId="0" applyFont="1" applyFill="1" applyBorder="1" applyAlignment="1">
      <alignment horizontal="center" vertical="top"/>
    </xf>
    <xf numFmtId="164" fontId="7" fillId="9" borderId="13" xfId="0" applyNumberFormat="1" applyFont="1" applyFill="1" applyBorder="1" applyAlignment="1">
      <alignment horizontal="center" vertical="top"/>
    </xf>
    <xf numFmtId="0" fontId="11" fillId="0" borderId="38" xfId="0" applyFont="1" applyFill="1" applyBorder="1" applyAlignment="1">
      <alignment vertical="top"/>
    </xf>
    <xf numFmtId="0" fontId="11" fillId="0" borderId="39" xfId="0" applyFont="1" applyFill="1" applyBorder="1" applyAlignment="1">
      <alignment vertical="top"/>
    </xf>
    <xf numFmtId="0" fontId="11" fillId="0" borderId="36" xfId="0" applyFont="1" applyFill="1" applyBorder="1" applyAlignment="1">
      <alignment vertical="top"/>
    </xf>
    <xf numFmtId="49" fontId="8" fillId="4" borderId="34" xfId="0" applyNumberFormat="1" applyFont="1" applyFill="1" applyBorder="1" applyAlignment="1">
      <alignment horizontal="center" vertical="top" wrapText="1"/>
    </xf>
    <xf numFmtId="0" fontId="11" fillId="8" borderId="15" xfId="0" applyFont="1" applyFill="1" applyBorder="1" applyAlignment="1">
      <alignment horizontal="center" vertical="top" wrapText="1"/>
    </xf>
    <xf numFmtId="164" fontId="11" fillId="8" borderId="28" xfId="0" applyNumberFormat="1" applyFont="1" applyFill="1" applyBorder="1" applyAlignment="1">
      <alignment horizontal="center" vertical="top" wrapText="1"/>
    </xf>
    <xf numFmtId="164" fontId="11" fillId="9" borderId="28" xfId="0" applyNumberFormat="1" applyFont="1" applyFill="1" applyBorder="1" applyAlignment="1">
      <alignment horizontal="center" vertical="top" wrapText="1"/>
    </xf>
    <xf numFmtId="49" fontId="8" fillId="4" borderId="78" xfId="0" applyNumberFormat="1" applyFont="1" applyFill="1" applyBorder="1" applyAlignment="1">
      <alignment horizontal="center" vertical="top" wrapText="1"/>
    </xf>
    <xf numFmtId="0" fontId="11" fillId="8" borderId="26" xfId="0" applyFont="1" applyFill="1" applyBorder="1" applyAlignment="1">
      <alignment vertical="top" wrapText="1"/>
    </xf>
    <xf numFmtId="0" fontId="11" fillId="0" borderId="69" xfId="0" applyFont="1" applyFill="1" applyBorder="1" applyAlignment="1">
      <alignment horizontal="center" vertical="top" wrapText="1"/>
    </xf>
    <xf numFmtId="0" fontId="11" fillId="0" borderId="76" xfId="0" applyFont="1" applyFill="1" applyBorder="1" applyAlignment="1">
      <alignment horizontal="center" vertical="top" wrapText="1"/>
    </xf>
    <xf numFmtId="164" fontId="11" fillId="9" borderId="38" xfId="0" applyNumberFormat="1" applyFont="1" applyFill="1" applyBorder="1" applyAlignment="1">
      <alignment horizontal="center" vertical="top" wrapText="1"/>
    </xf>
    <xf numFmtId="49" fontId="13" fillId="6" borderId="48" xfId="0" applyNumberFormat="1" applyFont="1" applyFill="1" applyBorder="1" applyAlignment="1">
      <alignment horizontal="center" vertical="top"/>
    </xf>
    <xf numFmtId="0" fontId="13" fillId="4" borderId="77" xfId="0" applyFont="1" applyFill="1" applyBorder="1" applyAlignment="1">
      <alignment vertical="top" wrapText="1"/>
    </xf>
    <xf numFmtId="0" fontId="13" fillId="0" borderId="33" xfId="0" applyFont="1" applyFill="1" applyBorder="1" applyAlignment="1">
      <alignment horizontal="center" vertical="top" textRotation="180" wrapText="1"/>
    </xf>
    <xf numFmtId="49" fontId="8" fillId="0" borderId="47" xfId="0" applyNumberFormat="1" applyFont="1" applyBorder="1" applyAlignment="1">
      <alignment vertical="center" wrapText="1"/>
    </xf>
    <xf numFmtId="0" fontId="13" fillId="0" borderId="48" xfId="0" applyNumberFormat="1" applyFont="1" applyBorder="1" applyAlignment="1">
      <alignment horizontal="center" vertical="center"/>
    </xf>
    <xf numFmtId="0" fontId="8" fillId="0" borderId="77" xfId="0" applyNumberFormat="1" applyFont="1" applyBorder="1" applyAlignment="1">
      <alignment horizontal="center" vertical="center" textRotation="90" wrapText="1"/>
    </xf>
    <xf numFmtId="0" fontId="11" fillId="4" borderId="16" xfId="0" applyFont="1" applyFill="1" applyBorder="1" applyAlignment="1">
      <alignment horizontal="center" vertical="top" wrapText="1"/>
    </xf>
    <xf numFmtId="164" fontId="11" fillId="8" borderId="32" xfId="0" applyNumberFormat="1" applyFont="1" applyFill="1" applyBorder="1" applyAlignment="1">
      <alignment horizontal="center" vertical="top" wrapText="1"/>
    </xf>
    <xf numFmtId="164" fontId="11" fillId="8" borderId="49" xfId="0" applyNumberFormat="1" applyFont="1" applyFill="1" applyBorder="1" applyAlignment="1">
      <alignment horizontal="center" vertical="top" wrapText="1"/>
    </xf>
    <xf numFmtId="164" fontId="11" fillId="4" borderId="46" xfId="0" applyNumberFormat="1" applyFont="1" applyFill="1" applyBorder="1" applyAlignment="1">
      <alignment horizontal="center" vertical="top" wrapText="1"/>
    </xf>
    <xf numFmtId="164" fontId="11" fillId="4" borderId="47" xfId="0" applyNumberFormat="1" applyFont="1" applyFill="1" applyBorder="1" applyAlignment="1">
      <alignment horizontal="center" vertical="top" wrapText="1"/>
    </xf>
    <xf numFmtId="164" fontId="11" fillId="4" borderId="58" xfId="0" applyNumberFormat="1" applyFont="1" applyFill="1" applyBorder="1" applyAlignment="1">
      <alignment horizontal="center" vertical="top" wrapText="1"/>
    </xf>
    <xf numFmtId="164" fontId="11" fillId="9" borderId="32" xfId="0" applyNumberFormat="1" applyFont="1" applyFill="1" applyBorder="1" applyAlignment="1">
      <alignment horizontal="center" vertical="top" wrapText="1"/>
    </xf>
    <xf numFmtId="164" fontId="11" fillId="9" borderId="49" xfId="0" applyNumberFormat="1" applyFont="1" applyFill="1" applyBorder="1" applyAlignment="1">
      <alignment horizontal="center" vertical="top" wrapText="1"/>
    </xf>
    <xf numFmtId="164" fontId="11" fillId="8" borderId="16" xfId="0" applyNumberFormat="1" applyFont="1" applyFill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horizontal="left" vertical="top" wrapText="1"/>
    </xf>
    <xf numFmtId="0" fontId="11" fillId="4" borderId="33" xfId="0" applyNumberFormat="1" applyFont="1" applyFill="1" applyBorder="1" applyAlignment="1">
      <alignment horizontal="center" vertical="top" wrapText="1"/>
    </xf>
    <xf numFmtId="0" fontId="11" fillId="4" borderId="47" xfId="0" applyNumberFormat="1" applyFont="1" applyFill="1" applyBorder="1" applyAlignment="1">
      <alignment horizontal="center" vertical="top" wrapText="1"/>
    </xf>
    <xf numFmtId="0" fontId="11" fillId="4" borderId="77" xfId="0" applyNumberFormat="1" applyFont="1" applyFill="1" applyBorder="1" applyAlignment="1">
      <alignment horizontal="center" vertical="top" wrapText="1"/>
    </xf>
    <xf numFmtId="49" fontId="7" fillId="2" borderId="28" xfId="0" applyNumberFormat="1" applyFont="1" applyFill="1" applyBorder="1" applyAlignment="1">
      <alignment horizontal="center" vertical="top"/>
    </xf>
    <xf numFmtId="0" fontId="11" fillId="4" borderId="70" xfId="0" applyFont="1" applyFill="1" applyBorder="1" applyAlignment="1">
      <alignment horizontal="left" vertical="top" wrapText="1"/>
    </xf>
    <xf numFmtId="1" fontId="11" fillId="0" borderId="52" xfId="0" applyNumberFormat="1" applyFont="1" applyFill="1" applyBorder="1" applyAlignment="1">
      <alignment horizontal="center" vertical="top"/>
    </xf>
    <xf numFmtId="1" fontId="11" fillId="0" borderId="17" xfId="0" applyNumberFormat="1" applyFont="1" applyFill="1" applyBorder="1" applyAlignment="1">
      <alignment horizontal="center" vertical="top"/>
    </xf>
    <xf numFmtId="0" fontId="7" fillId="0" borderId="24" xfId="0" applyFont="1" applyBorder="1" applyAlignment="1">
      <alignment vertical="center" textRotation="90"/>
    </xf>
    <xf numFmtId="0" fontId="8" fillId="0" borderId="9" xfId="0" applyNumberFormat="1" applyFont="1" applyBorder="1" applyAlignment="1">
      <alignment horizontal="center" vertical="center" textRotation="90" wrapText="1"/>
    </xf>
    <xf numFmtId="0" fontId="7" fillId="0" borderId="28" xfId="0" applyFont="1" applyBorder="1" applyAlignment="1">
      <alignment vertical="center" textRotation="90"/>
    </xf>
    <xf numFmtId="0" fontId="7" fillId="0" borderId="68" xfId="0" applyFont="1" applyBorder="1" applyAlignment="1">
      <alignment horizontal="center" vertical="center" textRotation="90"/>
    </xf>
    <xf numFmtId="164" fontId="11" fillId="8" borderId="43" xfId="0" applyNumberFormat="1" applyFont="1" applyFill="1" applyBorder="1" applyAlignment="1">
      <alignment horizontal="center" vertical="center"/>
    </xf>
    <xf numFmtId="164" fontId="11" fillId="9" borderId="43" xfId="0" applyNumberFormat="1" applyFont="1" applyFill="1" applyBorder="1" applyAlignment="1">
      <alignment horizontal="center" vertical="center"/>
    </xf>
    <xf numFmtId="164" fontId="8" fillId="4" borderId="57" xfId="0" applyNumberFormat="1" applyFont="1" applyFill="1" applyBorder="1" applyAlignment="1">
      <alignment horizontal="center" vertical="top"/>
    </xf>
    <xf numFmtId="164" fontId="11" fillId="4" borderId="53" xfId="0" applyNumberFormat="1" applyFont="1" applyFill="1" applyBorder="1" applyAlignment="1">
      <alignment horizontal="center" vertical="top"/>
    </xf>
    <xf numFmtId="164" fontId="11" fillId="4" borderId="60" xfId="0" applyNumberFormat="1" applyFont="1" applyFill="1" applyBorder="1" applyAlignment="1">
      <alignment horizontal="center" vertical="top"/>
    </xf>
    <xf numFmtId="164" fontId="8" fillId="4" borderId="52" xfId="0" applyNumberFormat="1" applyFont="1" applyFill="1" applyBorder="1" applyAlignment="1">
      <alignment horizontal="center" vertical="top"/>
    </xf>
    <xf numFmtId="49" fontId="7" fillId="0" borderId="21" xfId="0" applyNumberFormat="1" applyFont="1" applyFill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top" textRotation="180" wrapText="1"/>
    </xf>
    <xf numFmtId="164" fontId="11" fillId="8" borderId="76" xfId="0" applyNumberFormat="1" applyFont="1" applyFill="1" applyBorder="1" applyAlignment="1">
      <alignment horizontal="center" vertical="top" wrapText="1"/>
    </xf>
    <xf numFmtId="0" fontId="11" fillId="8" borderId="25" xfId="0" applyNumberFormat="1" applyFont="1" applyFill="1" applyBorder="1" applyAlignment="1">
      <alignment vertical="top" wrapText="1"/>
    </xf>
    <xf numFmtId="0" fontId="11" fillId="8" borderId="60" xfId="0" applyNumberFormat="1" applyFont="1" applyFill="1" applyBorder="1" applyAlignment="1">
      <alignment horizontal="center" vertical="top" wrapText="1"/>
    </xf>
    <xf numFmtId="0" fontId="11" fillId="8" borderId="43" xfId="0" applyNumberFormat="1" applyFont="1" applyFill="1" applyBorder="1" applyAlignment="1">
      <alignment horizontal="center" vertical="top" wrapText="1"/>
    </xf>
    <xf numFmtId="0" fontId="11" fillId="8" borderId="13" xfId="0" applyNumberFormat="1" applyFont="1" applyFill="1" applyBorder="1" applyAlignment="1">
      <alignment vertical="top" wrapText="1"/>
    </xf>
    <xf numFmtId="0" fontId="11" fillId="8" borderId="69" xfId="0" applyFont="1" applyFill="1" applyBorder="1" applyAlignment="1">
      <alignment vertical="top"/>
    </xf>
    <xf numFmtId="0" fontId="11" fillId="8" borderId="1" xfId="0" applyFont="1" applyFill="1" applyBorder="1" applyAlignment="1">
      <alignment horizontal="center" vertical="top"/>
    </xf>
    <xf numFmtId="164" fontId="11" fillId="0" borderId="64" xfId="0" applyNumberFormat="1" applyFont="1" applyFill="1" applyBorder="1" applyAlignment="1">
      <alignment horizontal="center" vertical="top"/>
    </xf>
    <xf numFmtId="0" fontId="11" fillId="0" borderId="16" xfId="0" applyNumberFormat="1" applyFont="1" applyFill="1" applyBorder="1" applyAlignment="1">
      <alignment horizontal="left" vertical="top"/>
    </xf>
    <xf numFmtId="0" fontId="11" fillId="0" borderId="13" xfId="0" applyNumberFormat="1" applyFont="1" applyFill="1" applyBorder="1" applyAlignment="1">
      <alignment horizontal="left" vertical="top" wrapText="1"/>
    </xf>
    <xf numFmtId="0" fontId="11" fillId="0" borderId="45" xfId="0" applyNumberFormat="1" applyFont="1" applyFill="1" applyBorder="1" applyAlignment="1">
      <alignment horizontal="center" vertical="top"/>
    </xf>
    <xf numFmtId="164" fontId="11" fillId="0" borderId="65" xfId="0" applyNumberFormat="1" applyFont="1" applyFill="1" applyBorder="1" applyAlignment="1">
      <alignment horizontal="center" vertical="top"/>
    </xf>
    <xf numFmtId="164" fontId="11" fillId="0" borderId="8" xfId="0" applyNumberFormat="1" applyFont="1" applyFill="1" applyBorder="1" applyAlignment="1">
      <alignment horizontal="center" vertical="top"/>
    </xf>
    <xf numFmtId="164" fontId="11" fillId="0" borderId="11" xfId="0" applyNumberFormat="1" applyFont="1" applyFill="1" applyBorder="1" applyAlignment="1">
      <alignment horizontal="center" vertical="top"/>
    </xf>
    <xf numFmtId="0" fontId="11" fillId="0" borderId="76" xfId="0" applyFont="1" applyBorder="1" applyAlignment="1">
      <alignment horizontal="center" vertical="top"/>
    </xf>
    <xf numFmtId="164" fontId="11" fillId="4" borderId="51" xfId="0" applyNumberFormat="1" applyFont="1" applyFill="1" applyBorder="1" applyAlignment="1">
      <alignment horizontal="center" vertical="top"/>
    </xf>
    <xf numFmtId="164" fontId="11" fillId="11" borderId="45" xfId="0" applyNumberFormat="1" applyFont="1" applyFill="1" applyBorder="1" applyAlignment="1">
      <alignment horizontal="center" vertical="top"/>
    </xf>
    <xf numFmtId="164" fontId="11" fillId="11" borderId="1" xfId="0" applyNumberFormat="1" applyFont="1" applyFill="1" applyBorder="1" applyAlignment="1">
      <alignment horizontal="center" vertical="top"/>
    </xf>
    <xf numFmtId="164" fontId="11" fillId="11" borderId="51" xfId="0" applyNumberFormat="1" applyFont="1" applyFill="1" applyBorder="1" applyAlignment="1">
      <alignment horizontal="center" vertical="top"/>
    </xf>
    <xf numFmtId="49" fontId="7" fillId="8" borderId="52" xfId="0" applyNumberFormat="1" applyFont="1" applyFill="1" applyBorder="1" applyAlignment="1">
      <alignment vertical="center" textRotation="90"/>
    </xf>
    <xf numFmtId="49" fontId="7" fillId="8" borderId="38" xfId="0" applyNumberFormat="1" applyFont="1" applyFill="1" applyBorder="1" applyAlignment="1">
      <alignment vertical="center" textRotation="90"/>
    </xf>
    <xf numFmtId="164" fontId="13" fillId="3" borderId="19" xfId="0" applyNumberFormat="1" applyFont="1" applyFill="1" applyBorder="1" applyAlignment="1">
      <alignment horizontal="center" vertical="top"/>
    </xf>
    <xf numFmtId="164" fontId="13" fillId="3" borderId="31" xfId="0" applyNumberFormat="1" applyFont="1" applyFill="1" applyBorder="1" applyAlignment="1">
      <alignment horizontal="center" vertical="top"/>
    </xf>
    <xf numFmtId="49" fontId="7" fillId="4" borderId="34" xfId="0" applyNumberFormat="1" applyFont="1" applyFill="1" applyBorder="1" applyAlignment="1">
      <alignment horizontal="center" vertical="top"/>
    </xf>
    <xf numFmtId="164" fontId="11" fillId="0" borderId="46" xfId="0" applyNumberFormat="1" applyFont="1" applyFill="1" applyBorder="1" applyAlignment="1">
      <alignment horizontal="center" vertical="top" wrapText="1"/>
    </xf>
    <xf numFmtId="164" fontId="11" fillId="0" borderId="47" xfId="0" applyNumberFormat="1" applyFont="1" applyFill="1" applyBorder="1" applyAlignment="1">
      <alignment horizontal="center" vertical="top" wrapText="1"/>
    </xf>
    <xf numFmtId="164" fontId="11" fillId="0" borderId="58" xfId="0" applyNumberFormat="1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vertical="top" wrapText="1"/>
    </xf>
    <xf numFmtId="49" fontId="7" fillId="4" borderId="35" xfId="0" applyNumberFormat="1" applyFont="1" applyFill="1" applyBorder="1" applyAlignment="1">
      <alignment horizontal="center" vertical="top"/>
    </xf>
    <xf numFmtId="49" fontId="7" fillId="4" borderId="31" xfId="0" applyNumberFormat="1" applyFont="1" applyFill="1" applyBorder="1" applyAlignment="1">
      <alignment horizontal="center" vertical="top"/>
    </xf>
    <xf numFmtId="0" fontId="8" fillId="0" borderId="15" xfId="0" applyNumberFormat="1" applyFont="1" applyBorder="1" applyAlignment="1">
      <alignment horizontal="center" vertical="center" textRotation="90" wrapText="1"/>
    </xf>
    <xf numFmtId="164" fontId="7" fillId="6" borderId="69" xfId="0" applyNumberFormat="1" applyFont="1" applyFill="1" applyBorder="1" applyAlignment="1">
      <alignment horizontal="center" vertical="top"/>
    </xf>
    <xf numFmtId="164" fontId="7" fillId="6" borderId="2" xfId="0" applyNumberFormat="1" applyFont="1" applyFill="1" applyBorder="1" applyAlignment="1">
      <alignment horizontal="center" vertical="top"/>
    </xf>
    <xf numFmtId="164" fontId="7" fillId="6" borderId="59" xfId="0" applyNumberFormat="1" applyFont="1" applyFill="1" applyBorder="1" applyAlignment="1">
      <alignment horizontal="center" vertical="top"/>
    </xf>
    <xf numFmtId="164" fontId="7" fillId="6" borderId="63" xfId="0" applyNumberFormat="1" applyFont="1" applyFill="1" applyBorder="1" applyAlignment="1">
      <alignment horizontal="center" vertical="top"/>
    </xf>
    <xf numFmtId="0" fontId="11" fillId="0" borderId="38" xfId="0" applyFont="1" applyFill="1" applyBorder="1" applyAlignment="1">
      <alignment horizontal="center" vertical="top" wrapText="1"/>
    </xf>
    <xf numFmtId="0" fontId="11" fillId="0" borderId="39" xfId="0" applyFont="1" applyFill="1" applyBorder="1" applyAlignment="1">
      <alignment horizontal="center" vertical="top" wrapText="1"/>
    </xf>
    <xf numFmtId="0" fontId="11" fillId="0" borderId="36" xfId="0" applyFont="1" applyFill="1" applyBorder="1" applyAlignment="1">
      <alignment horizontal="center" vertical="top" wrapText="1"/>
    </xf>
    <xf numFmtId="49" fontId="7" fillId="2" borderId="38" xfId="0" applyNumberFormat="1" applyFont="1" applyFill="1" applyBorder="1" applyAlignment="1">
      <alignment horizontal="center" vertical="top"/>
    </xf>
    <xf numFmtId="49" fontId="7" fillId="3" borderId="39" xfId="0" applyNumberFormat="1" applyFont="1" applyFill="1" applyBorder="1" applyAlignment="1">
      <alignment horizontal="center" vertical="top"/>
    </xf>
    <xf numFmtId="49" fontId="13" fillId="0" borderId="39" xfId="0" applyNumberFormat="1" applyFont="1" applyBorder="1" applyAlignment="1">
      <alignment horizontal="center" vertical="top"/>
    </xf>
    <xf numFmtId="0" fontId="13" fillId="0" borderId="80" xfId="0" applyFont="1" applyFill="1" applyBorder="1" applyAlignment="1">
      <alignment horizontal="center" vertical="top" textRotation="180" wrapText="1"/>
    </xf>
    <xf numFmtId="0" fontId="13" fillId="0" borderId="78" xfId="0" applyNumberFormat="1" applyFont="1" applyBorder="1" applyAlignment="1">
      <alignment horizontal="center" vertical="top"/>
    </xf>
    <xf numFmtId="0" fontId="8" fillId="0" borderId="26" xfId="0" applyNumberFormat="1" applyFont="1" applyBorder="1" applyAlignment="1">
      <alignment vertical="center" textRotation="90" wrapText="1"/>
    </xf>
    <xf numFmtId="49" fontId="8" fillId="4" borderId="36" xfId="0" applyNumberFormat="1" applyFont="1" applyFill="1" applyBorder="1" applyAlignment="1">
      <alignment horizontal="center" vertical="top" wrapText="1"/>
    </xf>
    <xf numFmtId="0" fontId="11" fillId="0" borderId="26" xfId="0" applyFont="1" applyFill="1" applyBorder="1" applyAlignment="1">
      <alignment vertical="top" wrapText="1"/>
    </xf>
    <xf numFmtId="164" fontId="8" fillId="4" borderId="80" xfId="0" applyNumberFormat="1" applyFont="1" applyFill="1" applyBorder="1" applyAlignment="1">
      <alignment horizontal="center" vertical="top" wrapText="1"/>
    </xf>
    <xf numFmtId="164" fontId="8" fillId="4" borderId="39" xfId="0" applyNumberFormat="1" applyFont="1" applyFill="1" applyBorder="1" applyAlignment="1">
      <alignment horizontal="center" vertical="top" wrapText="1"/>
    </xf>
    <xf numFmtId="49" fontId="7" fillId="0" borderId="39" xfId="0" applyNumberFormat="1" applyFont="1" applyBorder="1" applyAlignment="1">
      <alignment horizontal="center" vertical="top" wrapText="1"/>
    </xf>
    <xf numFmtId="0" fontId="7" fillId="0" borderId="38" xfId="0" applyFont="1" applyFill="1" applyBorder="1" applyAlignment="1">
      <alignment vertical="center" textRotation="90" wrapText="1"/>
    </xf>
    <xf numFmtId="0" fontId="11" fillId="0" borderId="39" xfId="0" applyFont="1" applyBorder="1" applyAlignment="1">
      <alignment horizontal="center" vertical="top" wrapText="1"/>
    </xf>
    <xf numFmtId="0" fontId="11" fillId="0" borderId="72" xfId="0" applyFont="1" applyFill="1" applyBorder="1" applyAlignment="1">
      <alignment horizontal="center" vertical="top" wrapText="1"/>
    </xf>
    <xf numFmtId="49" fontId="7" fillId="2" borderId="38" xfId="0" applyNumberFormat="1" applyFont="1" applyFill="1" applyBorder="1" applyAlignment="1">
      <alignment vertical="top"/>
    </xf>
    <xf numFmtId="49" fontId="13" fillId="4" borderId="39" xfId="0" applyNumberFormat="1" applyFont="1" applyFill="1" applyBorder="1" applyAlignment="1">
      <alignment vertical="top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6" xfId="0" applyNumberFormat="1" applyFont="1" applyBorder="1" applyAlignment="1">
      <alignment horizontal="center" vertical="center"/>
    </xf>
    <xf numFmtId="0" fontId="11" fillId="0" borderId="78" xfId="0" applyFont="1" applyFill="1" applyBorder="1" applyAlignment="1">
      <alignment vertical="top" wrapText="1"/>
    </xf>
    <xf numFmtId="49" fontId="7" fillId="4" borderId="9" xfId="0" applyNumberFormat="1" applyFont="1" applyFill="1" applyBorder="1" applyAlignment="1">
      <alignment vertical="top" wrapText="1"/>
    </xf>
    <xf numFmtId="0" fontId="7" fillId="0" borderId="8" xfId="0" applyFont="1" applyBorder="1" applyAlignment="1">
      <alignment horizontal="center" vertical="center" textRotation="90"/>
    </xf>
    <xf numFmtId="49" fontId="11" fillId="4" borderId="7" xfId="0" applyNumberFormat="1" applyFont="1" applyFill="1" applyBorder="1" applyAlignment="1">
      <alignment horizontal="center" vertical="top"/>
    </xf>
    <xf numFmtId="164" fontId="11" fillId="0" borderId="48" xfId="0" applyNumberFormat="1" applyFont="1" applyFill="1" applyBorder="1" applyAlignment="1">
      <alignment horizontal="center" vertical="top" wrapText="1"/>
    </xf>
    <xf numFmtId="0" fontId="11" fillId="0" borderId="33" xfId="0" applyFont="1" applyFill="1" applyBorder="1" applyAlignment="1">
      <alignment horizontal="center" vertical="top" wrapText="1"/>
    </xf>
    <xf numFmtId="164" fontId="7" fillId="9" borderId="1" xfId="0" applyNumberFormat="1" applyFont="1" applyFill="1" applyBorder="1" applyAlignment="1">
      <alignment horizontal="center" vertical="top"/>
    </xf>
    <xf numFmtId="164" fontId="11" fillId="4" borderId="38" xfId="0" applyNumberFormat="1" applyFont="1" applyFill="1" applyBorder="1" applyAlignment="1">
      <alignment horizontal="center" vertical="top"/>
    </xf>
    <xf numFmtId="164" fontId="11" fillId="0" borderId="32" xfId="0" applyNumberFormat="1" applyFont="1" applyFill="1" applyBorder="1" applyAlignment="1">
      <alignment horizontal="center" vertical="top"/>
    </xf>
    <xf numFmtId="164" fontId="8" fillId="4" borderId="54" xfId="0" applyNumberFormat="1" applyFont="1" applyFill="1" applyBorder="1" applyAlignment="1">
      <alignment horizontal="center" vertical="top"/>
    </xf>
    <xf numFmtId="164" fontId="8" fillId="4" borderId="43" xfId="0" applyNumberFormat="1" applyFont="1" applyFill="1" applyBorder="1" applyAlignment="1">
      <alignment horizontal="center" vertical="top"/>
    </xf>
    <xf numFmtId="164" fontId="8" fillId="8" borderId="56" xfId="0" applyNumberFormat="1" applyFont="1" applyFill="1" applyBorder="1" applyAlignment="1">
      <alignment horizontal="center" vertical="top" wrapText="1"/>
    </xf>
    <xf numFmtId="164" fontId="8" fillId="8" borderId="1" xfId="0" applyNumberFormat="1" applyFont="1" applyFill="1" applyBorder="1" applyAlignment="1">
      <alignment horizontal="center" vertical="top" wrapText="1"/>
    </xf>
    <xf numFmtId="164" fontId="8" fillId="8" borderId="14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49" fontId="7" fillId="10" borderId="34" xfId="0" applyNumberFormat="1" applyFont="1" applyFill="1" applyBorder="1" applyAlignment="1">
      <alignment horizontal="center" vertical="top"/>
    </xf>
    <xf numFmtId="49" fontId="7" fillId="10" borderId="36" xfId="0" applyNumberFormat="1" applyFont="1" applyFill="1" applyBorder="1" applyAlignment="1">
      <alignment horizontal="center" vertical="top"/>
    </xf>
    <xf numFmtId="49" fontId="7" fillId="0" borderId="36" xfId="0" applyNumberFormat="1" applyFont="1" applyBorder="1" applyAlignment="1">
      <alignment vertical="top" wrapText="1"/>
    </xf>
    <xf numFmtId="0" fontId="11" fillId="0" borderId="26" xfId="0" applyNumberFormat="1" applyFont="1" applyBorder="1" applyAlignment="1">
      <alignment vertical="top" wrapText="1"/>
    </xf>
    <xf numFmtId="0" fontId="11" fillId="0" borderId="54" xfId="0" applyNumberFormat="1" applyFont="1" applyBorder="1" applyAlignment="1">
      <alignment horizontal="center" vertical="top" wrapText="1"/>
    </xf>
    <xf numFmtId="0" fontId="11" fillId="0" borderId="43" xfId="0" applyNumberFormat="1" applyFont="1" applyBorder="1" applyAlignment="1">
      <alignment horizontal="center" vertical="top" wrapText="1"/>
    </xf>
    <xf numFmtId="0" fontId="11" fillId="0" borderId="37" xfId="0" applyNumberFormat="1" applyFont="1" applyBorder="1" applyAlignment="1">
      <alignment horizontal="center" vertical="top" wrapText="1"/>
    </xf>
    <xf numFmtId="164" fontId="7" fillId="10" borderId="59" xfId="0" applyNumberFormat="1" applyFont="1" applyFill="1" applyBorder="1" applyAlignment="1">
      <alignment horizontal="center" vertical="top"/>
    </xf>
    <xf numFmtId="164" fontId="7" fillId="10" borderId="67" xfId="0" applyNumberFormat="1" applyFont="1" applyFill="1" applyBorder="1" applyAlignment="1">
      <alignment horizontal="center" vertical="top"/>
    </xf>
    <xf numFmtId="164" fontId="11" fillId="0" borderId="54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center" vertical="top"/>
    </xf>
    <xf numFmtId="0" fontId="11" fillId="4" borderId="21" xfId="0" applyFont="1" applyFill="1" applyBorder="1" applyAlignment="1">
      <alignment horizontal="center" vertical="top" wrapText="1"/>
    </xf>
    <xf numFmtId="0" fontId="11" fillId="4" borderId="25" xfId="0" applyFont="1" applyFill="1" applyBorder="1" applyAlignment="1">
      <alignment vertical="top" wrapText="1"/>
    </xf>
    <xf numFmtId="0" fontId="11" fillId="0" borderId="25" xfId="0" applyFont="1" applyFill="1" applyBorder="1" applyAlignment="1">
      <alignment vertical="top" wrapText="1"/>
    </xf>
    <xf numFmtId="0" fontId="11" fillId="0" borderId="28" xfId="0" applyNumberFormat="1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center" vertical="top"/>
    </xf>
    <xf numFmtId="0" fontId="11" fillId="0" borderId="19" xfId="0" applyFont="1" applyFill="1" applyBorder="1" applyAlignment="1">
      <alignment horizontal="center" vertical="top"/>
    </xf>
    <xf numFmtId="0" fontId="11" fillId="0" borderId="31" xfId="0" applyFont="1" applyFill="1" applyBorder="1" applyAlignment="1">
      <alignment horizontal="center" vertical="top"/>
    </xf>
    <xf numFmtId="49" fontId="8" fillId="10" borderId="34" xfId="0" applyNumberFormat="1" applyFont="1" applyFill="1" applyBorder="1" applyAlignment="1">
      <alignment horizontal="center" vertical="top"/>
    </xf>
    <xf numFmtId="49" fontId="7" fillId="0" borderId="34" xfId="0" applyNumberFormat="1" applyFont="1" applyBorder="1" applyAlignment="1">
      <alignment horizontal="center" vertical="top" wrapText="1"/>
    </xf>
    <xf numFmtId="49" fontId="8" fillId="10" borderId="0" xfId="0" applyNumberFormat="1" applyFont="1" applyFill="1" applyBorder="1" applyAlignment="1">
      <alignment horizontal="center" vertical="top"/>
    </xf>
    <xf numFmtId="0" fontId="13" fillId="9" borderId="25" xfId="0" applyFont="1" applyFill="1" applyBorder="1" applyAlignment="1">
      <alignment horizontal="center" vertical="top" wrapText="1"/>
    </xf>
    <xf numFmtId="164" fontId="13" fillId="9" borderId="43" xfId="0" applyNumberFormat="1" applyFont="1" applyFill="1" applyBorder="1" applyAlignment="1">
      <alignment horizontal="center" vertical="top" wrapText="1"/>
    </xf>
    <xf numFmtId="0" fontId="11" fillId="0" borderId="80" xfId="0" applyNumberFormat="1" applyFont="1" applyBorder="1" applyAlignment="1">
      <alignment horizontal="center" vertical="top" wrapText="1"/>
    </xf>
    <xf numFmtId="0" fontId="11" fillId="0" borderId="39" xfId="0" applyNumberFormat="1" applyFont="1" applyBorder="1" applyAlignment="1">
      <alignment horizontal="center" vertical="top" wrapText="1"/>
    </xf>
    <xf numFmtId="0" fontId="11" fillId="0" borderId="79" xfId="0" applyNumberFormat="1" applyFont="1" applyBorder="1" applyAlignment="1">
      <alignment horizontal="center" vertical="top" wrapText="1"/>
    </xf>
    <xf numFmtId="164" fontId="11" fillId="9" borderId="72" xfId="0" applyNumberFormat="1" applyFont="1" applyFill="1" applyBorder="1" applyAlignment="1">
      <alignment horizontal="center" vertical="top" wrapText="1"/>
    </xf>
    <xf numFmtId="1" fontId="11" fillId="0" borderId="80" xfId="0" applyNumberFormat="1" applyFont="1" applyFill="1" applyBorder="1" applyAlignment="1">
      <alignment horizontal="center" vertical="top"/>
    </xf>
    <xf numFmtId="1" fontId="11" fillId="0" borderId="79" xfId="0" applyNumberFormat="1" applyFont="1" applyFill="1" applyBorder="1" applyAlignment="1">
      <alignment horizontal="center" vertical="top"/>
    </xf>
    <xf numFmtId="0" fontId="11" fillId="0" borderId="54" xfId="0" applyFont="1" applyFill="1" applyBorder="1" applyAlignment="1">
      <alignment horizontal="center" vertical="top"/>
    </xf>
    <xf numFmtId="0" fontId="11" fillId="0" borderId="24" xfId="0" applyFont="1" applyBorder="1" applyAlignment="1">
      <alignment horizontal="center" vertical="top"/>
    </xf>
    <xf numFmtId="164" fontId="7" fillId="0" borderId="48" xfId="0" applyNumberFormat="1" applyFont="1" applyFill="1" applyBorder="1" applyAlignment="1">
      <alignment horizontal="center" vertical="top"/>
    </xf>
    <xf numFmtId="164" fontId="7" fillId="0" borderId="35" xfId="0" applyNumberFormat="1" applyFont="1" applyFill="1" applyBorder="1" applyAlignment="1">
      <alignment horizontal="center" vertical="top"/>
    </xf>
    <xf numFmtId="164" fontId="7" fillId="0" borderId="77" xfId="0" applyNumberFormat="1" applyFont="1" applyFill="1" applyBorder="1" applyAlignment="1">
      <alignment horizontal="center" vertical="top"/>
    </xf>
    <xf numFmtId="164" fontId="7" fillId="3" borderId="75" xfId="0" applyNumberFormat="1" applyFont="1" applyFill="1" applyBorder="1" applyAlignment="1">
      <alignment horizontal="center" vertical="top"/>
    </xf>
    <xf numFmtId="0" fontId="7" fillId="0" borderId="24" xfId="0" applyFont="1" applyFill="1" applyBorder="1" applyAlignment="1">
      <alignment vertical="center" textRotation="90" wrapText="1"/>
    </xf>
    <xf numFmtId="0" fontId="7" fillId="0" borderId="28" xfId="0" applyFont="1" applyFill="1" applyBorder="1" applyAlignment="1">
      <alignment vertical="center" textRotation="90" wrapText="1"/>
    </xf>
    <xf numFmtId="0" fontId="7" fillId="0" borderId="68" xfId="0" applyFont="1" applyFill="1" applyBorder="1" applyAlignment="1">
      <alignment vertical="center" textRotation="90" wrapText="1"/>
    </xf>
    <xf numFmtId="49" fontId="13" fillId="0" borderId="35" xfId="0" applyNumberFormat="1" applyFont="1" applyFill="1" applyBorder="1" applyAlignment="1">
      <alignment horizontal="center" vertical="top" wrapText="1"/>
    </xf>
    <xf numFmtId="49" fontId="13" fillId="0" borderId="34" xfId="0" applyNumberFormat="1" applyFont="1" applyFill="1" applyBorder="1" applyAlignment="1">
      <alignment horizontal="center" vertical="top" wrapText="1"/>
    </xf>
    <xf numFmtId="0" fontId="13" fillId="0" borderId="34" xfId="0" applyFont="1" applyBorder="1" applyAlignment="1">
      <alignment horizontal="center" vertical="top" wrapText="1"/>
    </xf>
    <xf numFmtId="0" fontId="13" fillId="0" borderId="31" xfId="0" applyFont="1" applyBorder="1" applyAlignment="1">
      <alignment horizontal="center" vertical="top" wrapText="1"/>
    </xf>
    <xf numFmtId="0" fontId="13" fillId="0" borderId="51" xfId="0" applyFont="1" applyBorder="1" applyAlignment="1">
      <alignment horizontal="center" vertical="top" wrapText="1"/>
    </xf>
    <xf numFmtId="0" fontId="13" fillId="0" borderId="35" xfId="0" applyNumberFormat="1" applyFont="1" applyBorder="1" applyAlignment="1">
      <alignment horizontal="center" vertical="top"/>
    </xf>
    <xf numFmtId="0" fontId="7" fillId="0" borderId="34" xfId="0" applyNumberFormat="1" applyFont="1" applyBorder="1" applyAlignment="1">
      <alignment horizontal="center" vertical="top"/>
    </xf>
    <xf numFmtId="49" fontId="7" fillId="0" borderId="34" xfId="0" applyNumberFormat="1" applyFont="1" applyFill="1" applyBorder="1" applyAlignment="1">
      <alignment horizontal="center" vertical="top" wrapText="1"/>
    </xf>
    <xf numFmtId="49" fontId="7" fillId="0" borderId="35" xfId="0" applyNumberFormat="1" applyFont="1" applyBorder="1" applyAlignment="1">
      <alignment horizontal="center" vertical="top" wrapText="1"/>
    </xf>
    <xf numFmtId="0" fontId="13" fillId="0" borderId="31" xfId="0" applyNumberFormat="1" applyFont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top"/>
    </xf>
    <xf numFmtId="164" fontId="7" fillId="0" borderId="22" xfId="0" applyNumberFormat="1" applyFont="1" applyFill="1" applyBorder="1" applyAlignment="1">
      <alignment horizontal="center" vertical="top"/>
    </xf>
    <xf numFmtId="164" fontId="8" fillId="9" borderId="24" xfId="0" applyNumberFormat="1" applyFont="1" applyFill="1" applyBorder="1" applyAlignment="1">
      <alignment horizontal="center" vertical="top"/>
    </xf>
    <xf numFmtId="164" fontId="11" fillId="0" borderId="9" xfId="0" applyNumberFormat="1" applyFont="1" applyFill="1" applyBorder="1" applyAlignment="1">
      <alignment horizontal="center" vertical="top"/>
    </xf>
    <xf numFmtId="1" fontId="11" fillId="0" borderId="0" xfId="0" applyNumberFormat="1" applyFont="1" applyBorder="1" applyAlignment="1">
      <alignment vertical="top"/>
    </xf>
    <xf numFmtId="164" fontId="11" fillId="0" borderId="0" xfId="0" applyNumberFormat="1" applyFont="1" applyBorder="1" applyAlignment="1">
      <alignment vertical="top"/>
    </xf>
    <xf numFmtId="49" fontId="11" fillId="0" borderId="0" xfId="0" applyNumberFormat="1" applyFont="1" applyBorder="1" applyAlignment="1">
      <alignment vertical="top"/>
    </xf>
    <xf numFmtId="0" fontId="13" fillId="4" borderId="15" xfId="0" applyFont="1" applyFill="1" applyBorder="1" applyAlignment="1">
      <alignment vertical="top" wrapText="1"/>
    </xf>
    <xf numFmtId="0" fontId="11" fillId="4" borderId="28" xfId="0" applyNumberFormat="1" applyFont="1" applyFill="1" applyBorder="1" applyAlignment="1">
      <alignment vertical="top" wrapText="1"/>
    </xf>
    <xf numFmtId="0" fontId="11" fillId="4" borderId="34" xfId="0" applyNumberFormat="1" applyFont="1" applyFill="1" applyBorder="1" applyAlignment="1">
      <alignment vertical="top" wrapText="1"/>
    </xf>
    <xf numFmtId="0" fontId="26" fillId="0" borderId="28" xfId="0" applyNumberFormat="1" applyFont="1" applyFill="1" applyBorder="1" applyAlignment="1">
      <alignment horizontal="center" vertical="top"/>
    </xf>
    <xf numFmtId="164" fontId="11" fillId="0" borderId="34" xfId="0" applyNumberFormat="1" applyFont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0" fontId="8" fillId="8" borderId="10" xfId="0" applyFont="1" applyFill="1" applyBorder="1" applyAlignment="1">
      <alignment horizontal="center" vertical="top" wrapText="1"/>
    </xf>
    <xf numFmtId="0" fontId="11" fillId="4" borderId="28" xfId="0" applyFont="1" applyFill="1" applyBorder="1" applyAlignment="1">
      <alignment horizontal="center" vertical="top"/>
    </xf>
    <xf numFmtId="0" fontId="11" fillId="4" borderId="12" xfId="0" applyFont="1" applyFill="1" applyBorder="1" applyAlignment="1">
      <alignment horizontal="center" vertical="top"/>
    </xf>
    <xf numFmtId="0" fontId="11" fillId="4" borderId="21" xfId="0" applyFont="1" applyFill="1" applyBorder="1" applyAlignment="1">
      <alignment horizontal="center" vertical="top"/>
    </xf>
    <xf numFmtId="0" fontId="11" fillId="8" borderId="10" xfId="0" applyFont="1" applyFill="1" applyBorder="1" applyAlignment="1">
      <alignment horizontal="center" vertical="top"/>
    </xf>
    <xf numFmtId="49" fontId="11" fillId="0" borderId="10" xfId="0" applyNumberFormat="1" applyFont="1" applyFill="1" applyBorder="1" applyAlignment="1">
      <alignment vertical="top"/>
    </xf>
    <xf numFmtId="49" fontId="11" fillId="8" borderId="38" xfId="0" applyNumberFormat="1" applyFont="1" applyFill="1" applyBorder="1" applyAlignment="1">
      <alignment vertical="top"/>
    </xf>
    <xf numFmtId="1" fontId="11" fillId="8" borderId="39" xfId="0" applyNumberFormat="1" applyFont="1" applyFill="1" applyBorder="1" applyAlignment="1">
      <alignment vertical="top"/>
    </xf>
    <xf numFmtId="1" fontId="11" fillId="8" borderId="36" xfId="0" applyNumberFormat="1" applyFont="1" applyFill="1" applyBorder="1" applyAlignment="1">
      <alignment vertical="top"/>
    </xf>
    <xf numFmtId="164" fontId="13" fillId="9" borderId="51" xfId="0" applyNumberFormat="1" applyFont="1" applyFill="1" applyBorder="1" applyAlignment="1">
      <alignment horizontal="center" vertical="top"/>
    </xf>
    <xf numFmtId="0" fontId="11" fillId="4" borderId="54" xfId="0" applyNumberFormat="1" applyFont="1" applyFill="1" applyBorder="1" applyAlignment="1">
      <alignment vertical="top" wrapText="1"/>
    </xf>
    <xf numFmtId="0" fontId="11" fillId="0" borderId="56" xfId="0" applyFont="1" applyFill="1" applyBorder="1" applyAlignment="1">
      <alignment horizontal="center" vertical="top" wrapText="1"/>
    </xf>
    <xf numFmtId="0" fontId="13" fillId="9" borderId="56" xfId="0" applyFont="1" applyFill="1" applyBorder="1" applyAlignment="1">
      <alignment horizontal="center" vertical="top"/>
    </xf>
    <xf numFmtId="164" fontId="11" fillId="0" borderId="25" xfId="0" applyNumberFormat="1" applyFont="1" applyFill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top"/>
    </xf>
    <xf numFmtId="49" fontId="13" fillId="0" borderId="6" xfId="0" applyNumberFormat="1" applyFont="1" applyBorder="1" applyAlignment="1">
      <alignment horizontal="center" vertical="top"/>
    </xf>
    <xf numFmtId="49" fontId="7" fillId="0" borderId="11" xfId="0" applyNumberFormat="1" applyFont="1" applyFill="1" applyBorder="1" applyAlignment="1">
      <alignment horizontal="center" vertical="top"/>
    </xf>
    <xf numFmtId="49" fontId="13" fillId="4" borderId="11" xfId="0" applyNumberFormat="1" applyFont="1" applyFill="1" applyBorder="1" applyAlignment="1">
      <alignment vertical="top"/>
    </xf>
    <xf numFmtId="0" fontId="13" fillId="0" borderId="8" xfId="0" applyFont="1" applyFill="1" applyBorder="1" applyAlignment="1">
      <alignment horizontal="center" vertical="top" textRotation="180" wrapText="1"/>
    </xf>
    <xf numFmtId="164" fontId="11" fillId="0" borderId="28" xfId="0" applyNumberFormat="1" applyFont="1" applyBorder="1" applyAlignment="1">
      <alignment horizontal="left" vertical="top" wrapText="1"/>
    </xf>
    <xf numFmtId="2" fontId="8" fillId="0" borderId="28" xfId="0" applyNumberFormat="1" applyFont="1" applyFill="1" applyBorder="1" applyAlignment="1">
      <alignment vertical="top" wrapText="1"/>
    </xf>
    <xf numFmtId="2" fontId="25" fillId="0" borderId="28" xfId="0" applyNumberFormat="1" applyFont="1" applyFill="1" applyBorder="1" applyAlignment="1">
      <alignment vertical="top" wrapText="1"/>
    </xf>
    <xf numFmtId="2" fontId="11" fillId="0" borderId="28" xfId="0" applyNumberFormat="1" applyFont="1" applyFill="1" applyBorder="1" applyAlignment="1">
      <alignment horizontal="left" vertical="top" wrapText="1"/>
    </xf>
    <xf numFmtId="164" fontId="11" fillId="0" borderId="28" xfId="0" applyNumberFormat="1" applyFont="1" applyFill="1" applyBorder="1" applyAlignment="1">
      <alignment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37" xfId="0" applyNumberFormat="1" applyFont="1" applyFill="1" applyBorder="1" applyAlignment="1">
      <alignment horizontal="center" vertical="top" wrapText="1"/>
    </xf>
    <xf numFmtId="0" fontId="11" fillId="0" borderId="6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Fill="1" applyBorder="1" applyAlignment="1">
      <alignment horizontal="center" vertical="top" wrapText="1"/>
    </xf>
    <xf numFmtId="0" fontId="11" fillId="0" borderId="34" xfId="0" applyNumberFormat="1" applyFont="1" applyFill="1" applyBorder="1" applyAlignment="1">
      <alignment horizontal="center" vertical="top" wrapText="1"/>
    </xf>
    <xf numFmtId="0" fontId="11" fillId="0" borderId="50" xfId="0" applyFont="1" applyFill="1" applyBorder="1" applyAlignment="1">
      <alignment horizontal="center" vertical="top" wrapText="1"/>
    </xf>
    <xf numFmtId="164" fontId="11" fillId="4" borderId="72" xfId="0" applyNumberFormat="1" applyFont="1" applyFill="1" applyBorder="1" applyAlignment="1">
      <alignment horizontal="center" vertical="top" wrapText="1"/>
    </xf>
    <xf numFmtId="164" fontId="8" fillId="4" borderId="66" xfId="0" applyNumberFormat="1" applyFont="1" applyFill="1" applyBorder="1" applyAlignment="1">
      <alignment horizontal="center" vertical="top" wrapText="1"/>
    </xf>
    <xf numFmtId="164" fontId="8" fillId="4" borderId="26" xfId="0" applyNumberFormat="1" applyFont="1" applyFill="1" applyBorder="1" applyAlignment="1">
      <alignment horizontal="center" vertical="top" wrapText="1"/>
    </xf>
    <xf numFmtId="164" fontId="8" fillId="8" borderId="76" xfId="0" applyNumberFormat="1" applyFont="1" applyFill="1" applyBorder="1" applyAlignment="1">
      <alignment horizontal="center" vertical="top"/>
    </xf>
    <xf numFmtId="164" fontId="13" fillId="9" borderId="44" xfId="0" applyNumberFormat="1" applyFont="1" applyFill="1" applyBorder="1" applyAlignment="1">
      <alignment horizontal="center" vertical="top"/>
    </xf>
    <xf numFmtId="49" fontId="13" fillId="4" borderId="6" xfId="0" applyNumberFormat="1" applyFont="1" applyFill="1" applyBorder="1" applyAlignment="1">
      <alignment vertical="top"/>
    </xf>
    <xf numFmtId="49" fontId="13" fillId="4" borderId="18" xfId="0" applyNumberFormat="1" applyFont="1" applyFill="1" applyBorder="1" applyAlignment="1">
      <alignment vertical="top"/>
    </xf>
    <xf numFmtId="0" fontId="13" fillId="0" borderId="50" xfId="0" applyFont="1" applyFill="1" applyBorder="1" applyAlignment="1">
      <alignment horizontal="center" vertical="top" wrapText="1"/>
    </xf>
    <xf numFmtId="0" fontId="13" fillId="0" borderId="72" xfId="0" applyFont="1" applyFill="1" applyBorder="1" applyAlignment="1">
      <alignment horizontal="center" vertical="top" wrapText="1"/>
    </xf>
    <xf numFmtId="0" fontId="7" fillId="0" borderId="50" xfId="0" applyFont="1" applyFill="1" applyBorder="1" applyAlignment="1">
      <alignment horizontal="center" vertical="top" wrapText="1"/>
    </xf>
    <xf numFmtId="0" fontId="13" fillId="4" borderId="16" xfId="0" applyFont="1" applyFill="1" applyBorder="1" applyAlignment="1">
      <alignment vertical="top" wrapText="1"/>
    </xf>
    <xf numFmtId="0" fontId="11" fillId="4" borderId="32" xfId="0" applyNumberFormat="1" applyFont="1" applyFill="1" applyBorder="1" applyAlignment="1">
      <alignment horizontal="left" vertical="top" wrapText="1"/>
    </xf>
    <xf numFmtId="0" fontId="11" fillId="4" borderId="32" xfId="0" applyNumberFormat="1" applyFont="1" applyFill="1" applyBorder="1" applyAlignment="1">
      <alignment horizontal="center" vertical="top" wrapText="1"/>
    </xf>
    <xf numFmtId="0" fontId="11" fillId="4" borderId="80" xfId="0" applyNumberFormat="1" applyFont="1" applyFill="1" applyBorder="1" applyAlignment="1">
      <alignment horizontal="center" vertical="top" wrapText="1"/>
    </xf>
    <xf numFmtId="0" fontId="11" fillId="8" borderId="17" xfId="0" applyNumberFormat="1" applyFont="1" applyFill="1" applyBorder="1" applyAlignment="1">
      <alignment horizontal="center" vertical="top" wrapText="1"/>
    </xf>
    <xf numFmtId="0" fontId="11" fillId="8" borderId="19" xfId="0" applyNumberFormat="1" applyFont="1" applyFill="1" applyBorder="1" applyAlignment="1">
      <alignment vertical="top" wrapText="1"/>
    </xf>
    <xf numFmtId="0" fontId="11" fillId="8" borderId="31" xfId="0" applyNumberFormat="1" applyFont="1" applyFill="1" applyBorder="1" applyAlignment="1">
      <alignment vertical="top" wrapText="1"/>
    </xf>
    <xf numFmtId="0" fontId="13" fillId="8" borderId="34" xfId="0" applyNumberFormat="1" applyFont="1" applyFill="1" applyBorder="1" applyAlignment="1">
      <alignment horizontal="center" vertical="top"/>
    </xf>
    <xf numFmtId="164" fontId="8" fillId="8" borderId="53" xfId="0" applyNumberFormat="1" applyFont="1" applyFill="1" applyBorder="1" applyAlignment="1">
      <alignment horizontal="center" vertical="top"/>
    </xf>
    <xf numFmtId="164" fontId="11" fillId="8" borderId="37" xfId="0" applyNumberFormat="1" applyFont="1" applyFill="1" applyBorder="1" applyAlignment="1">
      <alignment horizontal="center" vertical="top" wrapText="1"/>
    </xf>
    <xf numFmtId="164" fontId="8" fillId="8" borderId="11" xfId="0" applyNumberFormat="1" applyFont="1" applyFill="1" applyBorder="1" applyAlignment="1">
      <alignment horizontal="center" vertical="top"/>
    </xf>
    <xf numFmtId="164" fontId="11" fillId="8" borderId="21" xfId="0" applyNumberFormat="1" applyFont="1" applyFill="1" applyBorder="1" applyAlignment="1">
      <alignment horizontal="center" vertical="top" wrapText="1"/>
    </xf>
    <xf numFmtId="0" fontId="11" fillId="4" borderId="50" xfId="0" applyNumberFormat="1" applyFont="1" applyFill="1" applyBorder="1" applyAlignment="1">
      <alignment vertical="top" wrapText="1"/>
    </xf>
    <xf numFmtId="0" fontId="13" fillId="0" borderId="50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vertical="center" wrapText="1"/>
    </xf>
    <xf numFmtId="0" fontId="13" fillId="0" borderId="72" xfId="0" applyFont="1" applyFill="1" applyBorder="1" applyAlignment="1">
      <alignment vertical="center" wrapText="1"/>
    </xf>
    <xf numFmtId="49" fontId="7" fillId="0" borderId="57" xfId="0" applyNumberFormat="1" applyFont="1" applyBorder="1" applyAlignment="1">
      <alignment vertical="center" textRotation="90"/>
    </xf>
    <xf numFmtId="49" fontId="13" fillId="4" borderId="31" xfId="0" applyNumberFormat="1" applyFont="1" applyFill="1" applyBorder="1" applyAlignment="1">
      <alignment vertical="top"/>
    </xf>
    <xf numFmtId="164" fontId="13" fillId="9" borderId="62" xfId="0" applyNumberFormat="1" applyFont="1" applyFill="1" applyBorder="1" applyAlignment="1">
      <alignment horizontal="center" vertical="top"/>
    </xf>
    <xf numFmtId="0" fontId="7" fillId="8" borderId="68" xfId="0" applyNumberFormat="1" applyFont="1" applyFill="1" applyBorder="1" applyAlignment="1">
      <alignment horizontal="center" vertical="top"/>
    </xf>
    <xf numFmtId="0" fontId="7" fillId="8" borderId="19" xfId="0" applyNumberFormat="1" applyFont="1" applyFill="1" applyBorder="1" applyAlignment="1">
      <alignment horizontal="center" vertical="top"/>
    </xf>
    <xf numFmtId="0" fontId="7" fillId="8" borderId="44" xfId="0" applyNumberFormat="1" applyFont="1" applyFill="1" applyBorder="1" applyAlignment="1">
      <alignment horizontal="center" vertical="top"/>
    </xf>
    <xf numFmtId="49" fontId="7" fillId="0" borderId="65" xfId="0" applyNumberFormat="1" applyFont="1" applyBorder="1" applyAlignment="1">
      <alignment vertical="center" textRotation="90"/>
    </xf>
    <xf numFmtId="49" fontId="7" fillId="0" borderId="50" xfId="0" applyNumberFormat="1" applyFont="1" applyBorder="1" applyAlignment="1">
      <alignment vertical="center" textRotation="90"/>
    </xf>
    <xf numFmtId="49" fontId="7" fillId="0" borderId="64" xfId="0" applyNumberFormat="1" applyFont="1" applyBorder="1" applyAlignment="1">
      <alignment horizontal="center" vertical="center"/>
    </xf>
    <xf numFmtId="49" fontId="7" fillId="0" borderId="72" xfId="0" applyNumberFormat="1" applyFont="1" applyBorder="1" applyAlignment="1">
      <alignment vertical="center" textRotation="90"/>
    </xf>
    <xf numFmtId="164" fontId="13" fillId="9" borderId="54" xfId="0" applyNumberFormat="1" applyFont="1" applyFill="1" applyBorder="1" applyAlignment="1">
      <alignment horizontal="center" vertical="top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center" vertical="top" wrapText="1"/>
    </xf>
    <xf numFmtId="164" fontId="11" fillId="0" borderId="7" xfId="0" applyNumberFormat="1" applyFont="1" applyFill="1" applyBorder="1" applyAlignment="1">
      <alignment horizontal="center" vertical="top" wrapText="1"/>
    </xf>
    <xf numFmtId="164" fontId="11" fillId="0" borderId="35" xfId="0" applyNumberFormat="1" applyFont="1" applyFill="1" applyBorder="1" applyAlignment="1">
      <alignment horizontal="center" vertical="top" wrapText="1"/>
    </xf>
    <xf numFmtId="164" fontId="11" fillId="0" borderId="12" xfId="0" applyNumberFormat="1" applyFont="1" applyFill="1" applyBorder="1" applyAlignment="1">
      <alignment horizontal="center" vertical="top" wrapText="1"/>
    </xf>
    <xf numFmtId="164" fontId="11" fillId="0" borderId="34" xfId="0" applyNumberFormat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15" fillId="0" borderId="0" xfId="0" applyFont="1" applyBorder="1" applyAlignment="1">
      <alignment horizontal="center"/>
    </xf>
    <xf numFmtId="164" fontId="8" fillId="0" borderId="12" xfId="0" applyNumberFormat="1" applyFont="1" applyFill="1" applyBorder="1" applyAlignment="1">
      <alignment horizontal="center" vertical="top" wrapText="1"/>
    </xf>
    <xf numFmtId="164" fontId="8" fillId="0" borderId="34" xfId="0" applyNumberFormat="1" applyFont="1" applyFill="1" applyBorder="1" applyAlignment="1">
      <alignment horizontal="center" vertical="top" wrapText="1"/>
    </xf>
    <xf numFmtId="0" fontId="25" fillId="0" borderId="0" xfId="0" applyNumberFormat="1" applyFont="1" applyFill="1" applyBorder="1" applyAlignment="1">
      <alignment horizontal="center" vertical="top"/>
    </xf>
    <xf numFmtId="164" fontId="11" fillId="4" borderId="49" xfId="0" applyNumberFormat="1" applyFont="1" applyFill="1" applyBorder="1" applyAlignment="1">
      <alignment horizontal="center" vertical="top"/>
    </xf>
    <xf numFmtId="164" fontId="11" fillId="4" borderId="65" xfId="0" applyNumberFormat="1" applyFont="1" applyFill="1" applyBorder="1" applyAlignment="1">
      <alignment horizontal="center" vertical="top"/>
    </xf>
    <xf numFmtId="164" fontId="11" fillId="4" borderId="65" xfId="0" applyNumberFormat="1" applyFont="1" applyFill="1" applyBorder="1" applyAlignment="1">
      <alignment horizontal="center" vertical="top" wrapText="1"/>
    </xf>
    <xf numFmtId="164" fontId="11" fillId="4" borderId="50" xfId="0" applyNumberFormat="1" applyFont="1" applyFill="1" applyBorder="1" applyAlignment="1">
      <alignment horizontal="center" vertical="top" wrapText="1"/>
    </xf>
    <xf numFmtId="164" fontId="8" fillId="4" borderId="50" xfId="0" applyNumberFormat="1" applyFont="1" applyFill="1" applyBorder="1" applyAlignment="1">
      <alignment horizontal="center" vertical="top" wrapText="1"/>
    </xf>
    <xf numFmtId="164" fontId="8" fillId="8" borderId="72" xfId="0" applyNumberFormat="1" applyFont="1" applyFill="1" applyBorder="1" applyAlignment="1">
      <alignment horizontal="center" vertical="top" wrapText="1"/>
    </xf>
    <xf numFmtId="164" fontId="8" fillId="0" borderId="65" xfId="0" applyNumberFormat="1" applyFont="1" applyBorder="1" applyAlignment="1">
      <alignment horizontal="center" vertical="top"/>
    </xf>
    <xf numFmtId="164" fontId="8" fillId="0" borderId="57" xfId="0" applyNumberFormat="1" applyFont="1" applyFill="1" applyBorder="1" applyAlignment="1">
      <alignment horizontal="center" vertical="top"/>
    </xf>
    <xf numFmtId="164" fontId="11" fillId="4" borderId="50" xfId="0" applyNumberFormat="1" applyFont="1" applyFill="1" applyBorder="1" applyAlignment="1">
      <alignment horizontal="center" vertical="top"/>
    </xf>
    <xf numFmtId="164" fontId="8" fillId="8" borderId="50" xfId="0" applyNumberFormat="1" applyFont="1" applyFill="1" applyBorder="1" applyAlignment="1">
      <alignment horizontal="center" vertical="top"/>
    </xf>
    <xf numFmtId="164" fontId="11" fillId="9" borderId="16" xfId="0" applyNumberFormat="1" applyFont="1" applyFill="1" applyBorder="1" applyAlignment="1">
      <alignment horizontal="center" vertical="top"/>
    </xf>
    <xf numFmtId="164" fontId="11" fillId="9" borderId="13" xfId="0" applyNumberFormat="1" applyFont="1" applyFill="1" applyBorder="1" applyAlignment="1">
      <alignment horizontal="center" vertical="top"/>
    </xf>
    <xf numFmtId="164" fontId="11" fillId="9" borderId="15" xfId="0" applyNumberFormat="1" applyFont="1" applyFill="1" applyBorder="1" applyAlignment="1">
      <alignment horizontal="center" vertical="top"/>
    </xf>
    <xf numFmtId="164" fontId="11" fillId="9" borderId="25" xfId="0" applyNumberFormat="1" applyFont="1" applyFill="1" applyBorder="1" applyAlignment="1">
      <alignment horizontal="center" vertical="top"/>
    </xf>
    <xf numFmtId="164" fontId="8" fillId="9" borderId="13" xfId="0" applyNumberFormat="1" applyFont="1" applyFill="1" applyBorder="1" applyAlignment="1">
      <alignment horizontal="center" vertical="top"/>
    </xf>
    <xf numFmtId="164" fontId="11" fillId="9" borderId="9" xfId="0" applyNumberFormat="1" applyFont="1" applyFill="1" applyBorder="1" applyAlignment="1">
      <alignment horizontal="center" vertical="top"/>
    </xf>
    <xf numFmtId="164" fontId="11" fillId="9" borderId="9" xfId="0" applyNumberFormat="1" applyFont="1" applyFill="1" applyBorder="1" applyAlignment="1">
      <alignment horizontal="center" vertical="top" wrapText="1"/>
    </xf>
    <xf numFmtId="164" fontId="11" fillId="9" borderId="15" xfId="0" applyNumberFormat="1" applyFont="1" applyFill="1" applyBorder="1" applyAlignment="1">
      <alignment horizontal="center" vertical="top" wrapText="1"/>
    </xf>
    <xf numFmtId="164" fontId="8" fillId="9" borderId="15" xfId="0" applyNumberFormat="1" applyFont="1" applyFill="1" applyBorder="1" applyAlignment="1">
      <alignment horizontal="center" vertical="top" wrapText="1"/>
    </xf>
    <xf numFmtId="164" fontId="8" fillId="9" borderId="26" xfId="0" applyNumberFormat="1" applyFont="1" applyFill="1" applyBorder="1" applyAlignment="1">
      <alignment horizontal="center" vertical="top" wrapText="1"/>
    </xf>
    <xf numFmtId="164" fontId="8" fillId="9" borderId="16" xfId="0" applyNumberFormat="1" applyFont="1" applyFill="1" applyBorder="1" applyAlignment="1">
      <alignment horizontal="center" vertical="top"/>
    </xf>
    <xf numFmtId="164" fontId="8" fillId="9" borderId="15" xfId="0" applyNumberFormat="1" applyFont="1" applyFill="1" applyBorder="1" applyAlignment="1">
      <alignment horizontal="center" vertical="top"/>
    </xf>
    <xf numFmtId="164" fontId="8" fillId="9" borderId="26" xfId="0" applyNumberFormat="1" applyFont="1" applyFill="1" applyBorder="1" applyAlignment="1">
      <alignment horizontal="center" vertical="top"/>
    </xf>
    <xf numFmtId="164" fontId="8" fillId="9" borderId="25" xfId="0" applyNumberFormat="1" applyFont="1" applyFill="1" applyBorder="1" applyAlignment="1">
      <alignment horizontal="center" vertical="top"/>
    </xf>
    <xf numFmtId="164" fontId="11" fillId="9" borderId="26" xfId="0" applyNumberFormat="1" applyFont="1" applyFill="1" applyBorder="1" applyAlignment="1">
      <alignment horizontal="center" vertical="top"/>
    </xf>
    <xf numFmtId="164" fontId="8" fillId="9" borderId="9" xfId="0" applyNumberFormat="1" applyFont="1" applyFill="1" applyBorder="1" applyAlignment="1">
      <alignment horizontal="center" vertical="top"/>
    </xf>
    <xf numFmtId="164" fontId="11" fillId="9" borderId="46" xfId="0" applyNumberFormat="1" applyFont="1" applyFill="1" applyBorder="1" applyAlignment="1">
      <alignment horizontal="center" vertical="top" wrapText="1"/>
    </xf>
    <xf numFmtId="164" fontId="11" fillId="9" borderId="5" xfId="0" applyNumberFormat="1" applyFont="1" applyFill="1" applyBorder="1" applyAlignment="1">
      <alignment horizontal="center" vertical="top" wrapText="1"/>
    </xf>
    <xf numFmtId="164" fontId="8" fillId="9" borderId="10" xfId="0" applyNumberFormat="1" applyFont="1" applyFill="1" applyBorder="1" applyAlignment="1">
      <alignment horizontal="center" vertical="top" wrapText="1"/>
    </xf>
    <xf numFmtId="1" fontId="11" fillId="0" borderId="38" xfId="0" applyNumberFormat="1" applyFont="1" applyFill="1" applyBorder="1" applyAlignment="1">
      <alignment horizontal="center" vertical="top"/>
    </xf>
    <xf numFmtId="0" fontId="11" fillId="0" borderId="52" xfId="0" applyFont="1" applyFill="1" applyBorder="1" applyAlignment="1">
      <alignment horizontal="center" vertical="top"/>
    </xf>
    <xf numFmtId="0" fontId="11" fillId="0" borderId="43" xfId="0" applyFont="1" applyFill="1" applyBorder="1" applyAlignment="1">
      <alignment horizontal="center" vertical="top"/>
    </xf>
    <xf numFmtId="0" fontId="11" fillId="0" borderId="55" xfId="0" applyFont="1" applyFill="1" applyBorder="1" applyAlignment="1">
      <alignment horizontal="center" vertical="top"/>
    </xf>
    <xf numFmtId="0" fontId="25" fillId="0" borderId="38" xfId="0" applyNumberFormat="1" applyFont="1" applyFill="1" applyBorder="1" applyAlignment="1">
      <alignment horizontal="center" vertical="top"/>
    </xf>
    <xf numFmtId="0" fontId="11" fillId="0" borderId="52" xfId="0" applyNumberFormat="1" applyFont="1" applyFill="1" applyBorder="1" applyAlignment="1">
      <alignment horizontal="center" vertical="top"/>
    </xf>
    <xf numFmtId="0" fontId="11" fillId="0" borderId="43" xfId="0" applyNumberFormat="1" applyFont="1" applyFill="1" applyBorder="1" applyAlignment="1">
      <alignment horizontal="center" vertical="top"/>
    </xf>
    <xf numFmtId="0" fontId="11" fillId="0" borderId="55" xfId="0" applyNumberFormat="1" applyFont="1" applyFill="1" applyBorder="1" applyAlignment="1">
      <alignment horizontal="center" vertical="top"/>
    </xf>
    <xf numFmtId="0" fontId="13" fillId="0" borderId="15" xfId="0" applyFont="1" applyBorder="1" applyAlignment="1">
      <alignment vertical="top" wrapText="1"/>
    </xf>
    <xf numFmtId="164" fontId="11" fillId="0" borderId="66" xfId="0" applyNumberFormat="1" applyFont="1" applyFill="1" applyBorder="1" applyAlignment="1">
      <alignment horizontal="center" vertical="top" wrapText="1"/>
    </xf>
    <xf numFmtId="49" fontId="7" fillId="2" borderId="80" xfId="0" applyNumberFormat="1" applyFont="1" applyFill="1" applyBorder="1" applyAlignment="1">
      <alignment horizontal="center" vertical="top"/>
    </xf>
    <xf numFmtId="0" fontId="7" fillId="0" borderId="80" xfId="0" applyFont="1" applyBorder="1" applyAlignment="1">
      <alignment horizontal="center" vertical="center" textRotation="90"/>
    </xf>
    <xf numFmtId="1" fontId="11" fillId="0" borderId="38" xfId="0" applyNumberFormat="1" applyFont="1" applyFill="1" applyBorder="1" applyAlignment="1">
      <alignment vertical="top"/>
    </xf>
    <xf numFmtId="1" fontId="11" fillId="0" borderId="39" xfId="0" applyNumberFormat="1" applyFont="1" applyFill="1" applyBorder="1" applyAlignment="1">
      <alignment vertical="top"/>
    </xf>
    <xf numFmtId="1" fontId="11" fillId="0" borderId="36" xfId="0" applyNumberFormat="1" applyFont="1" applyFill="1" applyBorder="1" applyAlignment="1">
      <alignment vertical="top"/>
    </xf>
    <xf numFmtId="49" fontId="7" fillId="4" borderId="0" xfId="0" applyNumberFormat="1" applyFont="1" applyFill="1" applyBorder="1" applyAlignment="1">
      <alignment horizontal="center" vertical="top" wrapText="1"/>
    </xf>
    <xf numFmtId="164" fontId="8" fillId="0" borderId="14" xfId="0" applyNumberFormat="1" applyFont="1" applyFill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64" xfId="0" applyNumberFormat="1" applyFont="1" applyBorder="1" applyAlignment="1">
      <alignment horizontal="center" vertical="top"/>
    </xf>
    <xf numFmtId="0" fontId="11" fillId="0" borderId="17" xfId="0" applyFont="1" applyFill="1" applyBorder="1" applyAlignment="1">
      <alignment vertical="top"/>
    </xf>
    <xf numFmtId="0" fontId="11" fillId="0" borderId="19" xfId="0" applyFont="1" applyFill="1" applyBorder="1" applyAlignment="1">
      <alignment vertical="top"/>
    </xf>
    <xf numFmtId="0" fontId="11" fillId="0" borderId="31" xfId="0" applyFont="1" applyFill="1" applyBorder="1" applyAlignment="1">
      <alignment vertical="top"/>
    </xf>
    <xf numFmtId="164" fontId="11" fillId="0" borderId="13" xfId="0" applyNumberFormat="1" applyFont="1" applyFill="1" applyBorder="1" applyAlignment="1">
      <alignment vertical="top" wrapText="1"/>
    </xf>
    <xf numFmtId="0" fontId="13" fillId="0" borderId="9" xfId="0" applyFont="1" applyBorder="1" applyAlignment="1">
      <alignment horizontal="left" vertical="top" wrapText="1"/>
    </xf>
    <xf numFmtId="164" fontId="11" fillId="4" borderId="64" xfId="0" applyNumberFormat="1" applyFont="1" applyFill="1" applyBorder="1" applyAlignment="1">
      <alignment horizontal="center" vertical="top"/>
    </xf>
    <xf numFmtId="0" fontId="11" fillId="8" borderId="15" xfId="0" applyNumberFormat="1" applyFont="1" applyFill="1" applyBorder="1" applyAlignment="1">
      <alignment vertical="top" wrapText="1"/>
    </xf>
    <xf numFmtId="0" fontId="11" fillId="8" borderId="70" xfId="0" applyNumberFormat="1" applyFont="1" applyFill="1" applyBorder="1" applyAlignment="1">
      <alignment vertical="top" wrapText="1"/>
    </xf>
    <xf numFmtId="164" fontId="13" fillId="3" borderId="73" xfId="0" applyNumberFormat="1" applyFont="1" applyFill="1" applyBorder="1" applyAlignment="1">
      <alignment horizontal="center" vertical="top"/>
    </xf>
    <xf numFmtId="164" fontId="11" fillId="0" borderId="15" xfId="0" applyNumberFormat="1" applyFont="1" applyBorder="1" applyAlignment="1">
      <alignment vertical="top"/>
    </xf>
    <xf numFmtId="164" fontId="11" fillId="9" borderId="15" xfId="0" applyNumberFormat="1" applyFont="1" applyFill="1" applyBorder="1" applyAlignment="1">
      <alignment vertical="top"/>
    </xf>
    <xf numFmtId="164" fontId="11" fillId="0" borderId="50" xfId="0" applyNumberFormat="1" applyFont="1" applyBorder="1" applyAlignment="1">
      <alignment vertical="top"/>
    </xf>
    <xf numFmtId="164" fontId="11" fillId="0" borderId="34" xfId="0" applyNumberFormat="1" applyFont="1" applyBorder="1" applyAlignment="1">
      <alignment vertical="top"/>
    </xf>
    <xf numFmtId="164" fontId="11" fillId="0" borderId="9" xfId="0" applyNumberFormat="1" applyFont="1" applyBorder="1" applyAlignment="1">
      <alignment horizontal="center" vertical="top" wrapText="1"/>
    </xf>
    <xf numFmtId="164" fontId="11" fillId="0" borderId="15" xfId="0" applyNumberFormat="1" applyFont="1" applyBorder="1" applyAlignment="1">
      <alignment horizontal="center" vertical="top" wrapText="1"/>
    </xf>
    <xf numFmtId="164" fontId="11" fillId="0" borderId="13" xfId="0" applyNumberFormat="1" applyFont="1" applyBorder="1" applyAlignment="1">
      <alignment horizontal="center" vertical="top" wrapText="1"/>
    </xf>
    <xf numFmtId="164" fontId="13" fillId="9" borderId="62" xfId="0" applyNumberFormat="1" applyFont="1" applyFill="1" applyBorder="1" applyAlignment="1">
      <alignment horizontal="center" vertical="top" wrapText="1"/>
    </xf>
    <xf numFmtId="164" fontId="11" fillId="0" borderId="16" xfId="0" applyNumberFormat="1" applyFont="1" applyBorder="1" applyAlignment="1">
      <alignment horizontal="center" vertical="top" wrapText="1"/>
    </xf>
    <xf numFmtId="164" fontId="11" fillId="0" borderId="26" xfId="0" applyNumberFormat="1" applyFont="1" applyBorder="1" applyAlignment="1">
      <alignment horizontal="center" vertical="top" wrapText="1"/>
    </xf>
    <xf numFmtId="164" fontId="7" fillId="9" borderId="68" xfId="0" applyNumberFormat="1" applyFont="1" applyFill="1" applyBorder="1" applyAlignment="1">
      <alignment horizontal="center" vertical="top"/>
    </xf>
    <xf numFmtId="164" fontId="13" fillId="9" borderId="56" xfId="0" applyNumberFormat="1" applyFont="1" applyFill="1" applyBorder="1" applyAlignment="1">
      <alignment horizontal="center" vertical="top" wrapText="1"/>
    </xf>
    <xf numFmtId="164" fontId="13" fillId="9" borderId="41" xfId="0" applyNumberFormat="1" applyFont="1" applyFill="1" applyBorder="1" applyAlignment="1">
      <alignment horizontal="center" vertical="top" wrapText="1"/>
    </xf>
    <xf numFmtId="164" fontId="13" fillId="9" borderId="69" xfId="0" applyNumberFormat="1" applyFont="1" applyFill="1" applyBorder="1" applyAlignment="1">
      <alignment horizontal="center" vertical="top" wrapText="1"/>
    </xf>
    <xf numFmtId="164" fontId="7" fillId="9" borderId="54" xfId="0" applyNumberFormat="1" applyFont="1" applyFill="1" applyBorder="1" applyAlignment="1">
      <alignment horizontal="center" vertical="top" wrapText="1"/>
    </xf>
    <xf numFmtId="164" fontId="7" fillId="9" borderId="41" xfId="0" applyNumberFormat="1" applyFont="1" applyFill="1" applyBorder="1" applyAlignment="1">
      <alignment horizontal="center" vertical="top" wrapText="1"/>
    </xf>
    <xf numFmtId="164" fontId="8" fillId="0" borderId="73" xfId="0" applyNumberFormat="1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/>
    </xf>
    <xf numFmtId="164" fontId="15" fillId="0" borderId="0" xfId="0" applyNumberFormat="1" applyFont="1" applyBorder="1"/>
    <xf numFmtId="164" fontId="7" fillId="3" borderId="20" xfId="0" applyNumberFormat="1" applyFont="1" applyFill="1" applyBorder="1" applyAlignment="1">
      <alignment horizontal="center" vertical="top"/>
    </xf>
    <xf numFmtId="164" fontId="7" fillId="5" borderId="23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Border="1" applyAlignment="1">
      <alignment horizontal="center" vertical="top" wrapText="1"/>
    </xf>
    <xf numFmtId="164" fontId="11" fillId="0" borderId="69" xfId="0" applyNumberFormat="1" applyFont="1" applyBorder="1" applyAlignment="1">
      <alignment horizontal="center" vertical="top" wrapText="1"/>
    </xf>
    <xf numFmtId="164" fontId="11" fillId="0" borderId="41" xfId="0" applyNumberFormat="1" applyFont="1" applyFill="1" applyBorder="1" applyAlignment="1">
      <alignment horizontal="center" vertical="top" wrapText="1"/>
    </xf>
    <xf numFmtId="164" fontId="7" fillId="9" borderId="23" xfId="0" applyNumberFormat="1" applyFont="1" applyFill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center" wrapText="1"/>
    </xf>
    <xf numFmtId="164" fontId="11" fillId="9" borderId="28" xfId="0" applyNumberFormat="1" applyFont="1" applyFill="1" applyBorder="1" applyAlignment="1">
      <alignment horizontal="center" vertical="top"/>
    </xf>
    <xf numFmtId="164" fontId="11" fillId="9" borderId="13" xfId="0" applyNumberFormat="1" applyFont="1" applyFill="1" applyBorder="1" applyAlignment="1">
      <alignment horizontal="center" vertical="top" wrapText="1"/>
    </xf>
    <xf numFmtId="164" fontId="25" fillId="4" borderId="56" xfId="0" applyNumberFormat="1" applyFont="1" applyFill="1" applyBorder="1" applyAlignment="1">
      <alignment horizontal="center" vertical="top" wrapText="1"/>
    </xf>
    <xf numFmtId="164" fontId="25" fillId="4" borderId="54" xfId="0" applyNumberFormat="1" applyFont="1" applyFill="1" applyBorder="1" applyAlignment="1">
      <alignment horizontal="center" vertical="top" wrapText="1"/>
    </xf>
    <xf numFmtId="165" fontId="13" fillId="4" borderId="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0" fontId="11" fillId="4" borderId="35" xfId="0" applyNumberFormat="1" applyFont="1" applyFill="1" applyBorder="1" applyAlignment="1">
      <alignment horizontal="center" vertical="top" wrapText="1"/>
    </xf>
    <xf numFmtId="0" fontId="11" fillId="4" borderId="34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64" fontId="11" fillId="0" borderId="57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0" fontId="11" fillId="4" borderId="25" xfId="0" applyNumberFormat="1" applyFont="1" applyFill="1" applyBorder="1" applyAlignment="1">
      <alignment horizontal="left" vertical="top" wrapText="1"/>
    </xf>
    <xf numFmtId="49" fontId="13" fillId="8" borderId="5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left" vertical="top" wrapText="1"/>
    </xf>
    <xf numFmtId="164" fontId="11" fillId="0" borderId="70" xfId="0" applyNumberFormat="1" applyFont="1" applyFill="1" applyBorder="1" applyAlignment="1">
      <alignment horizontal="left" vertical="top" wrapText="1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54" xfId="0" applyNumberFormat="1" applyFont="1" applyFill="1" applyBorder="1" applyAlignment="1">
      <alignment horizontal="center" vertical="top"/>
    </xf>
    <xf numFmtId="49" fontId="13" fillId="0" borderId="34" xfId="0" applyNumberFormat="1" applyFont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 wrapText="1"/>
    </xf>
    <xf numFmtId="0" fontId="11" fillId="0" borderId="28" xfId="0" applyNumberFormat="1" applyFont="1" applyBorder="1" applyAlignment="1">
      <alignment horizontal="center" vertical="top" wrapText="1"/>
    </xf>
    <xf numFmtId="0" fontId="11" fillId="0" borderId="64" xfId="0" applyNumberFormat="1" applyFont="1" applyFill="1" applyBorder="1" applyAlignment="1">
      <alignment horizontal="center" vertical="top"/>
    </xf>
    <xf numFmtId="0" fontId="11" fillId="4" borderId="25" xfId="0" applyFont="1" applyFill="1" applyBorder="1" applyAlignment="1">
      <alignment horizontal="left" vertical="top" wrapText="1"/>
    </xf>
    <xf numFmtId="0" fontId="11" fillId="8" borderId="25" xfId="0" applyFont="1" applyFill="1" applyBorder="1" applyAlignment="1">
      <alignment horizontal="left" vertical="top" wrapText="1"/>
    </xf>
    <xf numFmtId="164" fontId="8" fillId="0" borderId="76" xfId="0" applyNumberFormat="1" applyFont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horizontal="left" vertical="top" wrapText="1"/>
    </xf>
    <xf numFmtId="49" fontId="7" fillId="0" borderId="34" xfId="0" applyNumberFormat="1" applyFont="1" applyBorder="1" applyAlignment="1">
      <alignment horizontal="center" vertical="top"/>
    </xf>
    <xf numFmtId="0" fontId="11" fillId="0" borderId="54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top"/>
    </xf>
    <xf numFmtId="0" fontId="11" fillId="4" borderId="43" xfId="0" applyNumberFormat="1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left" vertical="top" wrapText="1"/>
    </xf>
    <xf numFmtId="0" fontId="11" fillId="0" borderId="34" xfId="0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49" fontId="13" fillId="0" borderId="22" xfId="0" applyNumberFormat="1" applyFont="1" applyBorder="1" applyAlignment="1">
      <alignment horizontal="center" vertical="top" wrapText="1"/>
    </xf>
    <xf numFmtId="49" fontId="13" fillId="0" borderId="21" xfId="0" applyNumberFormat="1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3" borderId="7" xfId="0" applyNumberFormat="1" applyFont="1" applyFill="1" applyBorder="1" applyAlignment="1">
      <alignment horizontal="center" vertical="top" wrapText="1"/>
    </xf>
    <xf numFmtId="49" fontId="7" fillId="3" borderId="12" xfId="0" applyNumberFormat="1" applyFont="1" applyFill="1" applyBorder="1" applyAlignment="1">
      <alignment horizontal="center" vertical="top" wrapText="1"/>
    </xf>
    <xf numFmtId="49" fontId="7" fillId="3" borderId="19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49" fontId="7" fillId="2" borderId="17" xfId="0" applyNumberFormat="1" applyFont="1" applyFill="1" applyBorder="1" applyAlignment="1">
      <alignment horizontal="center" vertical="top"/>
    </xf>
    <xf numFmtId="49" fontId="7" fillId="3" borderId="19" xfId="0" applyNumberFormat="1" applyFont="1" applyFill="1" applyBorder="1" applyAlignment="1">
      <alignment horizontal="center" vertical="top"/>
    </xf>
    <xf numFmtId="0" fontId="11" fillId="0" borderId="24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horizontal="center" vertical="top" wrapText="1"/>
    </xf>
    <xf numFmtId="164" fontId="11" fillId="0" borderId="24" xfId="0" applyNumberFormat="1" applyFont="1" applyFill="1" applyBorder="1" applyAlignment="1">
      <alignment horizontal="left" vertical="top" wrapText="1"/>
    </xf>
    <xf numFmtId="49" fontId="7" fillId="0" borderId="35" xfId="0" applyNumberFormat="1" applyFont="1" applyFill="1" applyBorder="1" applyAlignment="1">
      <alignment horizontal="center" vertical="top" wrapText="1"/>
    </xf>
    <xf numFmtId="49" fontId="7" fillId="0" borderId="31" xfId="0" applyNumberFormat="1" applyFont="1" applyFill="1" applyBorder="1" applyAlignment="1">
      <alignment horizontal="center" vertical="top" wrapText="1"/>
    </xf>
    <xf numFmtId="49" fontId="13" fillId="0" borderId="35" xfId="0" applyNumberFormat="1" applyFont="1" applyBorder="1" applyAlignment="1">
      <alignment horizontal="center" vertical="top"/>
    </xf>
    <xf numFmtId="49" fontId="13" fillId="0" borderId="35" xfId="0" applyNumberFormat="1" applyFont="1" applyBorder="1" applyAlignment="1">
      <alignment horizontal="center" vertical="top" wrapText="1"/>
    </xf>
    <xf numFmtId="49" fontId="13" fillId="0" borderId="34" xfId="0" applyNumberFormat="1" applyFont="1" applyBorder="1" applyAlignment="1">
      <alignment horizontal="center" vertical="top" wrapText="1"/>
    </xf>
    <xf numFmtId="49" fontId="13" fillId="0" borderId="31" xfId="0" applyNumberFormat="1" applyFont="1" applyBorder="1" applyAlignment="1">
      <alignment horizontal="center" vertical="top" wrapText="1"/>
    </xf>
    <xf numFmtId="49" fontId="7" fillId="0" borderId="35" xfId="0" applyNumberFormat="1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 vertical="top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3" fillId="0" borderId="34" xfId="0" applyNumberFormat="1" applyFont="1" applyBorder="1" applyAlignment="1">
      <alignment horizontal="center" vertical="top"/>
    </xf>
    <xf numFmtId="0" fontId="11" fillId="0" borderId="26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9" borderId="40" xfId="0" applyFont="1" applyFill="1" applyBorder="1" applyAlignment="1">
      <alignment horizontal="center" vertical="top" wrapText="1"/>
    </xf>
    <xf numFmtId="164" fontId="7" fillId="2" borderId="70" xfId="0" applyNumberFormat="1" applyFont="1" applyFill="1" applyBorder="1" applyAlignment="1">
      <alignment horizontal="center" vertical="top"/>
    </xf>
    <xf numFmtId="164" fontId="7" fillId="5" borderId="70" xfId="0" applyNumberFormat="1" applyFont="1" applyFill="1" applyBorder="1" applyAlignment="1">
      <alignment horizontal="center" vertical="center"/>
    </xf>
    <xf numFmtId="164" fontId="13" fillId="9" borderId="1" xfId="0" applyNumberFormat="1" applyFont="1" applyFill="1" applyBorder="1" applyAlignment="1">
      <alignment horizontal="center" vertical="top" wrapText="1"/>
    </xf>
    <xf numFmtId="2" fontId="11" fillId="0" borderId="80" xfId="0" applyNumberFormat="1" applyFont="1" applyFill="1" applyBorder="1" applyAlignment="1">
      <alignment vertical="top" wrapText="1"/>
    </xf>
    <xf numFmtId="49" fontId="8" fillId="6" borderId="78" xfId="0" applyNumberFormat="1" applyFont="1" applyFill="1" applyBorder="1" applyAlignment="1">
      <alignment horizontal="center" vertical="top"/>
    </xf>
    <xf numFmtId="0" fontId="8" fillId="0" borderId="21" xfId="0" applyNumberFormat="1" applyFont="1" applyFill="1" applyBorder="1" applyAlignment="1">
      <alignment horizontal="center" vertical="top"/>
    </xf>
    <xf numFmtId="0" fontId="11" fillId="0" borderId="15" xfId="0" applyNumberFormat="1" applyFont="1" applyFill="1" applyBorder="1" applyAlignment="1">
      <alignment vertical="top" wrapText="1"/>
    </xf>
    <xf numFmtId="0" fontId="11" fillId="0" borderId="70" xfId="0" applyNumberFormat="1" applyFont="1" applyFill="1" applyBorder="1" applyAlignment="1">
      <alignment vertical="top" wrapText="1"/>
    </xf>
    <xf numFmtId="49" fontId="7" fillId="3" borderId="66" xfId="0" applyNumberFormat="1" applyFont="1" applyFill="1" applyBorder="1" applyAlignment="1">
      <alignment horizontal="center" vertical="top"/>
    </xf>
    <xf numFmtId="49" fontId="7" fillId="0" borderId="78" xfId="0" applyNumberFormat="1" applyFont="1" applyBorder="1" applyAlignment="1">
      <alignment horizontal="center" vertical="top" wrapText="1"/>
    </xf>
    <xf numFmtId="0" fontId="11" fillId="0" borderId="78" xfId="0" applyFont="1" applyFill="1" applyBorder="1" applyAlignment="1">
      <alignment horizontal="center" vertical="top" wrapText="1"/>
    </xf>
    <xf numFmtId="49" fontId="7" fillId="0" borderId="78" xfId="0" applyNumberFormat="1" applyFont="1" applyFill="1" applyBorder="1" applyAlignment="1">
      <alignment horizontal="center" vertical="top" wrapText="1"/>
    </xf>
    <xf numFmtId="0" fontId="11" fillId="0" borderId="26" xfId="0" applyNumberFormat="1" applyFont="1" applyFill="1" applyBorder="1" applyAlignment="1">
      <alignment horizontal="center" vertical="top" wrapText="1"/>
    </xf>
    <xf numFmtId="164" fontId="11" fillId="0" borderId="36" xfId="0" applyNumberFormat="1" applyFont="1" applyBorder="1" applyAlignment="1">
      <alignment horizontal="center" vertical="top"/>
    </xf>
    <xf numFmtId="0" fontId="13" fillId="0" borderId="80" xfId="0" applyFont="1" applyFill="1" applyBorder="1" applyAlignment="1">
      <alignment horizontal="center" vertical="top" wrapText="1"/>
    </xf>
    <xf numFmtId="164" fontId="11" fillId="0" borderId="80" xfId="0" applyNumberFormat="1" applyFont="1" applyBorder="1" applyAlignment="1">
      <alignment horizontal="center" vertical="top"/>
    </xf>
    <xf numFmtId="164" fontId="11" fillId="0" borderId="72" xfId="0" applyNumberFormat="1" applyFont="1" applyBorder="1" applyAlignment="1">
      <alignment horizontal="center" vertical="top"/>
    </xf>
    <xf numFmtId="49" fontId="7" fillId="0" borderId="39" xfId="0" applyNumberFormat="1" applyFont="1" applyBorder="1" applyAlignment="1">
      <alignment horizontal="center" vertical="top"/>
    </xf>
    <xf numFmtId="0" fontId="13" fillId="0" borderId="78" xfId="0" applyFont="1" applyFill="1" applyBorder="1" applyAlignment="1">
      <alignment horizontal="center" vertical="center" textRotation="90" wrapText="1"/>
    </xf>
    <xf numFmtId="0" fontId="13" fillId="0" borderId="78" xfId="0" applyNumberFormat="1" applyFont="1" applyFill="1" applyBorder="1" applyAlignment="1">
      <alignment horizontal="center" vertical="top"/>
    </xf>
    <xf numFmtId="0" fontId="8" fillId="0" borderId="26" xfId="0" applyNumberFormat="1" applyFont="1" applyFill="1" applyBorder="1" applyAlignment="1">
      <alignment horizontal="center" vertical="center" textRotation="90" wrapText="1"/>
    </xf>
    <xf numFmtId="49" fontId="7" fillId="2" borderId="5" xfId="0" applyNumberFormat="1" applyFont="1" applyFill="1" applyBorder="1" applyAlignment="1">
      <alignment vertical="top" wrapText="1"/>
    </xf>
    <xf numFmtId="49" fontId="7" fillId="2" borderId="10" xfId="0" applyNumberFormat="1" applyFont="1" applyFill="1" applyBorder="1" applyAlignment="1">
      <alignment vertical="top" wrapText="1"/>
    </xf>
    <xf numFmtId="49" fontId="7" fillId="3" borderId="7" xfId="0" applyNumberFormat="1" applyFont="1" applyFill="1" applyBorder="1" applyAlignment="1">
      <alignment vertical="top" wrapText="1"/>
    </xf>
    <xf numFmtId="49" fontId="7" fillId="3" borderId="12" xfId="0" applyNumberFormat="1" applyFont="1" applyFill="1" applyBorder="1" applyAlignment="1">
      <alignment vertical="top" wrapText="1"/>
    </xf>
    <xf numFmtId="49" fontId="7" fillId="3" borderId="19" xfId="0" applyNumberFormat="1" applyFont="1" applyFill="1" applyBorder="1" applyAlignment="1">
      <alignment vertical="top" wrapText="1"/>
    </xf>
    <xf numFmtId="49" fontId="7" fillId="0" borderId="7" xfId="0" applyNumberFormat="1" applyFont="1" applyBorder="1" applyAlignment="1">
      <alignment vertical="top" wrapText="1"/>
    </xf>
    <xf numFmtId="49" fontId="7" fillId="0" borderId="12" xfId="0" applyNumberFormat="1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49" fontId="13" fillId="0" borderId="34" xfId="0" applyNumberFormat="1" applyFont="1" applyBorder="1" applyAlignment="1">
      <alignment vertical="top" wrapText="1"/>
    </xf>
    <xf numFmtId="49" fontId="13" fillId="0" borderId="31" xfId="0" applyNumberFormat="1" applyFont="1" applyBorder="1" applyAlignment="1">
      <alignment vertical="top" wrapText="1"/>
    </xf>
    <xf numFmtId="0" fontId="8" fillId="0" borderId="15" xfId="0" applyNumberFormat="1" applyFont="1" applyBorder="1" applyAlignment="1">
      <alignment vertical="top" wrapText="1"/>
    </xf>
    <xf numFmtId="0" fontId="8" fillId="0" borderId="70" xfId="0" applyNumberFormat="1" applyFont="1" applyBorder="1" applyAlignment="1">
      <alignment vertical="top" wrapText="1"/>
    </xf>
    <xf numFmtId="0" fontId="11" fillId="0" borderId="10" xfId="0" applyNumberFormat="1" applyFont="1" applyFill="1" applyBorder="1" applyAlignment="1">
      <alignment vertical="top"/>
    </xf>
    <xf numFmtId="0" fontId="11" fillId="0" borderId="17" xfId="0" applyNumberFormat="1" applyFont="1" applyFill="1" applyBorder="1" applyAlignment="1">
      <alignment vertical="top"/>
    </xf>
    <xf numFmtId="0" fontId="11" fillId="0" borderId="12" xfId="0" applyNumberFormat="1" applyFont="1" applyFill="1" applyBorder="1" applyAlignment="1">
      <alignment vertical="top"/>
    </xf>
    <xf numFmtId="0" fontId="11" fillId="0" borderId="19" xfId="0" applyNumberFormat="1" applyFont="1" applyFill="1" applyBorder="1" applyAlignment="1">
      <alignment vertical="top"/>
    </xf>
    <xf numFmtId="0" fontId="11" fillId="0" borderId="34" xfId="0" applyNumberFormat="1" applyFont="1" applyFill="1" applyBorder="1" applyAlignment="1">
      <alignment vertical="top"/>
    </xf>
    <xf numFmtId="0" fontId="11" fillId="0" borderId="31" xfId="0" applyNumberFormat="1" applyFont="1" applyFill="1" applyBorder="1" applyAlignment="1">
      <alignment vertical="top"/>
    </xf>
    <xf numFmtId="164" fontId="11" fillId="4" borderId="26" xfId="0" applyNumberFormat="1" applyFont="1" applyFill="1" applyBorder="1" applyAlignment="1">
      <alignment horizontal="center" vertical="top"/>
    </xf>
    <xf numFmtId="164" fontId="11" fillId="4" borderId="79" xfId="0" applyNumberFormat="1" applyFont="1" applyFill="1" applyBorder="1" applyAlignment="1">
      <alignment horizontal="center" vertical="top"/>
    </xf>
    <xf numFmtId="49" fontId="7" fillId="2" borderId="38" xfId="0" applyNumberFormat="1" applyFont="1" applyFill="1" applyBorder="1" applyAlignment="1">
      <alignment vertical="top" wrapText="1"/>
    </xf>
    <xf numFmtId="49" fontId="7" fillId="3" borderId="39" xfId="0" applyNumberFormat="1" applyFont="1" applyFill="1" applyBorder="1" applyAlignment="1">
      <alignment vertical="top" wrapText="1"/>
    </xf>
    <xf numFmtId="49" fontId="7" fillId="0" borderId="39" xfId="0" applyNumberFormat="1" applyFont="1" applyBorder="1" applyAlignment="1">
      <alignment vertical="top" wrapText="1"/>
    </xf>
    <xf numFmtId="49" fontId="7" fillId="4" borderId="78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49" fontId="13" fillId="0" borderId="36" xfId="0" applyNumberFormat="1" applyFont="1" applyBorder="1" applyAlignment="1">
      <alignment horizontal="center" vertical="top" wrapText="1"/>
    </xf>
    <xf numFmtId="0" fontId="11" fillId="0" borderId="38" xfId="0" applyNumberFormat="1" applyFont="1" applyFill="1" applyBorder="1" applyAlignment="1">
      <alignment vertical="top"/>
    </xf>
    <xf numFmtId="0" fontId="11" fillId="0" borderId="39" xfId="0" applyNumberFormat="1" applyFont="1" applyFill="1" applyBorder="1" applyAlignment="1">
      <alignment vertical="top"/>
    </xf>
    <xf numFmtId="0" fontId="11" fillId="0" borderId="36" xfId="0" applyNumberFormat="1" applyFont="1" applyFill="1" applyBorder="1" applyAlignment="1">
      <alignment vertical="top"/>
    </xf>
    <xf numFmtId="49" fontId="7" fillId="2" borderId="46" xfId="0" applyNumberFormat="1" applyFont="1" applyFill="1" applyBorder="1" applyAlignment="1">
      <alignment vertical="top"/>
    </xf>
    <xf numFmtId="49" fontId="13" fillId="4" borderId="47" xfId="0" applyNumberFormat="1" applyFont="1" applyFill="1" applyBorder="1" applyAlignment="1">
      <alignment vertical="top"/>
    </xf>
    <xf numFmtId="49" fontId="7" fillId="4" borderId="21" xfId="0" applyNumberFormat="1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center" textRotation="90"/>
    </xf>
    <xf numFmtId="0" fontId="11" fillId="0" borderId="70" xfId="0" applyNumberFormat="1" applyFont="1" applyBorder="1" applyAlignment="1">
      <alignment horizontal="center" vertical="center" textRotation="90" wrapText="1"/>
    </xf>
    <xf numFmtId="164" fontId="11" fillId="8" borderId="13" xfId="0" applyNumberFormat="1" applyFont="1" applyFill="1" applyBorder="1" applyAlignment="1">
      <alignment horizontal="center" vertical="top"/>
    </xf>
    <xf numFmtId="3" fontId="11" fillId="0" borderId="0" xfId="0" applyNumberFormat="1" applyFont="1" applyBorder="1" applyAlignment="1">
      <alignment vertical="top"/>
    </xf>
    <xf numFmtId="164" fontId="11" fillId="0" borderId="2" xfId="0" applyNumberFormat="1" applyFont="1" applyFill="1" applyBorder="1" applyAlignment="1">
      <alignment horizontal="center" vertical="center" textRotation="90" wrapText="1"/>
    </xf>
    <xf numFmtId="164" fontId="7" fillId="9" borderId="51" xfId="0" applyNumberFormat="1" applyFont="1" applyFill="1" applyBorder="1" applyAlignment="1">
      <alignment horizontal="center" vertical="top"/>
    </xf>
    <xf numFmtId="165" fontId="13" fillId="4" borderId="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11" fillId="4" borderId="15" xfId="0" applyNumberFormat="1" applyFont="1" applyFill="1" applyBorder="1" applyAlignment="1">
      <alignment horizontal="left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64" fontId="11" fillId="0" borderId="72" xfId="0" applyNumberFormat="1" applyFont="1" applyFill="1" applyBorder="1" applyAlignment="1">
      <alignment horizontal="center" vertical="top"/>
    </xf>
    <xf numFmtId="164" fontId="11" fillId="0" borderId="57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0" fontId="11" fillId="4" borderId="25" xfId="0" applyNumberFormat="1" applyFont="1" applyFill="1" applyBorder="1" applyAlignment="1">
      <alignment horizontal="left" vertical="top" wrapText="1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1" fontId="11" fillId="0" borderId="42" xfId="0" applyNumberFormat="1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left" vertical="top" wrapText="1"/>
    </xf>
    <xf numFmtId="0" fontId="11" fillId="0" borderId="70" xfId="0" applyNumberFormat="1" applyFont="1" applyFill="1" applyBorder="1" applyAlignment="1">
      <alignment horizontal="left" vertical="top" wrapText="1"/>
    </xf>
    <xf numFmtId="0" fontId="11" fillId="0" borderId="5" xfId="0" applyNumberFormat="1" applyFont="1" applyFill="1" applyBorder="1" applyAlignment="1">
      <alignment horizontal="center" vertical="top"/>
    </xf>
    <xf numFmtId="0" fontId="11" fillId="0" borderId="17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35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1" fontId="11" fillId="0" borderId="5" xfId="0" applyNumberFormat="1" applyFont="1" applyFill="1" applyBorder="1" applyAlignment="1">
      <alignment horizontal="center" vertical="top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54" xfId="0" applyNumberFormat="1" applyFont="1" applyFill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 wrapText="1"/>
    </xf>
    <xf numFmtId="0" fontId="11" fillId="8" borderId="25" xfId="0" applyFont="1" applyFill="1" applyBorder="1" applyAlignment="1">
      <alignment horizontal="left" vertical="top" wrapText="1"/>
    </xf>
    <xf numFmtId="0" fontId="11" fillId="0" borderId="9" xfId="0" applyNumberFormat="1" applyFont="1" applyFill="1" applyBorder="1" applyAlignment="1">
      <alignment horizontal="left" vertical="top" wrapText="1"/>
    </xf>
    <xf numFmtId="0" fontId="8" fillId="0" borderId="9" xfId="0" applyNumberFormat="1" applyFont="1" applyBorder="1" applyAlignment="1">
      <alignment horizontal="center" vertical="top" wrapText="1"/>
    </xf>
    <xf numFmtId="0" fontId="8" fillId="0" borderId="15" xfId="0" applyNumberFormat="1" applyFont="1" applyBorder="1" applyAlignment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7" fillId="0" borderId="22" xfId="0" applyNumberFormat="1" applyFont="1" applyBorder="1" applyAlignment="1">
      <alignment horizontal="center" vertical="top"/>
    </xf>
    <xf numFmtId="49" fontId="7" fillId="0" borderId="21" xfId="0" applyNumberFormat="1" applyFont="1" applyBorder="1" applyAlignment="1">
      <alignment horizontal="center" vertical="top"/>
    </xf>
    <xf numFmtId="49" fontId="7" fillId="0" borderId="44" xfId="0" applyNumberFormat="1" applyFont="1" applyBorder="1" applyAlignment="1">
      <alignment horizontal="center" vertical="top"/>
    </xf>
    <xf numFmtId="0" fontId="11" fillId="0" borderId="28" xfId="0" applyNumberFormat="1" applyFont="1" applyBorder="1" applyAlignment="1">
      <alignment horizontal="center" vertical="top" wrapText="1"/>
    </xf>
    <xf numFmtId="0" fontId="11" fillId="4" borderId="43" xfId="0" applyNumberFormat="1" applyFont="1" applyFill="1" applyBorder="1" applyAlignment="1">
      <alignment horizontal="center" vertical="top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164" fontId="13" fillId="5" borderId="75" xfId="0" applyNumberFormat="1" applyFont="1" applyFill="1" applyBorder="1" applyAlignment="1">
      <alignment horizontal="center" vertical="top" wrapText="1"/>
    </xf>
    <xf numFmtId="164" fontId="8" fillId="0" borderId="67" xfId="0" applyNumberFormat="1" applyFont="1" applyFill="1" applyBorder="1" applyAlignment="1">
      <alignment horizontal="center" vertical="top" wrapText="1"/>
    </xf>
    <xf numFmtId="164" fontId="8" fillId="0" borderId="76" xfId="0" applyNumberFormat="1" applyFont="1" applyBorder="1" applyAlignment="1">
      <alignment horizontal="center" vertical="top" wrapText="1"/>
    </xf>
    <xf numFmtId="164" fontId="13" fillId="9" borderId="75" xfId="0" applyNumberFormat="1" applyFont="1" applyFill="1" applyBorder="1" applyAlignment="1">
      <alignment horizontal="center" vertical="top" wrapText="1"/>
    </xf>
    <xf numFmtId="164" fontId="8" fillId="0" borderId="22" xfId="0" applyNumberFormat="1" applyFont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top"/>
    </xf>
    <xf numFmtId="49" fontId="11" fillId="0" borderId="39" xfId="0" applyNumberFormat="1" applyFont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49" fontId="13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8" fillId="6" borderId="11" xfId="0" applyNumberFormat="1" applyFont="1" applyFill="1" applyBorder="1" applyAlignment="1">
      <alignment horizontal="center" vertical="top"/>
    </xf>
    <xf numFmtId="49" fontId="8" fillId="6" borderId="66" xfId="0" applyNumberFormat="1" applyFont="1" applyFill="1" applyBorder="1" applyAlignment="1">
      <alignment horizontal="center" vertical="top"/>
    </xf>
    <xf numFmtId="0" fontId="8" fillId="4" borderId="15" xfId="0" applyFont="1" applyFill="1" applyBorder="1" applyAlignment="1">
      <alignment horizontal="left" vertical="top" wrapText="1"/>
    </xf>
    <xf numFmtId="49" fontId="8" fillId="6" borderId="55" xfId="0" applyNumberFormat="1" applyFont="1" applyFill="1" applyBorder="1" applyAlignment="1">
      <alignment horizontal="center" vertical="top"/>
    </xf>
    <xf numFmtId="49" fontId="8" fillId="6" borderId="34" xfId="0" applyNumberFormat="1" applyFont="1" applyFill="1" applyBorder="1" applyAlignment="1">
      <alignment horizontal="center" vertical="top"/>
    </xf>
    <xf numFmtId="49" fontId="8" fillId="6" borderId="36" xfId="0" applyNumberFormat="1" applyFont="1" applyFill="1" applyBorder="1" applyAlignment="1">
      <alignment horizontal="center" vertical="top"/>
    </xf>
    <xf numFmtId="49" fontId="7" fillId="2" borderId="17" xfId="0" applyNumberFormat="1" applyFont="1" applyFill="1" applyBorder="1" applyAlignment="1">
      <alignment horizontal="center" vertical="top"/>
    </xf>
    <xf numFmtId="49" fontId="7" fillId="3" borderId="19" xfId="0" applyNumberFormat="1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center" vertical="top" wrapText="1"/>
    </xf>
    <xf numFmtId="0" fontId="11" fillId="0" borderId="70" xfId="0" applyNumberFormat="1" applyFont="1" applyFill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15" xfId="0" applyNumberFormat="1" applyFont="1" applyFill="1" applyBorder="1" applyAlignment="1">
      <alignment horizontal="center" vertical="top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44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Fill="1" applyBorder="1" applyAlignment="1">
      <alignment horizontal="center" vertical="top" wrapText="1"/>
    </xf>
    <xf numFmtId="49" fontId="13" fillId="0" borderId="35" xfId="0" applyNumberFormat="1" applyFont="1" applyBorder="1" applyAlignment="1">
      <alignment horizontal="center" vertical="top" wrapText="1"/>
    </xf>
    <xf numFmtId="49" fontId="13" fillId="0" borderId="34" xfId="0" applyNumberFormat="1" applyFont="1" applyBorder="1" applyAlignment="1">
      <alignment horizontal="center" vertical="top" wrapText="1"/>
    </xf>
    <xf numFmtId="49" fontId="13" fillId="0" borderId="31" xfId="0" applyNumberFormat="1" applyFont="1" applyBorder="1" applyAlignment="1">
      <alignment horizontal="center" vertical="top" wrapText="1"/>
    </xf>
    <xf numFmtId="0" fontId="11" fillId="0" borderId="12" xfId="0" applyNumberFormat="1" applyFont="1" applyFill="1" applyBorder="1" applyAlignment="1">
      <alignment horizontal="center" vertical="top"/>
    </xf>
    <xf numFmtId="0" fontId="11" fillId="0" borderId="34" xfId="0" applyNumberFormat="1" applyFont="1" applyFill="1" applyBorder="1" applyAlignment="1">
      <alignment horizontal="center" vertical="top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3" borderId="7" xfId="0" applyNumberFormat="1" applyFont="1" applyFill="1" applyBorder="1" applyAlignment="1">
      <alignment horizontal="center" vertical="top" wrapText="1"/>
    </xf>
    <xf numFmtId="49" fontId="7" fillId="3" borderId="12" xfId="0" applyNumberFormat="1" applyFont="1" applyFill="1" applyBorder="1" applyAlignment="1">
      <alignment horizontal="center" vertical="top" wrapText="1"/>
    </xf>
    <xf numFmtId="49" fontId="7" fillId="3" borderId="19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49" fontId="7" fillId="0" borderId="11" xfId="0" applyNumberFormat="1" applyFont="1" applyBorder="1" applyAlignment="1">
      <alignment horizontal="center" vertical="top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8" fillId="4" borderId="60" xfId="0" applyNumberFormat="1" applyFont="1" applyFill="1" applyBorder="1" applyAlignment="1">
      <alignment horizontal="center" vertical="top" wrapText="1"/>
    </xf>
    <xf numFmtId="0" fontId="13" fillId="0" borderId="34" xfId="0" applyNumberFormat="1" applyFont="1" applyBorder="1" applyAlignment="1">
      <alignment horizontal="center" vertical="top"/>
    </xf>
    <xf numFmtId="0" fontId="11" fillId="0" borderId="26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1" fillId="0" borderId="16" xfId="0" applyNumberFormat="1" applyFont="1" applyFill="1" applyBorder="1" applyAlignment="1">
      <alignment horizontal="center" vertical="top" wrapText="1"/>
    </xf>
    <xf numFmtId="49" fontId="11" fillId="0" borderId="10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0" fontId="11" fillId="4" borderId="12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3" fillId="0" borderId="34" xfId="0" applyNumberFormat="1" applyFont="1" applyBorder="1" applyAlignment="1">
      <alignment horizontal="center" vertical="top"/>
    </xf>
    <xf numFmtId="164" fontId="11" fillId="0" borderId="0" xfId="0" applyNumberFormat="1" applyFont="1" applyAlignment="1">
      <alignment vertical="top"/>
    </xf>
    <xf numFmtId="3" fontId="11" fillId="0" borderId="0" xfId="0" applyNumberFormat="1" applyFont="1" applyFill="1" applyBorder="1" applyAlignment="1">
      <alignment vertical="top"/>
    </xf>
    <xf numFmtId="49" fontId="11" fillId="0" borderId="10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left" vertical="top" wrapText="1"/>
    </xf>
    <xf numFmtId="0" fontId="8" fillId="8" borderId="15" xfId="0" applyFont="1" applyFill="1" applyBorder="1" applyAlignment="1">
      <alignment horizontal="left" vertical="top" wrapText="1"/>
    </xf>
    <xf numFmtId="49" fontId="7" fillId="2" borderId="10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center" vertical="top"/>
    </xf>
    <xf numFmtId="0" fontId="13" fillId="0" borderId="34" xfId="0" applyNumberFormat="1" applyFont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 wrapText="1"/>
    </xf>
    <xf numFmtId="164" fontId="11" fillId="4" borderId="14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Alignment="1">
      <alignment vertical="top"/>
    </xf>
    <xf numFmtId="49" fontId="7" fillId="8" borderId="0" xfId="0" applyNumberFormat="1" applyFont="1" applyFill="1" applyBorder="1" applyAlignment="1">
      <alignment horizontal="center" vertical="top"/>
    </xf>
    <xf numFmtId="2" fontId="7" fillId="8" borderId="0" xfId="0" applyNumberFormat="1" applyFont="1" applyFill="1" applyBorder="1" applyAlignment="1">
      <alignment horizontal="right" vertical="center"/>
    </xf>
    <xf numFmtId="164" fontId="7" fillId="8" borderId="0" xfId="0" applyNumberFormat="1" applyFont="1" applyFill="1" applyBorder="1" applyAlignment="1">
      <alignment horizontal="center" vertical="center"/>
    </xf>
    <xf numFmtId="164" fontId="7" fillId="8" borderId="0" xfId="0" applyNumberFormat="1" applyFont="1" applyFill="1" applyBorder="1" applyAlignment="1">
      <alignment horizontal="center" vertical="center" wrapText="1"/>
    </xf>
    <xf numFmtId="164" fontId="11" fillId="8" borderId="0" xfId="0" applyNumberFormat="1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vertical="top"/>
    </xf>
    <xf numFmtId="0" fontId="11" fillId="8" borderId="0" xfId="0" applyFont="1" applyFill="1" applyAlignment="1">
      <alignment vertical="top"/>
    </xf>
    <xf numFmtId="164" fontId="11" fillId="8" borderId="26" xfId="0" applyNumberFormat="1" applyFont="1" applyFill="1" applyBorder="1" applyAlignment="1">
      <alignment horizontal="center" vertical="top" wrapText="1"/>
    </xf>
    <xf numFmtId="0" fontId="11" fillId="4" borderId="50" xfId="0" applyNumberFormat="1" applyFont="1" applyFill="1" applyBorder="1" applyAlignment="1">
      <alignment horizontal="center" wrapText="1"/>
    </xf>
    <xf numFmtId="49" fontId="13" fillId="4" borderId="58" xfId="0" applyNumberFormat="1" applyFont="1" applyFill="1" applyBorder="1" applyAlignment="1">
      <alignment vertical="top"/>
    </xf>
    <xf numFmtId="0" fontId="11" fillId="4" borderId="77" xfId="0" applyFont="1" applyFill="1" applyBorder="1" applyAlignment="1">
      <alignment horizontal="center" vertical="top" wrapText="1"/>
    </xf>
    <xf numFmtId="164" fontId="11" fillId="8" borderId="46" xfId="0" applyNumberFormat="1" applyFont="1" applyFill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vertical="top" wrapText="1"/>
    </xf>
    <xf numFmtId="0" fontId="11" fillId="4" borderId="33" xfId="0" applyNumberFormat="1" applyFont="1" applyFill="1" applyBorder="1" applyAlignment="1">
      <alignment vertical="top" wrapText="1"/>
    </xf>
    <xf numFmtId="0" fontId="11" fillId="4" borderId="47" xfId="0" applyNumberFormat="1" applyFont="1" applyFill="1" applyBorder="1" applyAlignment="1">
      <alignment vertical="top" wrapText="1"/>
    </xf>
    <xf numFmtId="0" fontId="11" fillId="4" borderId="77" xfId="0" applyNumberFormat="1" applyFont="1" applyFill="1" applyBorder="1" applyAlignment="1">
      <alignment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0" fontId="6" fillId="4" borderId="70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49" fontId="10" fillId="0" borderId="19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left" vertical="top" wrapText="1"/>
    </xf>
    <xf numFmtId="49" fontId="10" fillId="4" borderId="12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2" borderId="17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 textRotation="90"/>
    </xf>
    <xf numFmtId="49" fontId="10" fillId="0" borderId="35" xfId="0" applyNumberFormat="1" applyFont="1" applyFill="1" applyBorder="1" applyAlignment="1">
      <alignment horizontal="center" vertical="top" wrapText="1"/>
    </xf>
    <xf numFmtId="0" fontId="6" fillId="0" borderId="32" xfId="0" applyFont="1" applyFill="1" applyBorder="1" applyAlignment="1">
      <alignment horizontal="center" vertical="top"/>
    </xf>
    <xf numFmtId="3" fontId="6" fillId="9" borderId="32" xfId="0" applyNumberFormat="1" applyFont="1" applyFill="1" applyBorder="1" applyAlignment="1">
      <alignment horizontal="center" vertical="top"/>
    </xf>
    <xf numFmtId="3" fontId="6" fillId="8" borderId="32" xfId="0" applyNumberFormat="1" applyFont="1" applyFill="1" applyBorder="1" applyAlignment="1">
      <alignment horizontal="center" vertical="top"/>
    </xf>
    <xf numFmtId="3" fontId="6" fillId="8" borderId="16" xfId="0" applyNumberFormat="1" applyFont="1" applyFill="1" applyBorder="1" applyAlignment="1">
      <alignment horizontal="center" vertical="top"/>
    </xf>
    <xf numFmtId="1" fontId="6" fillId="0" borderId="24" xfId="0" applyNumberFormat="1" applyFont="1" applyFill="1" applyBorder="1" applyAlignment="1">
      <alignment horizontal="center" vertical="top"/>
    </xf>
    <xf numFmtId="1" fontId="6" fillId="0" borderId="47" xfId="0" applyNumberFormat="1" applyFont="1" applyFill="1" applyBorder="1" applyAlignment="1">
      <alignment horizontal="center" vertical="top"/>
    </xf>
    <xf numFmtId="1" fontId="6" fillId="0" borderId="22" xfId="0" applyNumberFormat="1" applyFont="1" applyFill="1" applyBorder="1" applyAlignment="1">
      <alignment horizontal="center" vertical="top"/>
    </xf>
    <xf numFmtId="49" fontId="10" fillId="0" borderId="34" xfId="0" applyNumberFormat="1" applyFont="1" applyFill="1" applyBorder="1" applyAlignment="1">
      <alignment horizontal="center" vertical="top" wrapText="1"/>
    </xf>
    <xf numFmtId="0" fontId="6" fillId="0" borderId="28" xfId="0" applyFont="1" applyFill="1" applyBorder="1" applyAlignment="1">
      <alignment horizontal="center" vertical="top"/>
    </xf>
    <xf numFmtId="3" fontId="6" fillId="9" borderId="28" xfId="0" applyNumberFormat="1" applyFont="1" applyFill="1" applyBorder="1" applyAlignment="1">
      <alignment horizontal="center" vertical="top"/>
    </xf>
    <xf numFmtId="3" fontId="6" fillId="8" borderId="28" xfId="0" applyNumberFormat="1" applyFont="1" applyFill="1" applyBorder="1" applyAlignment="1">
      <alignment horizontal="center" vertical="top"/>
    </xf>
    <xf numFmtId="3" fontId="6" fillId="8" borderId="15" xfId="0" applyNumberFormat="1" applyFont="1" applyFill="1" applyBorder="1" applyAlignment="1">
      <alignment horizontal="center" vertical="top"/>
    </xf>
    <xf numFmtId="1" fontId="6" fillId="0" borderId="54" xfId="0" applyNumberFormat="1" applyFont="1" applyFill="1" applyBorder="1" applyAlignment="1">
      <alignment horizontal="center" vertical="top"/>
    </xf>
    <xf numFmtId="1" fontId="6" fillId="0" borderId="43" xfId="0" applyNumberFormat="1" applyFont="1" applyFill="1" applyBorder="1" applyAlignment="1">
      <alignment horizontal="center" vertical="top"/>
    </xf>
    <xf numFmtId="1" fontId="6" fillId="0" borderId="37" xfId="0" applyNumberFormat="1" applyFont="1" applyFill="1" applyBorder="1" applyAlignment="1">
      <alignment horizontal="center" vertical="top"/>
    </xf>
    <xf numFmtId="0" fontId="6" fillId="0" borderId="39" xfId="0" applyFont="1" applyBorder="1" applyAlignment="1">
      <alignment vertical="top"/>
    </xf>
    <xf numFmtId="0" fontId="6" fillId="0" borderId="21" xfId="0" applyFont="1" applyBorder="1" applyAlignment="1">
      <alignment vertical="top"/>
    </xf>
    <xf numFmtId="0" fontId="6" fillId="0" borderId="28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vertical="top" wrapText="1"/>
    </xf>
    <xf numFmtId="1" fontId="6" fillId="0" borderId="52" xfId="0" applyNumberFormat="1" applyFont="1" applyFill="1" applyBorder="1" applyAlignment="1">
      <alignment horizontal="center" vertical="top"/>
    </xf>
    <xf numFmtId="1" fontId="6" fillId="0" borderId="55" xfId="0" applyNumberFormat="1" applyFont="1" applyFill="1" applyBorder="1" applyAlignment="1">
      <alignment horizontal="center" vertical="top"/>
    </xf>
    <xf numFmtId="0" fontId="6" fillId="8" borderId="25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vertical="top" wrapText="1"/>
    </xf>
    <xf numFmtId="3" fontId="6" fillId="4" borderId="15" xfId="0" applyNumberFormat="1" applyFont="1" applyFill="1" applyBorder="1" applyAlignment="1">
      <alignment horizontal="center" vertical="top"/>
    </xf>
    <xf numFmtId="3" fontId="6" fillId="4" borderId="0" xfId="0" applyNumberFormat="1" applyFont="1" applyFill="1" applyBorder="1" applyAlignment="1">
      <alignment horizontal="center" vertical="top"/>
    </xf>
    <xf numFmtId="1" fontId="6" fillId="0" borderId="28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21" xfId="0" applyNumberFormat="1" applyFont="1" applyFill="1" applyBorder="1" applyAlignment="1">
      <alignment horizontal="center" vertical="top"/>
    </xf>
    <xf numFmtId="3" fontId="10" fillId="9" borderId="40" xfId="0" applyNumberFormat="1" applyFont="1" applyFill="1" applyBorder="1" applyAlignment="1">
      <alignment horizontal="center" vertical="top"/>
    </xf>
    <xf numFmtId="3" fontId="10" fillId="9" borderId="62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horizontal="center" vertical="top"/>
    </xf>
    <xf numFmtId="1" fontId="6" fillId="0" borderId="19" xfId="0" applyNumberFormat="1" applyFont="1" applyFill="1" applyBorder="1" applyAlignment="1">
      <alignment horizontal="center" vertical="top"/>
    </xf>
    <xf numFmtId="1" fontId="6" fillId="0" borderId="31" xfId="0" applyNumberFormat="1" applyFont="1" applyFill="1" applyBorder="1" applyAlignment="1">
      <alignment horizontal="center" vertical="top"/>
    </xf>
    <xf numFmtId="3" fontId="6" fillId="9" borderId="80" xfId="0" applyNumberFormat="1" applyFont="1" applyFill="1" applyBorder="1" applyAlignment="1">
      <alignment horizontal="center" vertical="top"/>
    </xf>
    <xf numFmtId="3" fontId="6" fillId="0" borderId="16" xfId="0" applyNumberFormat="1" applyFont="1" applyFill="1" applyBorder="1" applyAlignment="1">
      <alignment horizontal="center" vertical="top"/>
    </xf>
    <xf numFmtId="0" fontId="6" fillId="8" borderId="5" xfId="0" applyFont="1" applyFill="1" applyBorder="1" applyAlignment="1">
      <alignment horizontal="center" vertical="top" wrapText="1"/>
    </xf>
    <xf numFmtId="0" fontId="6" fillId="8" borderId="7" xfId="0" applyFont="1" applyFill="1" applyBorder="1" applyAlignment="1">
      <alignment horizontal="center" vertical="top" wrapText="1"/>
    </xf>
    <xf numFmtId="0" fontId="6" fillId="8" borderId="35" xfId="0" applyFont="1" applyFill="1" applyBorder="1" applyAlignment="1">
      <alignment horizontal="center" vertical="top" wrapText="1"/>
    </xf>
    <xf numFmtId="3" fontId="10" fillId="9" borderId="41" xfId="0" applyNumberFormat="1" applyFont="1" applyFill="1" applyBorder="1" applyAlignment="1">
      <alignment horizontal="center" vertical="top"/>
    </xf>
    <xf numFmtId="0" fontId="6" fillId="0" borderId="68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44" xfId="0" applyFont="1" applyFill="1" applyBorder="1" applyAlignment="1">
      <alignment horizontal="center" vertical="top" wrapText="1"/>
    </xf>
    <xf numFmtId="3" fontId="6" fillId="8" borderId="80" xfId="0" applyNumberFormat="1" applyFont="1" applyFill="1" applyBorder="1" applyAlignment="1">
      <alignment horizontal="center" vertical="top"/>
    </xf>
    <xf numFmtId="49" fontId="10" fillId="0" borderId="31" xfId="0" applyNumberFormat="1" applyFont="1" applyFill="1" applyBorder="1" applyAlignment="1">
      <alignment horizontal="center" vertical="top" wrapText="1"/>
    </xf>
    <xf numFmtId="3" fontId="10" fillId="9" borderId="59" xfId="0" applyNumberFormat="1" applyFont="1" applyFill="1" applyBorder="1" applyAlignment="1">
      <alignment horizontal="center" vertical="top"/>
    </xf>
    <xf numFmtId="0" fontId="6" fillId="0" borderId="24" xfId="0" applyFont="1" applyFill="1" applyBorder="1" applyAlignment="1">
      <alignment horizontal="center" vertical="top"/>
    </xf>
    <xf numFmtId="3" fontId="6" fillId="9" borderId="24" xfId="0" applyNumberFormat="1" applyFont="1" applyFill="1" applyBorder="1" applyAlignment="1">
      <alignment horizontal="center" vertical="top"/>
    </xf>
    <xf numFmtId="3" fontId="6" fillId="8" borderId="24" xfId="0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center" vertical="top"/>
    </xf>
    <xf numFmtId="0" fontId="6" fillId="0" borderId="50" xfId="0" applyFont="1" applyFill="1" applyBorder="1" applyAlignment="1">
      <alignment horizontal="center" vertical="top"/>
    </xf>
    <xf numFmtId="0" fontId="6" fillId="0" borderId="12" xfId="0" applyFont="1" applyFill="1" applyBorder="1" applyAlignment="1">
      <alignment horizontal="center" vertical="top"/>
    </xf>
    <xf numFmtId="0" fontId="6" fillId="0" borderId="34" xfId="0" applyFont="1" applyFill="1" applyBorder="1" applyAlignment="1">
      <alignment horizontal="center" vertical="top"/>
    </xf>
    <xf numFmtId="49" fontId="10" fillId="0" borderId="35" xfId="0" applyNumberFormat="1" applyFont="1" applyBorder="1" applyAlignment="1">
      <alignment horizontal="center" vertical="top" wrapText="1"/>
    </xf>
    <xf numFmtId="3" fontId="6" fillId="9" borderId="24" xfId="0" applyNumberFormat="1" applyFont="1" applyFill="1" applyBorder="1" applyAlignment="1">
      <alignment horizontal="center" vertical="top" wrapText="1"/>
    </xf>
    <xf numFmtId="49" fontId="9" fillId="0" borderId="35" xfId="0" applyNumberFormat="1" applyFont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3" fontId="1" fillId="9" borderId="28" xfId="0" applyNumberFormat="1" applyFont="1" applyFill="1" applyBorder="1" applyAlignment="1">
      <alignment horizontal="center" vertical="top"/>
    </xf>
    <xf numFmtId="0" fontId="6" fillId="8" borderId="15" xfId="0" applyFont="1" applyFill="1" applyBorder="1" applyAlignment="1">
      <alignment vertical="top" wrapText="1"/>
    </xf>
    <xf numFmtId="3" fontId="6" fillId="8" borderId="24" xfId="0" applyNumberFormat="1" applyFont="1" applyFill="1" applyBorder="1" applyAlignment="1">
      <alignment horizontal="center" vertical="top" wrapText="1"/>
    </xf>
    <xf numFmtId="164" fontId="6" fillId="0" borderId="24" xfId="0" applyNumberFormat="1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1" fontId="6" fillId="0" borderId="35" xfId="0" applyNumberFormat="1" applyFont="1" applyFill="1" applyBorder="1" applyAlignment="1">
      <alignment horizontal="center" vertical="top"/>
    </xf>
    <xf numFmtId="0" fontId="9" fillId="0" borderId="31" xfId="0" applyNumberFormat="1" applyFont="1" applyBorder="1" applyAlignment="1">
      <alignment horizontal="center" vertical="top"/>
    </xf>
    <xf numFmtId="0" fontId="9" fillId="9" borderId="40" xfId="0" applyFont="1" applyFill="1" applyBorder="1" applyAlignment="1">
      <alignment horizontal="center" vertical="top" wrapText="1"/>
    </xf>
    <xf numFmtId="3" fontId="9" fillId="9" borderId="54" xfId="0" applyNumberFormat="1" applyFont="1" applyFill="1" applyBorder="1" applyAlignment="1">
      <alignment horizontal="center" vertical="top" wrapText="1"/>
    </xf>
    <xf numFmtId="3" fontId="10" fillId="9" borderId="54" xfId="0" applyNumberFormat="1" applyFont="1" applyFill="1" applyBorder="1" applyAlignment="1">
      <alignment horizontal="center" vertical="top"/>
    </xf>
    <xf numFmtId="164" fontId="6" fillId="0" borderId="70" xfId="0" applyNumberFormat="1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center" vertical="top"/>
    </xf>
    <xf numFmtId="3" fontId="9" fillId="3" borderId="73" xfId="0" applyNumberFormat="1" applyFont="1" applyFill="1" applyBorder="1" applyAlignment="1">
      <alignment horizontal="center" vertical="top"/>
    </xf>
    <xf numFmtId="3" fontId="10" fillId="3" borderId="73" xfId="0" applyNumberFormat="1" applyFont="1" applyFill="1" applyBorder="1" applyAlignment="1">
      <alignment horizontal="center" vertical="top"/>
    </xf>
    <xf numFmtId="3" fontId="10" fillId="3" borderId="23" xfId="0" applyNumberFormat="1" applyFont="1" applyFill="1" applyBorder="1" applyAlignment="1">
      <alignment horizontal="center" vertical="top"/>
    </xf>
    <xf numFmtId="49" fontId="9" fillId="0" borderId="6" xfId="0" applyNumberFormat="1" applyFont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 textRotation="180" wrapText="1"/>
    </xf>
    <xf numFmtId="0" fontId="6" fillId="0" borderId="80" xfId="0" applyFont="1" applyFill="1" applyBorder="1" applyAlignment="1">
      <alignment horizontal="center" vertical="top"/>
    </xf>
    <xf numFmtId="3" fontId="6" fillId="9" borderId="16" xfId="0" applyNumberFormat="1" applyFont="1" applyFill="1" applyBorder="1" applyAlignment="1">
      <alignment horizontal="center" vertical="top"/>
    </xf>
    <xf numFmtId="3" fontId="6" fillId="4" borderId="80" xfId="0" applyNumberFormat="1" applyFont="1" applyFill="1" applyBorder="1" applyAlignment="1">
      <alignment horizontal="center" vertical="top" wrapText="1"/>
    </xf>
    <xf numFmtId="3" fontId="6" fillId="4" borderId="16" xfId="0" applyNumberFormat="1" applyFont="1" applyFill="1" applyBorder="1" applyAlignment="1">
      <alignment horizontal="center" vertical="top" wrapText="1"/>
    </xf>
    <xf numFmtId="0" fontId="6" fillId="4" borderId="24" xfId="0" applyNumberFormat="1" applyFont="1" applyFill="1" applyBorder="1" applyAlignment="1">
      <alignment horizontal="center" vertical="top" wrapText="1"/>
    </xf>
    <xf numFmtId="0" fontId="6" fillId="4" borderId="7" xfId="0" applyNumberFormat="1" applyFont="1" applyFill="1" applyBorder="1" applyAlignment="1">
      <alignment horizontal="center" vertical="top" wrapText="1"/>
    </xf>
    <xf numFmtId="0" fontId="6" fillId="4" borderId="35" xfId="0" applyNumberFormat="1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vertical="top"/>
    </xf>
    <xf numFmtId="0" fontId="6" fillId="0" borderId="0" xfId="0" applyNumberFormat="1" applyFont="1" applyFill="1" applyBorder="1" applyAlignment="1">
      <alignment horizontal="center" vertical="top"/>
    </xf>
    <xf numFmtId="3" fontId="6" fillId="9" borderId="15" xfId="0" applyNumberFormat="1" applyFont="1" applyFill="1" applyBorder="1" applyAlignment="1">
      <alignment horizontal="center" vertical="top"/>
    </xf>
    <xf numFmtId="3" fontId="6" fillId="4" borderId="26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0" fontId="9" fillId="4" borderId="15" xfId="0" applyFont="1" applyFill="1" applyBorder="1" applyAlignment="1">
      <alignment vertical="top" wrapText="1"/>
    </xf>
    <xf numFmtId="0" fontId="6" fillId="0" borderId="54" xfId="0" applyFont="1" applyFill="1" applyBorder="1" applyAlignment="1">
      <alignment horizontal="center" vertical="top"/>
    </xf>
    <xf numFmtId="3" fontId="6" fillId="9" borderId="25" xfId="0" applyNumberFormat="1" applyFont="1" applyFill="1" applyBorder="1" applyAlignment="1">
      <alignment horizontal="center" vertical="top"/>
    </xf>
    <xf numFmtId="3" fontId="6" fillId="4" borderId="56" xfId="0" applyNumberFormat="1" applyFont="1" applyFill="1" applyBorder="1" applyAlignment="1">
      <alignment horizontal="center" vertical="top"/>
    </xf>
    <xf numFmtId="3" fontId="6" fillId="4" borderId="13" xfId="0" applyNumberFormat="1" applyFont="1" applyFill="1" applyBorder="1" applyAlignment="1">
      <alignment horizontal="center" vertical="top"/>
    </xf>
    <xf numFmtId="0" fontId="6" fillId="0" borderId="12" xfId="0" applyFont="1" applyBorder="1" applyAlignment="1">
      <alignment vertical="top"/>
    </xf>
    <xf numFmtId="0" fontId="6" fillId="0" borderId="21" xfId="0" applyFont="1" applyBorder="1" applyAlignment="1">
      <alignment horizontal="center" vertical="top"/>
    </xf>
    <xf numFmtId="0" fontId="6" fillId="0" borderId="56" xfId="0" applyFont="1" applyFill="1" applyBorder="1" applyAlignment="1">
      <alignment horizontal="center" vertical="top" wrapText="1"/>
    </xf>
    <xf numFmtId="3" fontId="6" fillId="9" borderId="13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6" fillId="0" borderId="15" xfId="0" applyNumberFormat="1" applyFont="1" applyFill="1" applyBorder="1" applyAlignment="1">
      <alignment horizontal="center" vertical="top" wrapText="1"/>
    </xf>
    <xf numFmtId="0" fontId="6" fillId="4" borderId="54" xfId="0" applyNumberFormat="1" applyFont="1" applyFill="1" applyBorder="1" applyAlignment="1">
      <alignment vertical="top" wrapText="1"/>
    </xf>
    <xf numFmtId="0" fontId="6" fillId="4" borderId="54" xfId="0" applyNumberFormat="1" applyFont="1" applyFill="1" applyBorder="1" applyAlignment="1">
      <alignment horizontal="center" vertical="top" wrapText="1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3" fontId="6" fillId="0" borderId="60" xfId="0" applyNumberFormat="1" applyFont="1" applyFill="1" applyBorder="1" applyAlignment="1">
      <alignment horizontal="center" vertical="top" wrapText="1"/>
    </xf>
    <xf numFmtId="3" fontId="6" fillId="0" borderId="25" xfId="0" applyNumberFormat="1" applyFont="1" applyFill="1" applyBorder="1" applyAlignment="1">
      <alignment horizontal="center" vertical="top" wrapText="1"/>
    </xf>
    <xf numFmtId="0" fontId="6" fillId="4" borderId="28" xfId="0" applyNumberFormat="1" applyFont="1" applyFill="1" applyBorder="1" applyAlignment="1">
      <alignment vertical="top" wrapText="1"/>
    </xf>
    <xf numFmtId="0" fontId="6" fillId="4" borderId="34" xfId="0" applyNumberFormat="1" applyFont="1" applyFill="1" applyBorder="1" applyAlignment="1">
      <alignment vertical="top" wrapText="1"/>
    </xf>
    <xf numFmtId="3" fontId="6" fillId="0" borderId="0" xfId="0" applyNumberFormat="1" applyFont="1" applyBorder="1" applyAlignment="1">
      <alignment vertical="top"/>
    </xf>
    <xf numFmtId="3" fontId="6" fillId="0" borderId="15" xfId="0" applyNumberFormat="1" applyFont="1" applyBorder="1" applyAlignment="1">
      <alignment vertical="top"/>
    </xf>
    <xf numFmtId="2" fontId="6" fillId="0" borderId="28" xfId="0" applyNumberFormat="1" applyFont="1" applyFill="1" applyBorder="1" applyAlignment="1">
      <alignment vertical="top" wrapText="1"/>
    </xf>
    <xf numFmtId="164" fontId="6" fillId="0" borderId="28" xfId="0" applyNumberFormat="1" applyFont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34" xfId="0" applyFont="1" applyFill="1" applyBorder="1" applyAlignment="1">
      <alignment horizontal="center" vertical="top" wrapText="1"/>
    </xf>
    <xf numFmtId="3" fontId="6" fillId="9" borderId="15" xfId="0" applyNumberFormat="1" applyFont="1" applyFill="1" applyBorder="1" applyAlignment="1">
      <alignment horizontal="center" vertical="top" wrapText="1"/>
    </xf>
    <xf numFmtId="3" fontId="6" fillId="0" borderId="28" xfId="0" applyNumberFormat="1" applyFont="1" applyFill="1" applyBorder="1" applyAlignment="1">
      <alignment horizontal="center" vertical="top" wrapText="1"/>
    </xf>
    <xf numFmtId="2" fontId="1" fillId="0" borderId="28" xfId="0" applyNumberFormat="1" applyFont="1" applyFill="1" applyBorder="1" applyAlignment="1">
      <alignment vertical="top" wrapText="1"/>
    </xf>
    <xf numFmtId="0" fontId="1" fillId="8" borderId="10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3" fontId="6" fillId="4" borderId="28" xfId="0" applyNumberFormat="1" applyFont="1" applyFill="1" applyBorder="1" applyAlignment="1">
      <alignment horizontal="center" vertical="top" wrapText="1"/>
    </xf>
    <xf numFmtId="3" fontId="6" fillId="4" borderId="15" xfId="0" applyNumberFormat="1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center" vertical="top"/>
    </xf>
    <xf numFmtId="0" fontId="6" fillId="4" borderId="12" xfId="0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/>
    </xf>
    <xf numFmtId="3" fontId="6" fillId="0" borderId="28" xfId="0" applyNumberFormat="1" applyFont="1" applyFill="1" applyBorder="1" applyAlignment="1">
      <alignment horizontal="center" vertical="top"/>
    </xf>
    <xf numFmtId="3" fontId="6" fillId="0" borderId="15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horizontal="center" vertical="top"/>
    </xf>
    <xf numFmtId="0" fontId="6" fillId="0" borderId="28" xfId="0" applyNumberFormat="1" applyFont="1" applyFill="1" applyBorder="1" applyAlignment="1">
      <alignment horizontal="center" vertical="top"/>
    </xf>
    <xf numFmtId="0" fontId="6" fillId="0" borderId="11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2" fontId="6" fillId="0" borderId="28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Border="1" applyAlignment="1">
      <alignment horizontal="center" vertical="top"/>
    </xf>
    <xf numFmtId="0" fontId="10" fillId="0" borderId="34" xfId="0" applyNumberFormat="1" applyFont="1" applyBorder="1" applyAlignment="1">
      <alignment horizontal="center" vertical="top"/>
    </xf>
    <xf numFmtId="3" fontId="6" fillId="0" borderId="28" xfId="0" applyNumberFormat="1" applyFont="1" applyBorder="1" applyAlignment="1">
      <alignment horizontal="center" vertical="top"/>
    </xf>
    <xf numFmtId="3" fontId="6" fillId="0" borderId="15" xfId="0" applyNumberFormat="1" applyFont="1" applyBorder="1" applyAlignment="1">
      <alignment horizontal="center" vertical="top"/>
    </xf>
    <xf numFmtId="49" fontId="10" fillId="0" borderId="11" xfId="0" applyNumberFormat="1" applyFont="1" applyFill="1" applyBorder="1" applyAlignment="1">
      <alignment horizontal="center" vertical="top"/>
    </xf>
    <xf numFmtId="0" fontId="6" fillId="8" borderId="10" xfId="0" applyFont="1" applyFill="1" applyBorder="1" applyAlignment="1">
      <alignment horizontal="center" vertical="top"/>
    </xf>
    <xf numFmtId="49" fontId="10" fillId="2" borderId="38" xfId="0" applyNumberFormat="1" applyFont="1" applyFill="1" applyBorder="1" applyAlignment="1">
      <alignment horizontal="center" vertical="top"/>
    </xf>
    <xf numFmtId="49" fontId="10" fillId="3" borderId="39" xfId="0" applyNumberFormat="1" applyFont="1" applyFill="1" applyBorder="1" applyAlignment="1">
      <alignment horizontal="center" vertical="top"/>
    </xf>
    <xf numFmtId="0" fontId="9" fillId="0" borderId="78" xfId="0" applyFont="1" applyFill="1" applyBorder="1" applyAlignment="1">
      <alignment horizontal="center" vertical="top" wrapText="1"/>
    </xf>
    <xf numFmtId="0" fontId="9" fillId="0" borderId="36" xfId="0" applyNumberFormat="1" applyFont="1" applyBorder="1" applyAlignment="1">
      <alignment horizontal="center" vertical="top"/>
    </xf>
    <xf numFmtId="3" fontId="6" fillId="9" borderId="26" xfId="0" applyNumberFormat="1" applyFont="1" applyFill="1" applyBorder="1" applyAlignment="1">
      <alignment horizontal="center" vertical="top"/>
    </xf>
    <xf numFmtId="49" fontId="6" fillId="0" borderId="38" xfId="0" applyNumberFormat="1" applyFont="1" applyFill="1" applyBorder="1" applyAlignment="1">
      <alignment horizontal="center" vertical="top"/>
    </xf>
    <xf numFmtId="1" fontId="6" fillId="0" borderId="39" xfId="0" applyNumberFormat="1" applyFont="1" applyFill="1" applyBorder="1" applyAlignment="1">
      <alignment horizontal="center" vertical="top"/>
    </xf>
    <xf numFmtId="1" fontId="6" fillId="0" borderId="36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64" fontId="6" fillId="0" borderId="28" xfId="0" applyNumberFormat="1" applyFont="1" applyFill="1" applyBorder="1" applyAlignment="1">
      <alignment vertical="top" wrapText="1"/>
    </xf>
    <xf numFmtId="49" fontId="6" fillId="0" borderId="10" xfId="0" applyNumberFormat="1" applyFont="1" applyFill="1" applyBorder="1" applyAlignment="1">
      <alignment vertical="top"/>
    </xf>
    <xf numFmtId="1" fontId="6" fillId="0" borderId="12" xfId="0" applyNumberFormat="1" applyFont="1" applyFill="1" applyBorder="1" applyAlignment="1">
      <alignment vertical="top"/>
    </xf>
    <xf numFmtId="1" fontId="6" fillId="0" borderId="34" xfId="0" applyNumberFormat="1" applyFont="1" applyFill="1" applyBorder="1" applyAlignment="1">
      <alignment vertical="top"/>
    </xf>
    <xf numFmtId="49" fontId="6" fillId="0" borderId="10" xfId="0" applyNumberFormat="1" applyFont="1" applyFill="1" applyBorder="1" applyAlignment="1">
      <alignment horizontal="center" vertical="top"/>
    </xf>
    <xf numFmtId="1" fontId="6" fillId="0" borderId="34" xfId="0" applyNumberFormat="1" applyFont="1" applyFill="1" applyBorder="1" applyAlignment="1">
      <alignment horizontal="center" vertical="top"/>
    </xf>
    <xf numFmtId="3" fontId="6" fillId="9" borderId="9" xfId="0" applyNumberFormat="1" applyFont="1" applyFill="1" applyBorder="1" applyAlignment="1">
      <alignment horizontal="center" vertical="top" wrapText="1"/>
    </xf>
    <xf numFmtId="3" fontId="6" fillId="8" borderId="9" xfId="0" applyNumberFormat="1" applyFont="1" applyFill="1" applyBorder="1" applyAlignment="1">
      <alignment horizontal="center" vertical="top" wrapText="1"/>
    </xf>
    <xf numFmtId="0" fontId="6" fillId="0" borderId="24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/>
    </xf>
    <xf numFmtId="3" fontId="10" fillId="9" borderId="61" xfId="0" applyNumberFormat="1" applyFont="1" applyFill="1" applyBorder="1" applyAlignment="1">
      <alignment horizontal="center" vertical="top"/>
    </xf>
    <xf numFmtId="0" fontId="1" fillId="0" borderId="68" xfId="0" applyNumberFormat="1" applyFont="1" applyFill="1" applyBorder="1" applyAlignment="1">
      <alignment horizontal="center" vertical="top"/>
    </xf>
    <xf numFmtId="0" fontId="1" fillId="0" borderId="19" xfId="0" applyNumberFormat="1" applyFont="1" applyFill="1" applyBorder="1" applyAlignment="1">
      <alignment horizontal="center" vertical="top"/>
    </xf>
    <xf numFmtId="0" fontId="1" fillId="0" borderId="44" xfId="0" applyNumberFormat="1" applyFont="1" applyFill="1" applyBorder="1" applyAlignment="1">
      <alignment horizontal="center" vertical="top"/>
    </xf>
    <xf numFmtId="0" fontId="10" fillId="0" borderId="24" xfId="0" applyFont="1" applyFill="1" applyBorder="1" applyAlignment="1">
      <alignment vertical="center" textRotation="90" wrapText="1"/>
    </xf>
    <xf numFmtId="49" fontId="9" fillId="0" borderId="35" xfId="0" applyNumberFormat="1" applyFont="1" applyBorder="1" applyAlignment="1">
      <alignment horizontal="center" vertical="top" wrapText="1"/>
    </xf>
    <xf numFmtId="3" fontId="6" fillId="4" borderId="24" xfId="0" applyNumberFormat="1" applyFont="1" applyFill="1" applyBorder="1" applyAlignment="1">
      <alignment horizontal="center" vertical="top" wrapText="1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6" fillId="0" borderId="22" xfId="0" applyNumberFormat="1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vertical="center" textRotation="90" wrapText="1"/>
    </xf>
    <xf numFmtId="49" fontId="9" fillId="0" borderId="34" xfId="0" applyNumberFormat="1" applyFont="1" applyBorder="1" applyAlignment="1">
      <alignment horizontal="center" vertical="top" wrapText="1"/>
    </xf>
    <xf numFmtId="0" fontId="6" fillId="0" borderId="60" xfId="0" applyNumberFormat="1" applyFont="1" applyFill="1" applyBorder="1" applyAlignment="1">
      <alignment horizontal="center" vertical="top" wrapText="1"/>
    </xf>
    <xf numFmtId="0" fontId="6" fillId="0" borderId="43" xfId="0" applyNumberFormat="1" applyFont="1" applyFill="1" applyBorder="1" applyAlignment="1">
      <alignment horizontal="center" vertical="top" wrapText="1"/>
    </xf>
    <xf numFmtId="0" fontId="6" fillId="0" borderId="37" xfId="0" applyNumberFormat="1" applyFont="1" applyFill="1" applyBorder="1" applyAlignment="1">
      <alignment horizontal="center" vertical="top" wrapText="1"/>
    </xf>
    <xf numFmtId="0" fontId="6" fillId="0" borderId="10" xfId="0" applyNumberFormat="1" applyFont="1" applyFill="1" applyBorder="1" applyAlignment="1">
      <alignment horizontal="center" vertical="top" wrapText="1"/>
    </xf>
    <xf numFmtId="0" fontId="6" fillId="0" borderId="12" xfId="0" applyNumberFormat="1" applyFont="1" applyFill="1" applyBorder="1" applyAlignment="1">
      <alignment horizontal="center" vertical="top" wrapText="1"/>
    </xf>
    <xf numFmtId="0" fontId="6" fillId="0" borderId="34" xfId="0" applyNumberFormat="1" applyFont="1" applyFill="1" applyBorder="1" applyAlignment="1">
      <alignment horizontal="center" vertical="top" wrapText="1"/>
    </xf>
    <xf numFmtId="0" fontId="6" fillId="0" borderId="50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21" xfId="0" applyFont="1" applyFill="1" applyBorder="1" applyAlignment="1">
      <alignment horizontal="center" vertical="top" wrapText="1"/>
    </xf>
    <xf numFmtId="3" fontId="1" fillId="4" borderId="66" xfId="0" applyNumberFormat="1" applyFont="1" applyFill="1" applyBorder="1" applyAlignment="1">
      <alignment horizontal="center" vertical="top" wrapText="1"/>
    </xf>
    <xf numFmtId="3" fontId="1" fillId="4" borderId="26" xfId="0" applyNumberFormat="1" applyFont="1" applyFill="1" applyBorder="1" applyAlignment="1">
      <alignment horizontal="center" vertical="top" wrapText="1"/>
    </xf>
    <xf numFmtId="0" fontId="10" fillId="0" borderId="68" xfId="0" applyFont="1" applyFill="1" applyBorder="1" applyAlignment="1">
      <alignment vertical="center" textRotation="90" wrapText="1"/>
    </xf>
    <xf numFmtId="0" fontId="6" fillId="0" borderId="1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31" xfId="0" applyFont="1" applyFill="1" applyBorder="1" applyAlignment="1">
      <alignment vertical="top" wrapText="1"/>
    </xf>
    <xf numFmtId="0" fontId="9" fillId="0" borderId="9" xfId="0" applyFont="1" applyBorder="1" applyAlignment="1">
      <alignment horizontal="left" vertical="top" wrapText="1"/>
    </xf>
    <xf numFmtId="3" fontId="6" fillId="4" borderId="9" xfId="0" applyNumberFormat="1" applyFont="1" applyFill="1" applyBorder="1" applyAlignment="1">
      <alignment horizontal="center" vertical="top"/>
    </xf>
    <xf numFmtId="0" fontId="6" fillId="0" borderId="13" xfId="0" applyFont="1" applyBorder="1" applyAlignment="1">
      <alignment horizontal="center" vertical="top" wrapText="1"/>
    </xf>
    <xf numFmtId="3" fontId="6" fillId="4" borderId="76" xfId="0" applyNumberFormat="1" applyFont="1" applyFill="1" applyBorder="1" applyAlignment="1">
      <alignment horizontal="center" vertical="top"/>
    </xf>
    <xf numFmtId="3" fontId="9" fillId="9" borderId="62" xfId="0" applyNumberFormat="1" applyFont="1" applyFill="1" applyBorder="1" applyAlignment="1">
      <alignment horizontal="center" vertical="top" wrapText="1"/>
    </xf>
    <xf numFmtId="3" fontId="10" fillId="9" borderId="67" xfId="0" applyNumberFormat="1" applyFont="1" applyFill="1" applyBorder="1" applyAlignment="1">
      <alignment horizontal="center" vertical="top"/>
    </xf>
    <xf numFmtId="49" fontId="9" fillId="0" borderId="35" xfId="0" applyNumberFormat="1" applyFont="1" applyFill="1" applyBorder="1" applyAlignment="1">
      <alignment horizontal="center" vertical="top" wrapText="1"/>
    </xf>
    <xf numFmtId="3" fontId="6" fillId="9" borderId="16" xfId="0" applyNumberFormat="1" applyFont="1" applyFill="1" applyBorder="1" applyAlignment="1">
      <alignment horizontal="center" vertical="top" wrapText="1"/>
    </xf>
    <xf numFmtId="3" fontId="6" fillId="8" borderId="16" xfId="0" applyNumberFormat="1" applyFont="1" applyFill="1" applyBorder="1" applyAlignment="1">
      <alignment horizontal="center" vertical="top" wrapText="1"/>
    </xf>
    <xf numFmtId="49" fontId="9" fillId="0" borderId="34" xfId="0" applyNumberFormat="1" applyFont="1" applyFill="1" applyBorder="1" applyAlignment="1">
      <alignment horizontal="center" vertical="top" wrapText="1"/>
    </xf>
    <xf numFmtId="3" fontId="6" fillId="8" borderId="15" xfId="0" applyNumberFormat="1" applyFont="1" applyFill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left" vertical="top" wrapText="1"/>
    </xf>
    <xf numFmtId="0" fontId="6" fillId="0" borderId="68" xfId="0" applyNumberFormat="1" applyFont="1" applyFill="1" applyBorder="1" applyAlignment="1">
      <alignment horizontal="center" vertical="top" wrapText="1"/>
    </xf>
    <xf numFmtId="0" fontId="6" fillId="0" borderId="19" xfId="0" applyNumberFormat="1" applyFont="1" applyFill="1" applyBorder="1" applyAlignment="1">
      <alignment horizontal="center" vertical="top" wrapText="1"/>
    </xf>
    <xf numFmtId="0" fontId="6" fillId="0" borderId="44" xfId="0" applyNumberFormat="1" applyFont="1" applyFill="1" applyBorder="1" applyAlignment="1">
      <alignment horizontal="center" vertical="top" wrapText="1"/>
    </xf>
    <xf numFmtId="3" fontId="1" fillId="9" borderId="26" xfId="0" applyNumberFormat="1" applyFont="1" applyFill="1" applyBorder="1" applyAlignment="1">
      <alignment horizontal="center" vertical="top" wrapText="1"/>
    </xf>
    <xf numFmtId="3" fontId="6" fillId="8" borderId="26" xfId="0" applyNumberFormat="1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top" wrapText="1"/>
    </xf>
    <xf numFmtId="0" fontId="6" fillId="0" borderId="28" xfId="0" applyNumberFormat="1" applyFont="1" applyFill="1" applyBorder="1" applyAlignment="1">
      <alignment horizontal="center" vertical="top" wrapText="1"/>
    </xf>
    <xf numFmtId="0" fontId="6" fillId="0" borderId="21" xfId="0" applyNumberFormat="1" applyFont="1" applyFill="1" applyBorder="1" applyAlignment="1">
      <alignment horizontal="center" vertical="top" wrapText="1"/>
    </xf>
    <xf numFmtId="3" fontId="6" fillId="4" borderId="25" xfId="0" applyNumberFormat="1" applyFont="1" applyFill="1" applyBorder="1" applyAlignment="1">
      <alignment horizontal="center" vertical="top"/>
    </xf>
    <xf numFmtId="0" fontId="9" fillId="0" borderId="31" xfId="0" applyFont="1" applyBorder="1" applyAlignment="1">
      <alignment horizontal="center" vertical="top" wrapText="1"/>
    </xf>
    <xf numFmtId="3" fontId="9" fillId="9" borderId="62" xfId="0" applyNumberFormat="1" applyFont="1" applyFill="1" applyBorder="1" applyAlignment="1">
      <alignment horizontal="center" vertical="top"/>
    </xf>
    <xf numFmtId="0" fontId="6" fillId="0" borderId="68" xfId="0" applyNumberFormat="1" applyFont="1" applyFill="1" applyBorder="1" applyAlignment="1">
      <alignment horizontal="left" vertical="top" wrapText="1"/>
    </xf>
    <xf numFmtId="0" fontId="9" fillId="0" borderId="51" xfId="0" applyFont="1" applyBorder="1" applyAlignment="1">
      <alignment horizontal="center" vertical="top" wrapText="1"/>
    </xf>
    <xf numFmtId="3" fontId="6" fillId="4" borderId="33" xfId="0" applyNumberFormat="1" applyFont="1" applyFill="1" applyBorder="1" applyAlignment="1">
      <alignment horizontal="center" vertical="top" wrapText="1"/>
    </xf>
    <xf numFmtId="1" fontId="6" fillId="0" borderId="46" xfId="0" applyNumberFormat="1" applyFont="1" applyFill="1" applyBorder="1" applyAlignment="1">
      <alignment horizontal="center" vertical="top"/>
    </xf>
    <xf numFmtId="1" fontId="6" fillId="0" borderId="48" xfId="0" applyNumberFormat="1" applyFont="1" applyFill="1" applyBorder="1" applyAlignment="1">
      <alignment horizontal="center" vertical="top"/>
    </xf>
    <xf numFmtId="3" fontId="6" fillId="0" borderId="26" xfId="0" applyNumberFormat="1" applyFont="1" applyFill="1" applyBorder="1" applyAlignment="1">
      <alignment horizontal="center" vertical="top"/>
    </xf>
    <xf numFmtId="3" fontId="6" fillId="9" borderId="13" xfId="0" applyNumberFormat="1" applyFont="1" applyFill="1" applyBorder="1" applyAlignment="1">
      <alignment horizontal="center" vertical="top"/>
    </xf>
    <xf numFmtId="3" fontId="6" fillId="0" borderId="13" xfId="0" applyNumberFormat="1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left" vertical="top" wrapText="1"/>
    </xf>
    <xf numFmtId="0" fontId="6" fillId="0" borderId="45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" fontId="6" fillId="0" borderId="51" xfId="0" applyNumberFormat="1" applyFont="1" applyFill="1" applyBorder="1" applyAlignment="1">
      <alignment horizontal="center" vertical="top"/>
    </xf>
    <xf numFmtId="0" fontId="6" fillId="0" borderId="52" xfId="0" applyFont="1" applyFill="1" applyBorder="1" applyAlignment="1">
      <alignment horizontal="center" vertical="top" wrapText="1"/>
    </xf>
    <xf numFmtId="0" fontId="6" fillId="0" borderId="43" xfId="0" applyFont="1" applyFill="1" applyBorder="1" applyAlignment="1">
      <alignment horizontal="center" vertical="top" wrapText="1"/>
    </xf>
    <xf numFmtId="3" fontId="10" fillId="9" borderId="25" xfId="0" applyNumberFormat="1" applyFont="1" applyFill="1" applyBorder="1" applyAlignment="1">
      <alignment horizontal="center" vertical="top"/>
    </xf>
    <xf numFmtId="0" fontId="6" fillId="0" borderId="17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31" xfId="0" applyFont="1" applyFill="1" applyBorder="1" applyAlignment="1">
      <alignment horizontal="center" vertical="top"/>
    </xf>
    <xf numFmtId="3" fontId="6" fillId="4" borderId="32" xfId="0" applyNumberFormat="1" applyFont="1" applyFill="1" applyBorder="1" applyAlignment="1">
      <alignment horizontal="center" vertical="top" wrapText="1"/>
    </xf>
    <xf numFmtId="164" fontId="6" fillId="0" borderId="9" xfId="0" applyNumberFormat="1" applyFont="1" applyFill="1" applyBorder="1" applyAlignment="1">
      <alignment vertical="top" wrapText="1"/>
    </xf>
    <xf numFmtId="2" fontId="6" fillId="0" borderId="5" xfId="0" applyNumberFormat="1" applyFont="1" applyFill="1" applyBorder="1" applyAlignment="1">
      <alignment vertical="top"/>
    </xf>
    <xf numFmtId="2" fontId="6" fillId="0" borderId="7" xfId="0" applyNumberFormat="1" applyFont="1" applyFill="1" applyBorder="1" applyAlignment="1">
      <alignment vertical="top"/>
    </xf>
    <xf numFmtId="2" fontId="6" fillId="0" borderId="35" xfId="0" applyNumberFormat="1" applyFont="1" applyFill="1" applyBorder="1" applyAlignment="1">
      <alignment vertical="top"/>
    </xf>
    <xf numFmtId="3" fontId="6" fillId="9" borderId="56" xfId="0" applyNumberFormat="1" applyFont="1" applyFill="1" applyBorder="1" applyAlignment="1">
      <alignment horizontal="center" vertical="top"/>
    </xf>
    <xf numFmtId="0" fontId="10" fillId="9" borderId="68" xfId="0" applyFont="1" applyFill="1" applyBorder="1" applyAlignment="1">
      <alignment horizontal="center" vertical="top"/>
    </xf>
    <xf numFmtId="3" fontId="10" fillId="9" borderId="68" xfId="0" applyNumberFormat="1" applyFont="1" applyFill="1" applyBorder="1" applyAlignment="1">
      <alignment horizontal="center" vertical="top"/>
    </xf>
    <xf numFmtId="3" fontId="6" fillId="9" borderId="9" xfId="0" applyNumberFormat="1" applyFont="1" applyFill="1" applyBorder="1" applyAlignment="1">
      <alignment horizontal="center" vertical="top"/>
    </xf>
    <xf numFmtId="3" fontId="6" fillId="4" borderId="9" xfId="0" applyNumberFormat="1" applyFont="1" applyFill="1" applyBorder="1" applyAlignment="1">
      <alignment horizontal="center" vertical="top" wrapText="1"/>
    </xf>
    <xf numFmtId="3" fontId="6" fillId="4" borderId="22" xfId="0" applyNumberFormat="1" applyFont="1" applyFill="1" applyBorder="1" applyAlignment="1">
      <alignment horizontal="center" vertical="top" wrapText="1"/>
    </xf>
    <xf numFmtId="0" fontId="6" fillId="0" borderId="16" xfId="0" applyNumberFormat="1" applyFont="1" applyFill="1" applyBorder="1" applyAlignment="1">
      <alignment horizontal="left" vertical="top"/>
    </xf>
    <xf numFmtId="0" fontId="6" fillId="0" borderId="46" xfId="0" applyNumberFormat="1" applyFont="1" applyFill="1" applyBorder="1" applyAlignment="1">
      <alignment horizontal="center" vertical="top"/>
    </xf>
    <xf numFmtId="0" fontId="6" fillId="0" borderId="47" xfId="0" applyNumberFormat="1" applyFont="1" applyFill="1" applyBorder="1" applyAlignment="1">
      <alignment horizontal="center" vertical="top"/>
    </xf>
    <xf numFmtId="0" fontId="6" fillId="0" borderId="48" xfId="0" applyNumberFormat="1" applyFont="1" applyFill="1" applyBorder="1" applyAlignment="1">
      <alignment horizontal="center" vertical="top"/>
    </xf>
    <xf numFmtId="3" fontId="6" fillId="4" borderId="21" xfId="0" applyNumberFormat="1" applyFont="1" applyFill="1" applyBorder="1" applyAlignment="1">
      <alignment horizontal="center" vertical="top" wrapText="1"/>
    </xf>
    <xf numFmtId="0" fontId="6" fillId="0" borderId="52" xfId="0" applyNumberFormat="1" applyFont="1" applyFill="1" applyBorder="1" applyAlignment="1">
      <alignment horizontal="center" vertical="top"/>
    </xf>
    <xf numFmtId="0" fontId="6" fillId="0" borderId="43" xfId="0" applyNumberFormat="1" applyFont="1" applyFill="1" applyBorder="1" applyAlignment="1">
      <alignment horizontal="center" vertical="top"/>
    </xf>
    <xf numFmtId="0" fontId="6" fillId="0" borderId="55" xfId="0" applyNumberFormat="1" applyFont="1" applyFill="1" applyBorder="1" applyAlignment="1">
      <alignment horizontal="center" vertical="top"/>
    </xf>
    <xf numFmtId="0" fontId="6" fillId="0" borderId="17" xfId="0" applyNumberFormat="1" applyFont="1" applyFill="1" applyBorder="1" applyAlignment="1">
      <alignment horizontal="center" vertical="top"/>
    </xf>
    <xf numFmtId="0" fontId="9" fillId="4" borderId="16" xfId="0" applyFont="1" applyFill="1" applyBorder="1" applyAlignment="1">
      <alignment vertical="top" wrapText="1"/>
    </xf>
    <xf numFmtId="0" fontId="9" fillId="0" borderId="33" xfId="0" applyFont="1" applyFill="1" applyBorder="1" applyAlignment="1">
      <alignment horizontal="center" vertical="top" textRotation="180" wrapText="1"/>
    </xf>
    <xf numFmtId="0" fontId="9" fillId="0" borderId="48" xfId="0" applyNumberFormat="1" applyFont="1" applyBorder="1" applyAlignment="1">
      <alignment horizontal="center" vertical="center"/>
    </xf>
    <xf numFmtId="3" fontId="6" fillId="9" borderId="32" xfId="0" applyNumberFormat="1" applyFont="1" applyFill="1" applyBorder="1" applyAlignment="1">
      <alignment horizontal="center" vertical="top" wrapText="1"/>
    </xf>
    <xf numFmtId="3" fontId="6" fillId="4" borderId="77" xfId="0" applyNumberFormat="1" applyFont="1" applyFill="1" applyBorder="1" applyAlignment="1">
      <alignment horizontal="center" vertical="top" wrapText="1"/>
    </xf>
    <xf numFmtId="0" fontId="6" fillId="4" borderId="32" xfId="0" applyNumberFormat="1" applyFont="1" applyFill="1" applyBorder="1" applyAlignment="1">
      <alignment horizontal="left" vertical="top" wrapText="1"/>
    </xf>
    <xf numFmtId="0" fontId="6" fillId="4" borderId="32" xfId="0" applyNumberFormat="1" applyFont="1" applyFill="1" applyBorder="1" applyAlignment="1">
      <alignment horizontal="center" vertical="top" wrapText="1"/>
    </xf>
    <xf numFmtId="0" fontId="6" fillId="4" borderId="47" xfId="0" applyNumberFormat="1" applyFont="1" applyFill="1" applyBorder="1" applyAlignment="1">
      <alignment horizontal="center" vertical="top" wrapText="1"/>
    </xf>
    <xf numFmtId="0" fontId="6" fillId="4" borderId="77" xfId="0" applyNumberFormat="1" applyFont="1" applyFill="1" applyBorder="1" applyAlignment="1">
      <alignment horizontal="center" vertical="top" wrapText="1"/>
    </xf>
    <xf numFmtId="0" fontId="9" fillId="0" borderId="50" xfId="0" applyFont="1" applyFill="1" applyBorder="1" applyAlignment="1">
      <alignment horizontal="center" vertical="top" wrapText="1"/>
    </xf>
    <xf numFmtId="3" fontId="6" fillId="9" borderId="80" xfId="0" applyNumberFormat="1" applyFont="1" applyFill="1" applyBorder="1" applyAlignment="1">
      <alignment horizontal="center" vertical="top" wrapText="1"/>
    </xf>
    <xf numFmtId="3" fontId="6" fillId="4" borderId="79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3" fontId="6" fillId="9" borderId="56" xfId="0" applyNumberFormat="1" applyFont="1" applyFill="1" applyBorder="1" applyAlignment="1">
      <alignment horizontal="center" vertical="top" wrapText="1"/>
    </xf>
    <xf numFmtId="3" fontId="6" fillId="9" borderId="28" xfId="0" applyNumberFormat="1" applyFont="1" applyFill="1" applyBorder="1" applyAlignment="1">
      <alignment horizontal="center" vertical="top" wrapText="1"/>
    </xf>
    <xf numFmtId="3" fontId="6" fillId="4" borderId="13" xfId="0" applyNumberFormat="1" applyFont="1" applyFill="1" applyBorder="1" applyAlignment="1">
      <alignment horizontal="center" vertical="top" wrapText="1"/>
    </xf>
    <xf numFmtId="3" fontId="6" fillId="4" borderId="76" xfId="0" applyNumberFormat="1" applyFont="1" applyFill="1" applyBorder="1" applyAlignment="1">
      <alignment horizontal="center" vertical="top" wrapText="1"/>
    </xf>
    <xf numFmtId="0" fontId="9" fillId="0" borderId="72" xfId="0" applyFont="1" applyFill="1" applyBorder="1" applyAlignment="1">
      <alignment horizontal="center" vertical="top" wrapText="1"/>
    </xf>
    <xf numFmtId="3" fontId="9" fillId="9" borderId="56" xfId="0" applyNumberFormat="1" applyFont="1" applyFill="1" applyBorder="1" applyAlignment="1">
      <alignment horizontal="center" vertical="top" wrapText="1"/>
    </xf>
    <xf numFmtId="3" fontId="10" fillId="9" borderId="26" xfId="0" applyNumberFormat="1" applyFont="1" applyFill="1" applyBorder="1" applyAlignment="1">
      <alignment horizontal="center" vertical="top" wrapText="1"/>
    </xf>
    <xf numFmtId="3" fontId="10" fillId="9" borderId="79" xfId="0" applyNumberFormat="1" applyFont="1" applyFill="1" applyBorder="1" applyAlignment="1">
      <alignment horizontal="center" vertical="top" wrapText="1"/>
    </xf>
    <xf numFmtId="0" fontId="6" fillId="4" borderId="80" xfId="0" applyNumberFormat="1" applyFont="1" applyFill="1" applyBorder="1" applyAlignment="1">
      <alignment horizontal="center" vertical="top" wrapText="1"/>
    </xf>
    <xf numFmtId="0" fontId="6" fillId="4" borderId="39" xfId="0" applyNumberFormat="1" applyFont="1" applyFill="1" applyBorder="1" applyAlignment="1">
      <alignment horizontal="center" vertical="top" wrapText="1"/>
    </xf>
    <xf numFmtId="0" fontId="6" fillId="4" borderId="79" xfId="0" applyNumberFormat="1" applyFont="1" applyFill="1" applyBorder="1" applyAlignment="1">
      <alignment horizontal="center" vertical="top" wrapText="1"/>
    </xf>
    <xf numFmtId="0" fontId="10" fillId="0" borderId="50" xfId="0" applyFont="1" applyFill="1" applyBorder="1" applyAlignment="1">
      <alignment horizontal="center" vertical="top" wrapText="1"/>
    </xf>
    <xf numFmtId="3" fontId="9" fillId="9" borderId="28" xfId="0" applyNumberFormat="1" applyFont="1" applyFill="1" applyBorder="1" applyAlignment="1">
      <alignment horizontal="center" vertical="top" wrapText="1"/>
    </xf>
    <xf numFmtId="3" fontId="10" fillId="9" borderId="15" xfId="0" applyNumberFormat="1" applyFont="1" applyFill="1" applyBorder="1" applyAlignment="1">
      <alignment horizontal="center" vertical="top" wrapText="1"/>
    </xf>
    <xf numFmtId="3" fontId="10" fillId="9" borderId="21" xfId="0" applyNumberFormat="1" applyFont="1" applyFill="1" applyBorder="1" applyAlignment="1">
      <alignment horizontal="center" vertical="top" wrapText="1"/>
    </xf>
    <xf numFmtId="0" fontId="10" fillId="0" borderId="52" xfId="0" applyFont="1" applyFill="1" applyBorder="1" applyAlignment="1">
      <alignment horizontal="center" vertical="top" wrapText="1"/>
    </xf>
    <xf numFmtId="0" fontId="9" fillId="0" borderId="37" xfId="0" applyNumberFormat="1" applyFont="1" applyBorder="1" applyAlignment="1">
      <alignment horizontal="center" vertical="top"/>
    </xf>
    <xf numFmtId="3" fontId="6" fillId="9" borderId="54" xfId="0" applyNumberFormat="1" applyFont="1" applyFill="1" applyBorder="1" applyAlignment="1">
      <alignment horizontal="center" vertical="top" wrapText="1"/>
    </xf>
    <xf numFmtId="0" fontId="6" fillId="8" borderId="25" xfId="0" applyNumberFormat="1" applyFont="1" applyFill="1" applyBorder="1" applyAlignment="1">
      <alignment vertical="top" wrapText="1"/>
    </xf>
    <xf numFmtId="0" fontId="6" fillId="8" borderId="15" xfId="0" applyNumberFormat="1" applyFont="1" applyFill="1" applyBorder="1" applyAlignment="1">
      <alignment vertical="top" wrapText="1"/>
    </xf>
    <xf numFmtId="3" fontId="10" fillId="9" borderId="13" xfId="0" applyNumberFormat="1" applyFont="1" applyFill="1" applyBorder="1" applyAlignment="1">
      <alignment horizontal="center" vertical="top" wrapText="1"/>
    </xf>
    <xf numFmtId="3" fontId="10" fillId="9" borderId="76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vertical="top"/>
    </xf>
    <xf numFmtId="3" fontId="9" fillId="9" borderId="41" xfId="0" applyNumberFormat="1" applyFont="1" applyFill="1" applyBorder="1" applyAlignment="1">
      <alignment horizontal="center" vertical="top" wrapText="1"/>
    </xf>
    <xf numFmtId="0" fontId="6" fillId="8" borderId="70" xfId="0" applyNumberFormat="1" applyFont="1" applyFill="1" applyBorder="1" applyAlignment="1">
      <alignment vertical="top" wrapText="1"/>
    </xf>
    <xf numFmtId="0" fontId="6" fillId="8" borderId="17" xfId="0" applyNumberFormat="1" applyFont="1" applyFill="1" applyBorder="1" applyAlignment="1">
      <alignment horizontal="center" vertical="top" wrapText="1"/>
    </xf>
    <xf numFmtId="0" fontId="6" fillId="8" borderId="19" xfId="0" applyNumberFormat="1" applyFont="1" applyFill="1" applyBorder="1" applyAlignment="1">
      <alignment vertical="top" wrapText="1"/>
    </xf>
    <xf numFmtId="0" fontId="6" fillId="8" borderId="31" xfId="0" applyNumberFormat="1" applyFont="1" applyFill="1" applyBorder="1" applyAlignment="1">
      <alignment vertical="top" wrapText="1"/>
    </xf>
    <xf numFmtId="0" fontId="9" fillId="0" borderId="35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top" wrapText="1"/>
    </xf>
    <xf numFmtId="3" fontId="6" fillId="9" borderId="8" xfId="0" applyNumberFormat="1" applyFont="1" applyFill="1" applyBorder="1" applyAlignment="1">
      <alignment horizontal="center" vertical="top" wrapText="1"/>
    </xf>
    <xf numFmtId="3" fontId="6" fillId="8" borderId="5" xfId="0" applyNumberFormat="1" applyFont="1" applyFill="1" applyBorder="1" applyAlignment="1">
      <alignment horizontal="center" vertical="top" wrapText="1"/>
    </xf>
    <xf numFmtId="0" fontId="6" fillId="4" borderId="9" xfId="0" applyNumberFormat="1" applyFont="1" applyFill="1" applyBorder="1" applyAlignment="1">
      <alignment vertical="top" wrapText="1"/>
    </xf>
    <xf numFmtId="0" fontId="6" fillId="4" borderId="0" xfId="0" applyNumberFormat="1" applyFont="1" applyFill="1" applyBorder="1" applyAlignment="1">
      <alignment vertical="top" wrapText="1"/>
    </xf>
    <xf numFmtId="0" fontId="6" fillId="4" borderId="12" xfId="0" applyNumberFormat="1" applyFont="1" applyFill="1" applyBorder="1" applyAlignment="1">
      <alignment vertical="top" wrapText="1"/>
    </xf>
    <xf numFmtId="0" fontId="6" fillId="4" borderId="21" xfId="0" applyNumberFormat="1" applyFont="1" applyFill="1" applyBorder="1" applyAlignment="1">
      <alignment vertical="top" wrapText="1"/>
    </xf>
    <xf numFmtId="3" fontId="6" fillId="8" borderId="13" xfId="0" applyNumberFormat="1" applyFont="1" applyFill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vertical="top" wrapText="1"/>
    </xf>
    <xf numFmtId="0" fontId="6" fillId="4" borderId="57" xfId="0" applyNumberFormat="1" applyFont="1" applyFill="1" applyBorder="1" applyAlignment="1">
      <alignment horizontal="center" wrapText="1"/>
    </xf>
    <xf numFmtId="0" fontId="9" fillId="0" borderId="50" xfId="0" applyFont="1" applyFill="1" applyBorder="1" applyAlignment="1">
      <alignment horizontal="center" vertical="center" wrapText="1"/>
    </xf>
    <xf numFmtId="3" fontId="6" fillId="9" borderId="60" xfId="0" applyNumberFormat="1" applyFont="1" applyFill="1" applyBorder="1" applyAlignment="1">
      <alignment horizontal="center" vertical="top" wrapText="1"/>
    </xf>
    <xf numFmtId="0" fontId="6" fillId="4" borderId="15" xfId="0" applyNumberFormat="1" applyFont="1" applyFill="1" applyBorder="1" applyAlignment="1">
      <alignment vertical="top" wrapText="1"/>
    </xf>
    <xf numFmtId="0" fontId="6" fillId="4" borderId="50" xfId="0" applyNumberFormat="1" applyFont="1" applyFill="1" applyBorder="1" applyAlignment="1">
      <alignment vertical="top" wrapText="1"/>
    </xf>
    <xf numFmtId="0" fontId="9" fillId="9" borderId="76" xfId="0" applyFont="1" applyFill="1" applyBorder="1" applyAlignment="1">
      <alignment horizontal="center" vertical="top" wrapText="1"/>
    </xf>
    <xf numFmtId="3" fontId="9" fillId="9" borderId="69" xfId="0" applyNumberFormat="1" applyFont="1" applyFill="1" applyBorder="1" applyAlignment="1">
      <alignment horizontal="center" vertical="top" wrapText="1"/>
    </xf>
    <xf numFmtId="0" fontId="6" fillId="4" borderId="26" xfId="0" applyNumberFormat="1" applyFont="1" applyFill="1" applyBorder="1" applyAlignment="1">
      <alignment vertical="top" wrapText="1"/>
    </xf>
    <xf numFmtId="0" fontId="6" fillId="0" borderId="78" xfId="0" applyFont="1" applyBorder="1" applyAlignment="1">
      <alignment vertical="top"/>
    </xf>
    <xf numFmtId="0" fontId="6" fillId="0" borderId="79" xfId="0" applyFont="1" applyBorder="1" applyAlignment="1">
      <alignment vertical="top"/>
    </xf>
    <xf numFmtId="3" fontId="6" fillId="4" borderId="25" xfId="0" applyNumberFormat="1" applyFont="1" applyFill="1" applyBorder="1" applyAlignment="1">
      <alignment horizontal="center" vertical="top" wrapText="1"/>
    </xf>
    <xf numFmtId="3" fontId="6" fillId="4" borderId="37" xfId="0" applyNumberFormat="1" applyFont="1" applyFill="1" applyBorder="1" applyAlignment="1">
      <alignment horizontal="center" vertical="top" wrapText="1"/>
    </xf>
    <xf numFmtId="0" fontId="9" fillId="0" borderId="50" xfId="0" applyFont="1" applyFill="1" applyBorder="1" applyAlignment="1">
      <alignment vertical="center" wrapText="1"/>
    </xf>
    <xf numFmtId="0" fontId="6" fillId="4" borderId="60" xfId="0" applyNumberFormat="1" applyFont="1" applyFill="1" applyBorder="1" applyAlignment="1">
      <alignment horizontal="center" vertical="top" wrapText="1"/>
    </xf>
    <xf numFmtId="0" fontId="9" fillId="0" borderId="72" xfId="0" applyFont="1" applyFill="1" applyBorder="1" applyAlignment="1">
      <alignment vertical="center" wrapText="1"/>
    </xf>
    <xf numFmtId="0" fontId="9" fillId="0" borderId="36" xfId="0" applyNumberFormat="1" applyFont="1" applyBorder="1" applyAlignment="1">
      <alignment vertical="center"/>
    </xf>
    <xf numFmtId="49" fontId="10" fillId="0" borderId="57" xfId="0" applyNumberFormat="1" applyFont="1" applyBorder="1" applyAlignment="1">
      <alignment vertical="center" textRotation="90"/>
    </xf>
    <xf numFmtId="49" fontId="9" fillId="8" borderId="55" xfId="0" applyNumberFormat="1" applyFont="1" applyFill="1" applyBorder="1" applyAlignment="1">
      <alignment horizontal="center" vertical="top"/>
    </xf>
    <xf numFmtId="0" fontId="6" fillId="0" borderId="76" xfId="0" applyFont="1" applyFill="1" applyBorder="1" applyAlignment="1">
      <alignment horizontal="center" vertical="top"/>
    </xf>
    <xf numFmtId="3" fontId="6" fillId="9" borderId="69" xfId="0" applyNumberFormat="1" applyFont="1" applyFill="1" applyBorder="1" applyAlignment="1">
      <alignment horizontal="center" vertical="top"/>
    </xf>
    <xf numFmtId="0" fontId="6" fillId="0" borderId="64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center" vertical="top"/>
    </xf>
    <xf numFmtId="0" fontId="6" fillId="4" borderId="21" xfId="0" applyFont="1" applyFill="1" applyBorder="1" applyAlignment="1">
      <alignment horizontal="center" vertical="top" wrapText="1"/>
    </xf>
    <xf numFmtId="3" fontId="6" fillId="9" borderId="0" xfId="0" applyNumberFormat="1" applyFont="1" applyFill="1" applyBorder="1" applyAlignment="1">
      <alignment horizontal="center" vertical="top" wrapText="1"/>
    </xf>
    <xf numFmtId="3" fontId="6" fillId="8" borderId="21" xfId="0" applyNumberFormat="1" applyFont="1" applyFill="1" applyBorder="1" applyAlignment="1">
      <alignment horizontal="center" vertical="top" wrapText="1"/>
    </xf>
    <xf numFmtId="0" fontId="6" fillId="8" borderId="13" xfId="0" applyNumberFormat="1" applyFont="1" applyFill="1" applyBorder="1" applyAlignment="1">
      <alignment vertical="top" wrapText="1"/>
    </xf>
    <xf numFmtId="0" fontId="6" fillId="8" borderId="69" xfId="0" applyFont="1" applyFill="1" applyBorder="1" applyAlignment="1">
      <alignment vertical="top"/>
    </xf>
    <xf numFmtId="0" fontId="6" fillId="8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3" fontId="1" fillId="4" borderId="13" xfId="0" applyNumberFormat="1" applyFont="1" applyFill="1" applyBorder="1" applyAlignment="1">
      <alignment horizontal="center" vertical="top" wrapText="1"/>
    </xf>
    <xf numFmtId="3" fontId="1" fillId="4" borderId="76" xfId="0" applyNumberFormat="1" applyFont="1" applyFill="1" applyBorder="1" applyAlignment="1">
      <alignment horizontal="center" vertical="top" wrapText="1"/>
    </xf>
    <xf numFmtId="0" fontId="9" fillId="9" borderId="25" xfId="0" applyFont="1" applyFill="1" applyBorder="1" applyAlignment="1">
      <alignment horizontal="center" vertical="top" wrapText="1"/>
    </xf>
    <xf numFmtId="3" fontId="9" fillId="9" borderId="54" xfId="0" applyNumberFormat="1" applyFont="1" applyFill="1" applyBorder="1" applyAlignment="1">
      <alignment horizontal="center" vertical="top"/>
    </xf>
    <xf numFmtId="49" fontId="9" fillId="4" borderId="31" xfId="0" applyNumberFormat="1" applyFont="1" applyFill="1" applyBorder="1" applyAlignment="1">
      <alignment vertical="top"/>
    </xf>
    <xf numFmtId="3" fontId="9" fillId="9" borderId="40" xfId="0" applyNumberFormat="1" applyFont="1" applyFill="1" applyBorder="1" applyAlignment="1">
      <alignment horizontal="center" vertical="top"/>
    </xf>
    <xf numFmtId="3" fontId="10" fillId="3" borderId="20" xfId="0" applyNumberFormat="1" applyFont="1" applyFill="1" applyBorder="1" applyAlignment="1">
      <alignment horizontal="center" vertical="top"/>
    </xf>
    <xf numFmtId="3" fontId="9" fillId="3" borderId="68" xfId="0" applyNumberFormat="1" applyFont="1" applyFill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49" fontId="10" fillId="0" borderId="65" xfId="0" applyNumberFormat="1" applyFont="1" applyBorder="1" applyAlignment="1">
      <alignment vertical="center" textRotation="90"/>
    </xf>
    <xf numFmtId="49" fontId="10" fillId="0" borderId="35" xfId="0" applyNumberFormat="1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49" fontId="10" fillId="0" borderId="55" xfId="0" applyNumberFormat="1" applyFont="1" applyBorder="1" applyAlignment="1">
      <alignment horizontal="center" vertical="top" wrapText="1"/>
    </xf>
    <xf numFmtId="3" fontId="6" fillId="4" borderId="56" xfId="0" applyNumberFormat="1" applyFont="1" applyFill="1" applyBorder="1" applyAlignment="1">
      <alignment horizontal="center" vertical="top" wrapText="1"/>
    </xf>
    <xf numFmtId="0" fontId="6" fillId="0" borderId="54" xfId="0" applyNumberFormat="1" applyFont="1" applyBorder="1" applyAlignment="1">
      <alignment horizontal="center" vertical="top" wrapText="1"/>
    </xf>
    <xf numFmtId="0" fontId="6" fillId="0" borderId="43" xfId="0" applyNumberFormat="1" applyFont="1" applyBorder="1" applyAlignment="1">
      <alignment horizontal="center" vertical="top" wrapText="1"/>
    </xf>
    <xf numFmtId="0" fontId="6" fillId="0" borderId="37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vertical="top" wrapText="1"/>
    </xf>
    <xf numFmtId="49" fontId="10" fillId="0" borderId="50" xfId="0" applyNumberFormat="1" applyFont="1" applyBorder="1" applyAlignment="1">
      <alignment vertical="center" textRotation="90"/>
    </xf>
    <xf numFmtId="49" fontId="10" fillId="0" borderId="34" xfId="0" applyNumberFormat="1" applyFont="1" applyBorder="1" applyAlignment="1">
      <alignment vertical="top" wrapText="1"/>
    </xf>
    <xf numFmtId="0" fontId="6" fillId="0" borderId="28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21" xfId="0" applyNumberFormat="1" applyFont="1" applyBorder="1" applyAlignment="1">
      <alignment horizontal="center" vertical="top" wrapText="1"/>
    </xf>
    <xf numFmtId="0" fontId="10" fillId="9" borderId="25" xfId="0" applyFont="1" applyFill="1" applyBorder="1" applyAlignment="1">
      <alignment horizontal="center" vertical="top" wrapText="1"/>
    </xf>
    <xf numFmtId="3" fontId="10" fillId="9" borderId="54" xfId="0" applyNumberFormat="1" applyFont="1" applyFill="1" applyBorder="1" applyAlignment="1">
      <alignment horizontal="center" vertical="top" wrapText="1"/>
    </xf>
    <xf numFmtId="0" fontId="10" fillId="0" borderId="28" xfId="0" applyNumberFormat="1" applyFont="1" applyFill="1" applyBorder="1" applyAlignment="1">
      <alignment horizontal="center" vertical="top"/>
    </xf>
    <xf numFmtId="0" fontId="10" fillId="0" borderId="12" xfId="0" applyNumberFormat="1" applyFont="1" applyFill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49" fontId="10" fillId="0" borderId="64" xfId="0" applyNumberFormat="1" applyFont="1" applyBorder="1" applyAlignment="1">
      <alignment horizontal="center" vertical="center"/>
    </xf>
    <xf numFmtId="3" fontId="6" fillId="4" borderId="54" xfId="0" applyNumberFormat="1" applyFont="1" applyFill="1" applyBorder="1" applyAlignment="1">
      <alignment horizontal="center" vertical="top" wrapText="1"/>
    </xf>
    <xf numFmtId="1" fontId="6" fillId="0" borderId="80" xfId="0" applyNumberFormat="1" applyFont="1" applyFill="1" applyBorder="1" applyAlignment="1">
      <alignment horizontal="center" vertical="top"/>
    </xf>
    <xf numFmtId="1" fontId="6" fillId="0" borderId="79" xfId="0" applyNumberFormat="1" applyFont="1" applyFill="1" applyBorder="1" applyAlignment="1">
      <alignment horizontal="center" vertical="top"/>
    </xf>
    <xf numFmtId="3" fontId="9" fillId="9" borderId="25" xfId="0" applyNumberFormat="1" applyFont="1" applyFill="1" applyBorder="1" applyAlignment="1">
      <alignment horizontal="center" vertical="top" wrapText="1"/>
    </xf>
    <xf numFmtId="0" fontId="6" fillId="0" borderId="80" xfId="0" applyNumberFormat="1" applyFont="1" applyBorder="1" applyAlignment="1">
      <alignment horizontal="center" vertical="top" wrapText="1"/>
    </xf>
    <xf numFmtId="0" fontId="6" fillId="0" borderId="39" xfId="0" applyNumberFormat="1" applyFont="1" applyBorder="1" applyAlignment="1">
      <alignment horizontal="center" vertical="top" wrapText="1"/>
    </xf>
    <xf numFmtId="0" fontId="6" fillId="0" borderId="79" xfId="0" applyNumberFormat="1" applyFont="1" applyBorder="1" applyAlignment="1">
      <alignment horizontal="center" vertical="top" wrapText="1"/>
    </xf>
    <xf numFmtId="0" fontId="6" fillId="4" borderId="25" xfId="0" applyNumberFormat="1" applyFont="1" applyFill="1" applyBorder="1" applyAlignment="1">
      <alignment horizontal="left" vertical="top" wrapText="1"/>
    </xf>
    <xf numFmtId="49" fontId="10" fillId="0" borderId="72" xfId="0" applyNumberFormat="1" applyFont="1" applyBorder="1" applyAlignment="1">
      <alignment vertical="center" textRotation="90"/>
    </xf>
    <xf numFmtId="49" fontId="10" fillId="0" borderId="36" xfId="0" applyNumberFormat="1" applyFont="1" applyBorder="1" applyAlignment="1">
      <alignment vertical="top" wrapText="1"/>
    </xf>
    <xf numFmtId="3" fontId="10" fillId="9" borderId="41" xfId="0" applyNumberFormat="1" applyFont="1" applyFill="1" applyBorder="1" applyAlignment="1">
      <alignment horizontal="center" vertical="top" wrapText="1"/>
    </xf>
    <xf numFmtId="0" fontId="10" fillId="8" borderId="68" xfId="0" applyNumberFormat="1" applyFont="1" applyFill="1" applyBorder="1" applyAlignment="1">
      <alignment horizontal="center" vertical="top"/>
    </xf>
    <xf numFmtId="0" fontId="10" fillId="8" borderId="19" xfId="0" applyNumberFormat="1" applyFont="1" applyFill="1" applyBorder="1" applyAlignment="1">
      <alignment horizontal="center" vertical="top"/>
    </xf>
    <xf numFmtId="0" fontId="10" fillId="8" borderId="44" xfId="0" applyNumberFormat="1" applyFont="1" applyFill="1" applyBorder="1" applyAlignment="1">
      <alignment horizontal="center" vertical="top"/>
    </xf>
    <xf numFmtId="49" fontId="10" fillId="0" borderId="34" xfId="0" applyNumberFormat="1" applyFont="1" applyBorder="1" applyAlignment="1">
      <alignment horizontal="center" vertical="top"/>
    </xf>
    <xf numFmtId="1" fontId="6" fillId="0" borderId="10" xfId="0" applyNumberFormat="1" applyFont="1" applyFill="1" applyBorder="1" applyAlignment="1">
      <alignment horizontal="center" vertical="top"/>
    </xf>
    <xf numFmtId="49" fontId="10" fillId="2" borderId="38" xfId="0" applyNumberFormat="1" applyFont="1" applyFill="1" applyBorder="1" applyAlignment="1">
      <alignment vertical="top"/>
    </xf>
    <xf numFmtId="0" fontId="6" fillId="0" borderId="78" xfId="0" applyFont="1" applyFill="1" applyBorder="1" applyAlignment="1">
      <alignment vertical="top" wrapText="1"/>
    </xf>
    <xf numFmtId="1" fontId="6" fillId="0" borderId="38" xfId="0" applyNumberFormat="1" applyFont="1" applyFill="1" applyBorder="1" applyAlignment="1">
      <alignment horizontal="center" vertical="top"/>
    </xf>
    <xf numFmtId="3" fontId="6" fillId="9" borderId="54" xfId="0" applyNumberFormat="1" applyFont="1" applyFill="1" applyBorder="1" applyAlignment="1">
      <alignment horizontal="center" vertical="top"/>
    </xf>
    <xf numFmtId="3" fontId="6" fillId="0" borderId="25" xfId="0" applyNumberFormat="1" applyFont="1" applyFill="1" applyBorder="1" applyAlignment="1">
      <alignment horizontal="center" vertical="top"/>
    </xf>
    <xf numFmtId="1" fontId="6" fillId="0" borderId="10" xfId="0" applyNumberFormat="1" applyFont="1" applyFill="1" applyBorder="1" applyAlignment="1">
      <alignment vertical="top"/>
    </xf>
    <xf numFmtId="49" fontId="10" fillId="2" borderId="80" xfId="0" applyNumberFormat="1" applyFont="1" applyFill="1" applyBorder="1" applyAlignment="1">
      <alignment horizontal="center" vertical="top"/>
    </xf>
    <xf numFmtId="0" fontId="10" fillId="0" borderId="80" xfId="0" applyFont="1" applyBorder="1" applyAlignment="1">
      <alignment horizontal="center" vertical="center" textRotation="90"/>
    </xf>
    <xf numFmtId="0" fontId="10" fillId="9" borderId="13" xfId="0" applyFont="1" applyFill="1" applyBorder="1" applyAlignment="1">
      <alignment horizontal="center" vertical="top"/>
    </xf>
    <xf numFmtId="3" fontId="10" fillId="9" borderId="56" xfId="0" applyNumberFormat="1" applyFont="1" applyFill="1" applyBorder="1" applyAlignment="1">
      <alignment horizontal="center" vertical="top"/>
    </xf>
    <xf numFmtId="3" fontId="10" fillId="9" borderId="13" xfId="0" applyNumberFormat="1" applyFont="1" applyFill="1" applyBorder="1" applyAlignment="1">
      <alignment horizontal="center" vertical="top"/>
    </xf>
    <xf numFmtId="3" fontId="10" fillId="9" borderId="64" xfId="0" applyNumberFormat="1" applyFont="1" applyFill="1" applyBorder="1" applyAlignment="1">
      <alignment horizontal="center" vertical="top"/>
    </xf>
    <xf numFmtId="1" fontId="6" fillId="0" borderId="38" xfId="0" applyNumberFormat="1" applyFont="1" applyFill="1" applyBorder="1" applyAlignment="1">
      <alignment vertical="top"/>
    </xf>
    <xf numFmtId="1" fontId="6" fillId="0" borderId="39" xfId="0" applyNumberFormat="1" applyFont="1" applyFill="1" applyBorder="1" applyAlignment="1">
      <alignment vertical="top"/>
    </xf>
    <xf numFmtId="1" fontId="6" fillId="0" borderId="36" xfId="0" applyNumberFormat="1" applyFont="1" applyFill="1" applyBorder="1" applyAlignment="1">
      <alignment vertical="top"/>
    </xf>
    <xf numFmtId="0" fontId="9" fillId="0" borderId="15" xfId="0" applyFont="1" applyBorder="1" applyAlignment="1">
      <alignment vertical="top" wrapText="1"/>
    </xf>
    <xf numFmtId="1" fontId="6" fillId="8" borderId="10" xfId="0" applyNumberFormat="1" applyFont="1" applyFill="1" applyBorder="1" applyAlignment="1">
      <alignment horizontal="center" vertical="top"/>
    </xf>
    <xf numFmtId="1" fontId="6" fillId="8" borderId="12" xfId="0" applyNumberFormat="1" applyFont="1" applyFill="1" applyBorder="1" applyAlignment="1">
      <alignment horizontal="center" vertical="top"/>
    </xf>
    <xf numFmtId="1" fontId="6" fillId="8" borderId="34" xfId="0" applyNumberFormat="1" applyFont="1" applyFill="1" applyBorder="1" applyAlignment="1">
      <alignment horizontal="center" vertical="top"/>
    </xf>
    <xf numFmtId="1" fontId="6" fillId="0" borderId="17" xfId="0" applyNumberFormat="1" applyFont="1" applyFill="1" applyBorder="1" applyAlignment="1">
      <alignment vertical="top"/>
    </xf>
    <xf numFmtId="1" fontId="6" fillId="0" borderId="19" xfId="0" applyNumberFormat="1" applyFont="1" applyFill="1" applyBorder="1" applyAlignment="1">
      <alignment vertical="top"/>
    </xf>
    <xf numFmtId="1" fontId="6" fillId="0" borderId="31" xfId="0" applyNumberFormat="1" applyFont="1" applyFill="1" applyBorder="1" applyAlignment="1">
      <alignment vertical="top"/>
    </xf>
    <xf numFmtId="3" fontId="9" fillId="3" borderId="3" xfId="0" applyNumberFormat="1" applyFont="1" applyFill="1" applyBorder="1" applyAlignment="1">
      <alignment horizontal="center" vertical="top"/>
    </xf>
    <xf numFmtId="3" fontId="10" fillId="2" borderId="70" xfId="0" applyNumberFormat="1" applyFont="1" applyFill="1" applyBorder="1" applyAlignment="1">
      <alignment horizontal="center" vertical="top"/>
    </xf>
    <xf numFmtId="3" fontId="10" fillId="2" borderId="3" xfId="0" applyNumberFormat="1" applyFont="1" applyFill="1" applyBorder="1" applyAlignment="1">
      <alignment horizontal="center" vertical="top"/>
    </xf>
    <xf numFmtId="3" fontId="10" fillId="5" borderId="70" xfId="0" applyNumberFormat="1" applyFont="1" applyFill="1" applyBorder="1" applyAlignment="1">
      <alignment horizontal="center" vertical="center"/>
    </xf>
    <xf numFmtId="3" fontId="10" fillId="5" borderId="17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top"/>
    </xf>
    <xf numFmtId="0" fontId="10" fillId="4" borderId="0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73" xfId="0" applyNumberFormat="1" applyFont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top" wrapText="1"/>
    </xf>
    <xf numFmtId="3" fontId="10" fillId="5" borderId="23" xfId="0" applyNumberFormat="1" applyFont="1" applyFill="1" applyBorder="1" applyAlignment="1">
      <alignment horizontal="center" vertical="top" wrapText="1"/>
    </xf>
    <xf numFmtId="3" fontId="9" fillId="5" borderId="73" xfId="0" applyNumberFormat="1" applyFont="1" applyFill="1" applyBorder="1" applyAlignment="1">
      <alignment horizontal="center" vertical="top" wrapText="1"/>
    </xf>
    <xf numFmtId="164" fontId="9" fillId="4" borderId="0" xfId="0" applyNumberFormat="1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 wrapText="1"/>
    </xf>
    <xf numFmtId="3" fontId="1" fillId="0" borderId="9" xfId="0" applyNumberFormat="1" applyFont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3" fontId="6" fillId="0" borderId="69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5" xfId="0" applyNumberFormat="1" applyFont="1" applyFill="1" applyBorder="1" applyAlignment="1">
      <alignment horizontal="center" vertical="top" wrapText="1"/>
    </xf>
    <xf numFmtId="3" fontId="6" fillId="0" borderId="41" xfId="0" applyNumberFormat="1" applyFont="1" applyFill="1" applyBorder="1" applyAlignment="1">
      <alignment horizontal="center" vertical="top" wrapText="1"/>
    </xf>
    <xf numFmtId="3" fontId="1" fillId="0" borderId="62" xfId="0" applyNumberFormat="1" applyFont="1" applyFill="1" applyBorder="1" applyAlignment="1">
      <alignment horizontal="center" vertical="top" wrapText="1"/>
    </xf>
    <xf numFmtId="3" fontId="6" fillId="4" borderId="0" xfId="0" applyNumberFormat="1" applyFont="1" applyFill="1" applyBorder="1" applyAlignment="1">
      <alignment horizontal="center" vertical="top" wrapText="1"/>
    </xf>
    <xf numFmtId="3" fontId="1" fillId="0" borderId="15" xfId="0" applyNumberFormat="1" applyFont="1" applyBorder="1" applyAlignment="1">
      <alignment horizontal="center" vertical="top" wrapText="1"/>
    </xf>
    <xf numFmtId="3" fontId="1" fillId="0" borderId="76" xfId="0" applyNumberFormat="1" applyFont="1" applyBorder="1" applyAlignment="1">
      <alignment horizontal="center" vertical="top" wrapText="1"/>
    </xf>
    <xf numFmtId="164" fontId="1" fillId="4" borderId="0" xfId="0" applyNumberFormat="1" applyFont="1" applyFill="1" applyBorder="1" applyAlignment="1">
      <alignment horizontal="center" vertical="top"/>
    </xf>
    <xf numFmtId="3" fontId="10" fillId="9" borderId="23" xfId="0" applyNumberFormat="1" applyFont="1" applyFill="1" applyBorder="1" applyAlignment="1">
      <alignment horizontal="center" vertical="top" wrapText="1"/>
    </xf>
    <xf numFmtId="3" fontId="9" fillId="9" borderId="73" xfId="0" applyNumberFormat="1" applyFont="1" applyFill="1" applyBorder="1" applyAlignment="1">
      <alignment horizontal="center" vertical="top" wrapText="1"/>
    </xf>
    <xf numFmtId="164" fontId="9" fillId="4" borderId="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1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6" fillId="8" borderId="0" xfId="0" applyNumberFormat="1" applyFont="1" applyFill="1" applyBorder="1" applyAlignment="1">
      <alignment horizontal="center" vertical="top" wrapText="1"/>
    </xf>
    <xf numFmtId="0" fontId="6" fillId="8" borderId="12" xfId="0" applyNumberFormat="1" applyFont="1" applyFill="1" applyBorder="1" applyAlignment="1">
      <alignment horizontal="center" vertical="top" wrapText="1"/>
    </xf>
    <xf numFmtId="0" fontId="6" fillId="8" borderId="13" xfId="0" applyFont="1" applyFill="1" applyBorder="1" applyAlignment="1">
      <alignment horizontal="left" vertical="top" wrapText="1"/>
    </xf>
    <xf numFmtId="0" fontId="6" fillId="4" borderId="13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49" fontId="9" fillId="0" borderId="36" xfId="0" applyNumberFormat="1" applyFont="1" applyBorder="1" applyAlignment="1">
      <alignment horizontal="center" vertical="top"/>
    </xf>
    <xf numFmtId="49" fontId="10" fillId="3" borderId="39" xfId="0" applyNumberFormat="1" applyFont="1" applyFill="1" applyBorder="1" applyAlignment="1">
      <alignment vertical="top"/>
    </xf>
    <xf numFmtId="49" fontId="10" fillId="0" borderId="36" xfId="0" applyNumberFormat="1" applyFont="1" applyBorder="1" applyAlignment="1">
      <alignment vertical="top"/>
    </xf>
    <xf numFmtId="3" fontId="9" fillId="9" borderId="13" xfId="0" applyNumberFormat="1" applyFont="1" applyFill="1" applyBorder="1" applyAlignment="1">
      <alignment horizontal="center" vertical="top" wrapText="1"/>
    </xf>
    <xf numFmtId="49" fontId="10" fillId="2" borderId="10" xfId="0" applyNumberFormat="1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49" fontId="10" fillId="2" borderId="52" xfId="0" applyNumberFormat="1" applyFont="1" applyFill="1" applyBorder="1" applyAlignment="1">
      <alignment horizontal="center" vertical="top"/>
    </xf>
    <xf numFmtId="49" fontId="10" fillId="3" borderId="43" xfId="0" applyNumberFormat="1" applyFont="1" applyFill="1" applyBorder="1" applyAlignment="1">
      <alignment horizontal="center" vertical="top"/>
    </xf>
    <xf numFmtId="49" fontId="9" fillId="0" borderId="53" xfId="0" applyNumberFormat="1" applyFont="1" applyBorder="1" applyAlignment="1">
      <alignment horizontal="center" vertical="top"/>
    </xf>
    <xf numFmtId="0" fontId="9" fillId="0" borderId="60" xfId="0" applyFont="1" applyFill="1" applyBorder="1" applyAlignment="1">
      <alignment horizontal="center" vertical="top" wrapText="1"/>
    </xf>
    <xf numFmtId="0" fontId="9" fillId="0" borderId="55" xfId="0" applyNumberFormat="1" applyFont="1" applyBorder="1" applyAlignment="1">
      <alignment horizontal="center" vertical="top"/>
    </xf>
    <xf numFmtId="49" fontId="9" fillId="0" borderId="18" xfId="0" applyNumberFormat="1" applyFont="1" applyBorder="1" applyAlignment="1">
      <alignment horizontal="center" vertical="top"/>
    </xf>
    <xf numFmtId="0" fontId="9" fillId="0" borderId="20" xfId="0" applyFont="1" applyFill="1" applyBorder="1" applyAlignment="1">
      <alignment horizontal="center" vertical="top" wrapText="1"/>
    </xf>
    <xf numFmtId="0" fontId="9" fillId="9" borderId="40" xfId="0" applyFont="1" applyFill="1" applyBorder="1" applyAlignment="1">
      <alignment horizontal="center" vertical="top"/>
    </xf>
    <xf numFmtId="49" fontId="6" fillId="8" borderId="17" xfId="0" applyNumberFormat="1" applyFont="1" applyFill="1" applyBorder="1" applyAlignment="1">
      <alignment vertical="top"/>
    </xf>
    <xf numFmtId="1" fontId="6" fillId="8" borderId="19" xfId="0" applyNumberFormat="1" applyFont="1" applyFill="1" applyBorder="1" applyAlignment="1">
      <alignment vertical="top"/>
    </xf>
    <xf numFmtId="1" fontId="6" fillId="8" borderId="31" xfId="0" applyNumberFormat="1" applyFont="1" applyFill="1" applyBorder="1" applyAlignment="1">
      <alignment vertical="top"/>
    </xf>
    <xf numFmtId="0" fontId="1" fillId="8" borderId="26" xfId="0" applyFont="1" applyFill="1" applyBorder="1" applyAlignment="1">
      <alignment horizontal="left" vertical="top" wrapText="1"/>
    </xf>
    <xf numFmtId="164" fontId="6" fillId="0" borderId="80" xfId="0" applyNumberFormat="1" applyFont="1" applyFill="1" applyBorder="1" applyAlignment="1">
      <alignment horizontal="left" vertical="top" wrapText="1"/>
    </xf>
    <xf numFmtId="3" fontId="8" fillId="4" borderId="0" xfId="0" applyNumberFormat="1" applyFont="1" applyFill="1" applyBorder="1" applyAlignment="1">
      <alignment horizontal="center" vertical="top" wrapText="1"/>
    </xf>
    <xf numFmtId="3" fontId="13" fillId="4" borderId="0" xfId="0" applyNumberFormat="1" applyFont="1" applyFill="1" applyBorder="1" applyAlignment="1">
      <alignment horizontal="center" vertical="top" wrapText="1"/>
    </xf>
    <xf numFmtId="3" fontId="8" fillId="4" borderId="0" xfId="0" applyNumberFormat="1" applyFont="1" applyFill="1" applyBorder="1" applyAlignment="1">
      <alignment horizontal="center" vertical="top"/>
    </xf>
    <xf numFmtId="0" fontId="10" fillId="5" borderId="3" xfId="0" applyFont="1" applyFill="1" applyBorder="1" applyAlignment="1">
      <alignment horizontal="left" vertical="top" wrapText="1"/>
    </xf>
    <xf numFmtId="0" fontId="10" fillId="5" borderId="4" xfId="0" applyFont="1" applyFill="1" applyBorder="1" applyAlignment="1">
      <alignment horizontal="left" vertical="top" wrapText="1"/>
    </xf>
    <xf numFmtId="0" fontId="10" fillId="5" borderId="3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4" borderId="0" xfId="0" applyNumberFormat="1" applyFont="1" applyFill="1" applyBorder="1" applyAlignment="1">
      <alignment horizontal="lef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1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165" fontId="13" fillId="4" borderId="0" xfId="0" applyNumberFormat="1" applyFont="1" applyFill="1" applyBorder="1" applyAlignment="1">
      <alignment horizontal="center" vertical="center" wrapText="1"/>
    </xf>
    <xf numFmtId="49" fontId="10" fillId="2" borderId="20" xfId="0" applyNumberFormat="1" applyFont="1" applyFill="1" applyBorder="1" applyAlignment="1">
      <alignment horizontal="right" vertical="top"/>
    </xf>
    <xf numFmtId="164" fontId="6" fillId="2" borderId="27" xfId="0" applyNumberFormat="1" applyFont="1" applyFill="1" applyBorder="1" applyAlignment="1">
      <alignment horizontal="center" vertical="top"/>
    </xf>
    <xf numFmtId="164" fontId="6" fillId="2" borderId="23" xfId="0" applyNumberFormat="1" applyFont="1" applyFill="1" applyBorder="1" applyAlignment="1">
      <alignment horizontal="center" vertical="top"/>
    </xf>
    <xf numFmtId="164" fontId="6" fillId="2" borderId="75" xfId="0" applyNumberFormat="1" applyFont="1" applyFill="1" applyBorder="1" applyAlignment="1">
      <alignment horizontal="center" vertical="top"/>
    </xf>
    <xf numFmtId="2" fontId="10" fillId="5" borderId="29" xfId="0" applyNumberFormat="1" applyFont="1" applyFill="1" applyBorder="1" applyAlignment="1">
      <alignment horizontal="right" vertical="center"/>
    </xf>
    <xf numFmtId="2" fontId="10" fillId="5" borderId="23" xfId="0" applyNumberFormat="1" applyFont="1" applyFill="1" applyBorder="1" applyAlignment="1">
      <alignment horizontal="right" vertical="center"/>
    </xf>
    <xf numFmtId="164" fontId="11" fillId="5" borderId="27" xfId="0" applyNumberFormat="1" applyFont="1" applyFill="1" applyBorder="1" applyAlignment="1">
      <alignment horizontal="center" vertical="center" wrapText="1"/>
    </xf>
    <xf numFmtId="164" fontId="11" fillId="5" borderId="23" xfId="0" applyNumberFormat="1" applyFont="1" applyFill="1" applyBorder="1" applyAlignment="1">
      <alignment horizontal="center" vertical="center" wrapText="1"/>
    </xf>
    <xf numFmtId="164" fontId="11" fillId="5" borderId="75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top" wrapText="1"/>
    </xf>
    <xf numFmtId="49" fontId="6" fillId="0" borderId="19" xfId="0" applyNumberFormat="1" applyFont="1" applyBorder="1" applyAlignment="1">
      <alignment horizontal="center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70" xfId="0" applyFont="1" applyBorder="1" applyAlignment="1">
      <alignment horizontal="left" vertical="top" wrapText="1"/>
    </xf>
    <xf numFmtId="49" fontId="10" fillId="3" borderId="23" xfId="0" applyNumberFormat="1" applyFont="1" applyFill="1" applyBorder="1" applyAlignment="1">
      <alignment horizontal="right" vertical="top"/>
    </xf>
    <xf numFmtId="164" fontId="8" fillId="3" borderId="27" xfId="0" applyNumberFormat="1" applyFont="1" applyFill="1" applyBorder="1" applyAlignment="1">
      <alignment horizontal="center" vertical="top"/>
    </xf>
    <xf numFmtId="164" fontId="8" fillId="3" borderId="23" xfId="0" applyNumberFormat="1" applyFont="1" applyFill="1" applyBorder="1" applyAlignment="1">
      <alignment horizontal="center" vertical="top"/>
    </xf>
    <xf numFmtId="164" fontId="8" fillId="3" borderId="75" xfId="0" applyNumberFormat="1" applyFont="1" applyFill="1" applyBorder="1" applyAlignment="1">
      <alignment horizontal="center" vertical="top"/>
    </xf>
    <xf numFmtId="49" fontId="10" fillId="4" borderId="12" xfId="0" applyNumberFormat="1" applyFont="1" applyFill="1" applyBorder="1" applyAlignment="1">
      <alignment horizontal="center" vertical="top"/>
    </xf>
    <xf numFmtId="0" fontId="6" fillId="0" borderId="15" xfId="0" applyFont="1" applyFill="1" applyBorder="1" applyAlignment="1">
      <alignment horizontal="left" vertical="top" wrapText="1"/>
    </xf>
    <xf numFmtId="0" fontId="6" fillId="0" borderId="70" xfId="0" applyFont="1" applyFill="1" applyBorder="1" applyAlignment="1">
      <alignment horizontal="left" vertical="top" wrapText="1"/>
    </xf>
    <xf numFmtId="49" fontId="10" fillId="0" borderId="21" xfId="0" applyNumberFormat="1" applyFont="1" applyBorder="1" applyAlignment="1">
      <alignment horizontal="center" vertical="top"/>
    </xf>
    <xf numFmtId="49" fontId="10" fillId="0" borderId="44" xfId="0" applyNumberFormat="1" applyFont="1" applyBorder="1" applyAlignment="1">
      <alignment horizontal="center" vertical="top"/>
    </xf>
    <xf numFmtId="0" fontId="11" fillId="0" borderId="28" xfId="0" applyFont="1" applyFill="1" applyBorder="1" applyAlignment="1">
      <alignment horizontal="left" vertical="top" wrapText="1"/>
    </xf>
    <xf numFmtId="0" fontId="11" fillId="0" borderId="68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right" vertical="top"/>
    </xf>
    <xf numFmtId="49" fontId="10" fillId="3" borderId="75" xfId="0" applyNumberFormat="1" applyFont="1" applyFill="1" applyBorder="1" applyAlignment="1">
      <alignment horizontal="right" vertical="top"/>
    </xf>
    <xf numFmtId="0" fontId="1" fillId="4" borderId="25" xfId="0" applyFont="1" applyFill="1" applyBorder="1" applyAlignment="1">
      <alignment horizontal="left" vertical="top" wrapText="1"/>
    </xf>
    <xf numFmtId="0" fontId="1" fillId="4" borderId="15" xfId="0" applyFont="1" applyFill="1" applyBorder="1" applyAlignment="1">
      <alignment horizontal="left" vertical="top" wrapText="1"/>
    </xf>
    <xf numFmtId="164" fontId="2" fillId="0" borderId="8" xfId="0" applyNumberFormat="1" applyFont="1" applyBorder="1" applyAlignment="1">
      <alignment horizontal="center"/>
    </xf>
    <xf numFmtId="0" fontId="10" fillId="9" borderId="27" xfId="0" applyFont="1" applyFill="1" applyBorder="1" applyAlignment="1">
      <alignment horizontal="right" vertical="top" wrapText="1"/>
    </xf>
    <xf numFmtId="0" fontId="10" fillId="9" borderId="23" xfId="0" applyFont="1" applyFill="1" applyBorder="1" applyAlignment="1">
      <alignment horizontal="right" vertical="top" wrapText="1"/>
    </xf>
    <xf numFmtId="0" fontId="10" fillId="9" borderId="75" xfId="0" applyFont="1" applyFill="1" applyBorder="1" applyAlignment="1">
      <alignment horizontal="right" vertical="top" wrapText="1"/>
    </xf>
    <xf numFmtId="164" fontId="1" fillId="0" borderId="69" xfId="0" applyNumberFormat="1" applyFont="1" applyBorder="1" applyAlignment="1">
      <alignment horizontal="center" vertical="top" wrapText="1"/>
    </xf>
    <xf numFmtId="164" fontId="1" fillId="0" borderId="76" xfId="0" applyNumberFormat="1" applyFont="1" applyBorder="1" applyAlignment="1">
      <alignment horizontal="center" vertical="top" wrapText="1"/>
    </xf>
    <xf numFmtId="0" fontId="6" fillId="0" borderId="9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1" fillId="0" borderId="7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 wrapText="1"/>
    </xf>
    <xf numFmtId="0" fontId="6" fillId="8" borderId="9" xfId="0" applyFont="1" applyFill="1" applyBorder="1" applyAlignment="1">
      <alignment horizontal="left" vertical="top" wrapText="1"/>
    </xf>
    <xf numFmtId="0" fontId="6" fillId="8" borderId="70" xfId="0" applyFont="1" applyFill="1" applyBorder="1" applyAlignment="1">
      <alignment horizontal="left" vertical="top" wrapText="1"/>
    </xf>
    <xf numFmtId="164" fontId="9" fillId="9" borderId="23" xfId="0" applyNumberFormat="1" applyFont="1" applyFill="1" applyBorder="1" applyAlignment="1">
      <alignment horizontal="center" vertical="top" wrapText="1"/>
    </xf>
    <xf numFmtId="164" fontId="9" fillId="9" borderId="75" xfId="0" applyNumberFormat="1" applyFont="1" applyFill="1" applyBorder="1" applyAlignment="1">
      <alignment horizontal="center" vertical="top" wrapText="1"/>
    </xf>
    <xf numFmtId="164" fontId="13" fillId="4" borderId="0" xfId="0" applyNumberFormat="1" applyFont="1" applyFill="1" applyBorder="1" applyAlignment="1">
      <alignment horizontal="center" vertical="top" wrapText="1"/>
    </xf>
    <xf numFmtId="164" fontId="1" fillId="0" borderId="60" xfId="0" applyNumberFormat="1" applyFont="1" applyFill="1" applyBorder="1" applyAlignment="1">
      <alignment horizontal="center" vertical="top" wrapText="1"/>
    </xf>
    <xf numFmtId="164" fontId="1" fillId="0" borderId="37" xfId="0" applyNumberFormat="1" applyFont="1" applyFill="1" applyBorder="1" applyAlignment="1">
      <alignment horizontal="center" vertical="top" wrapText="1"/>
    </xf>
    <xf numFmtId="164" fontId="8" fillId="4" borderId="0" xfId="0" applyNumberFormat="1" applyFont="1" applyFill="1" applyBorder="1" applyAlignment="1">
      <alignment horizontal="center" vertical="top" wrapText="1"/>
    </xf>
    <xf numFmtId="0" fontId="6" fillId="0" borderId="45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51" xfId="0" applyFont="1" applyFill="1" applyBorder="1" applyAlignment="1">
      <alignment horizontal="left" vertical="top" wrapText="1"/>
    </xf>
    <xf numFmtId="164" fontId="1" fillId="0" borderId="56" xfId="0" applyNumberFormat="1" applyFont="1" applyBorder="1" applyAlignment="1">
      <alignment horizontal="center" vertical="top" wrapText="1"/>
    </xf>
    <xf numFmtId="164" fontId="9" fillId="5" borderId="23" xfId="0" applyNumberFormat="1" applyFont="1" applyFill="1" applyBorder="1" applyAlignment="1">
      <alignment horizontal="center" vertical="top" wrapText="1"/>
    </xf>
    <xf numFmtId="164" fontId="9" fillId="5" borderId="75" xfId="0" applyNumberFormat="1" applyFont="1" applyFill="1" applyBorder="1" applyAlignment="1">
      <alignment horizontal="center" vertical="top" wrapText="1"/>
    </xf>
    <xf numFmtId="164" fontId="1" fillId="0" borderId="8" xfId="0" applyNumberFormat="1" applyFont="1" applyBorder="1" applyAlignment="1">
      <alignment horizontal="center" vertical="top" wrapText="1"/>
    </xf>
    <xf numFmtId="164" fontId="1" fillId="0" borderId="22" xfId="0" applyNumberFormat="1" applyFont="1" applyBorder="1" applyAlignment="1">
      <alignment horizontal="center" vertical="top" wrapText="1"/>
    </xf>
    <xf numFmtId="49" fontId="16" fillId="0" borderId="0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164" fontId="1" fillId="0" borderId="33" xfId="0" applyNumberFormat="1" applyFont="1" applyBorder="1" applyAlignment="1">
      <alignment horizontal="center" vertical="top" wrapText="1"/>
    </xf>
    <xf numFmtId="164" fontId="1" fillId="0" borderId="77" xfId="0" applyNumberFormat="1" applyFont="1" applyBorder="1" applyAlignment="1">
      <alignment horizontal="center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26" xfId="0" applyFont="1" applyFill="1" applyBorder="1" applyAlignment="1">
      <alignment horizontal="left" vertical="top" wrapText="1"/>
    </xf>
    <xf numFmtId="0" fontId="11" fillId="4" borderId="9" xfId="0" applyNumberFormat="1" applyFont="1" applyFill="1" applyBorder="1" applyAlignment="1">
      <alignment horizontal="left" vertical="top" wrapText="1"/>
    </xf>
    <xf numFmtId="0" fontId="11" fillId="4" borderId="15" xfId="0" applyNumberFormat="1" applyFont="1" applyFill="1" applyBorder="1" applyAlignment="1">
      <alignment horizontal="left" vertical="top" wrapText="1"/>
    </xf>
    <xf numFmtId="0" fontId="11" fillId="4" borderId="26" xfId="0" applyNumberFormat="1" applyFont="1" applyFill="1" applyBorder="1" applyAlignment="1">
      <alignment horizontal="left" vertical="top" wrapText="1"/>
    </xf>
    <xf numFmtId="0" fontId="11" fillId="4" borderId="5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1" fillId="4" borderId="12" xfId="0" applyNumberFormat="1" applyFont="1" applyFill="1" applyBorder="1" applyAlignment="1">
      <alignment horizontal="center" vertical="top" wrapText="1"/>
    </xf>
    <xf numFmtId="0" fontId="11" fillId="4" borderId="35" xfId="0" applyNumberFormat="1" applyFont="1" applyFill="1" applyBorder="1" applyAlignment="1">
      <alignment horizontal="center" vertical="top" wrapText="1"/>
    </xf>
    <xf numFmtId="0" fontId="11" fillId="4" borderId="34" xfId="0" applyNumberFormat="1" applyFont="1" applyFill="1" applyBorder="1" applyAlignment="1">
      <alignment horizontal="center" vertical="top" wrapText="1"/>
    </xf>
    <xf numFmtId="1" fontId="11" fillId="0" borderId="36" xfId="0" applyNumberFormat="1" applyFont="1" applyFill="1" applyBorder="1" applyAlignment="1">
      <alignment horizontal="center" vertical="top"/>
    </xf>
    <xf numFmtId="1" fontId="11" fillId="0" borderId="55" xfId="0" applyNumberFormat="1" applyFont="1" applyFill="1" applyBorder="1" applyAlignment="1">
      <alignment horizontal="center" vertical="top"/>
    </xf>
    <xf numFmtId="164" fontId="11" fillId="0" borderId="72" xfId="0" applyNumberFormat="1" applyFont="1" applyFill="1" applyBorder="1" applyAlignment="1">
      <alignment horizontal="center" vertical="top"/>
    </xf>
    <xf numFmtId="164" fontId="11" fillId="0" borderId="57" xfId="0" applyNumberFormat="1" applyFont="1" applyFill="1" applyBorder="1" applyAlignment="1">
      <alignment horizontal="center" vertical="top"/>
    </xf>
    <xf numFmtId="1" fontId="11" fillId="0" borderId="39" xfId="0" applyNumberFormat="1" applyFont="1" applyFill="1" applyBorder="1" applyAlignment="1">
      <alignment horizontal="center" vertical="top"/>
    </xf>
    <xf numFmtId="1" fontId="11" fillId="0" borderId="43" xfId="0" applyNumberFormat="1" applyFont="1" applyFill="1" applyBorder="1" applyAlignment="1">
      <alignment horizontal="center" vertical="top"/>
    </xf>
    <xf numFmtId="0" fontId="6" fillId="4" borderId="38" xfId="0" applyFont="1" applyFill="1" applyBorder="1" applyAlignment="1">
      <alignment horizontal="left" vertical="top" wrapText="1"/>
    </xf>
    <xf numFmtId="0" fontId="6" fillId="4" borderId="39" xfId="0" applyFont="1" applyFill="1" applyBorder="1" applyAlignment="1">
      <alignment horizontal="left" vertical="top" wrapText="1"/>
    </xf>
    <xf numFmtId="0" fontId="6" fillId="4" borderId="36" xfId="0" applyFont="1" applyFill="1" applyBorder="1" applyAlignment="1">
      <alignment horizontal="left" vertical="top" wrapText="1"/>
    </xf>
    <xf numFmtId="0" fontId="6" fillId="0" borderId="52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55" xfId="0" applyFont="1" applyBorder="1" applyAlignment="1">
      <alignment horizontal="left" vertical="top" wrapText="1"/>
    </xf>
    <xf numFmtId="49" fontId="10" fillId="2" borderId="46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/>
    </xf>
    <xf numFmtId="49" fontId="10" fillId="2" borderId="59" xfId="0" applyNumberFormat="1" applyFont="1" applyFill="1" applyBorder="1" applyAlignment="1">
      <alignment horizontal="center" vertical="top"/>
    </xf>
    <xf numFmtId="49" fontId="10" fillId="3" borderId="47" xfId="0" applyNumberFormat="1" applyFont="1" applyFill="1" applyBorder="1" applyAlignment="1">
      <alignment horizontal="center" vertical="top"/>
    </xf>
    <xf numFmtId="49" fontId="10" fillId="3" borderId="12" xfId="0" applyNumberFormat="1" applyFont="1" applyFill="1" applyBorder="1" applyAlignment="1">
      <alignment horizontal="center" vertical="top"/>
    </xf>
    <xf numFmtId="49" fontId="10" fillId="3" borderId="2" xfId="0" applyNumberFormat="1" applyFont="1" applyFill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49" fontId="10" fillId="0" borderId="12" xfId="0" applyNumberFormat="1" applyFont="1" applyBorder="1" applyAlignment="1">
      <alignment horizontal="center" vertical="top"/>
    </xf>
    <xf numFmtId="49" fontId="10" fillId="0" borderId="1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center" vertical="center" textRotation="90"/>
    </xf>
    <xf numFmtId="49" fontId="10" fillId="0" borderId="0" xfId="0" applyNumberFormat="1" applyFont="1" applyBorder="1" applyAlignment="1">
      <alignment horizontal="center" vertical="center" textRotation="90"/>
    </xf>
    <xf numFmtId="49" fontId="10" fillId="0" borderId="20" xfId="0" applyNumberFormat="1" applyFont="1" applyBorder="1" applyAlignment="1">
      <alignment horizontal="center" vertical="center" textRotation="90"/>
    </xf>
    <xf numFmtId="0" fontId="11" fillId="4" borderId="25" xfId="0" applyNumberFormat="1" applyFont="1" applyFill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center" vertical="top" wrapText="1"/>
    </xf>
    <xf numFmtId="49" fontId="10" fillId="0" borderId="8" xfId="0" applyNumberFormat="1" applyFont="1" applyBorder="1" applyAlignment="1">
      <alignment horizontal="center" vertical="top" wrapText="1"/>
    </xf>
    <xf numFmtId="49" fontId="10" fillId="0" borderId="0" xfId="0" applyNumberFormat="1" applyFont="1" applyBorder="1" applyAlignment="1">
      <alignment horizontal="center" vertical="top" wrapText="1"/>
    </xf>
    <xf numFmtId="49" fontId="10" fillId="0" borderId="20" xfId="0" applyNumberFormat="1" applyFont="1" applyBorder="1" applyAlignment="1">
      <alignment horizontal="center" vertical="top" wrapText="1"/>
    </xf>
    <xf numFmtId="0" fontId="1" fillId="4" borderId="9" xfId="0" applyNumberFormat="1" applyFont="1" applyFill="1" applyBorder="1" applyAlignment="1">
      <alignment horizontal="left" vertical="top" wrapText="1"/>
    </xf>
    <xf numFmtId="0" fontId="11" fillId="4" borderId="70" xfId="0" applyNumberFormat="1" applyFont="1" applyFill="1" applyBorder="1" applyAlignment="1">
      <alignment horizontal="left" vertical="top" wrapText="1"/>
    </xf>
    <xf numFmtId="0" fontId="1" fillId="8" borderId="25" xfId="0" applyFont="1" applyFill="1" applyBorder="1" applyAlignment="1">
      <alignment horizontal="left" vertical="top" wrapText="1"/>
    </xf>
    <xf numFmtId="0" fontId="1" fillId="8" borderId="15" xfId="0" applyFont="1" applyFill="1" applyBorder="1" applyAlignment="1">
      <alignment horizontal="left" vertical="top" wrapText="1"/>
    </xf>
    <xf numFmtId="0" fontId="1" fillId="8" borderId="26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17" fillId="0" borderId="26" xfId="0" applyFont="1" applyBorder="1" applyAlignment="1">
      <alignment horizontal="left" vertical="top" wrapText="1"/>
    </xf>
    <xf numFmtId="49" fontId="13" fillId="8" borderId="55" xfId="0" applyNumberFormat="1" applyFont="1" applyFill="1" applyBorder="1" applyAlignment="1">
      <alignment horizontal="center" vertical="top"/>
    </xf>
    <xf numFmtId="49" fontId="13" fillId="8" borderId="34" xfId="0" applyNumberFormat="1" applyFont="1" applyFill="1" applyBorder="1" applyAlignment="1">
      <alignment horizontal="center" vertical="top"/>
    </xf>
    <xf numFmtId="0" fontId="11" fillId="4" borderId="15" xfId="0" applyFont="1" applyFill="1" applyBorder="1" applyAlignment="1">
      <alignment horizontal="left" vertical="top" wrapText="1"/>
    </xf>
    <xf numFmtId="49" fontId="10" fillId="3" borderId="27" xfId="0" applyNumberFormat="1" applyFont="1" applyFill="1" applyBorder="1" applyAlignment="1">
      <alignment horizontal="left" vertical="top"/>
    </xf>
    <xf numFmtId="49" fontId="10" fillId="3" borderId="23" xfId="0" applyNumberFormat="1" applyFont="1" applyFill="1" applyBorder="1" applyAlignment="1">
      <alignment horizontal="left" vertical="top"/>
    </xf>
    <xf numFmtId="49" fontId="10" fillId="3" borderId="75" xfId="0" applyNumberFormat="1" applyFont="1" applyFill="1" applyBorder="1" applyAlignment="1">
      <alignment horizontal="left" vertical="top"/>
    </xf>
    <xf numFmtId="0" fontId="6" fillId="0" borderId="26" xfId="0" applyFont="1" applyFill="1" applyBorder="1" applyAlignment="1">
      <alignment horizontal="left" vertical="top" wrapText="1"/>
    </xf>
    <xf numFmtId="49" fontId="10" fillId="9" borderId="40" xfId="0" applyNumberFormat="1" applyFont="1" applyFill="1" applyBorder="1" applyAlignment="1">
      <alignment horizontal="center" vertical="center"/>
    </xf>
    <xf numFmtId="49" fontId="10" fillId="9" borderId="41" xfId="0" applyNumberFormat="1" applyFont="1" applyFill="1" applyBorder="1" applyAlignment="1">
      <alignment horizontal="center" vertical="center"/>
    </xf>
    <xf numFmtId="49" fontId="10" fillId="9" borderId="67" xfId="0" applyNumberFormat="1" applyFont="1" applyFill="1" applyBorder="1" applyAlignment="1">
      <alignment horizontal="center" vertical="center"/>
    </xf>
    <xf numFmtId="0" fontId="10" fillId="9" borderId="40" xfId="0" applyFont="1" applyFill="1" applyBorder="1" applyAlignment="1">
      <alignment horizontal="right" vertical="top" wrapText="1"/>
    </xf>
    <xf numFmtId="0" fontId="10" fillId="9" borderId="41" xfId="0" applyFont="1" applyFill="1" applyBorder="1" applyAlignment="1">
      <alignment horizontal="right" vertical="top" wrapText="1"/>
    </xf>
    <xf numFmtId="0" fontId="10" fillId="9" borderId="67" xfId="0" applyFont="1" applyFill="1" applyBorder="1" applyAlignment="1">
      <alignment horizontal="right" vertical="top" wrapText="1"/>
    </xf>
    <xf numFmtId="0" fontId="1" fillId="4" borderId="70" xfId="0" applyFont="1" applyFill="1" applyBorder="1" applyAlignment="1">
      <alignment horizontal="left" vertical="top" wrapText="1"/>
    </xf>
    <xf numFmtId="0" fontId="9" fillId="3" borderId="8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top"/>
    </xf>
    <xf numFmtId="0" fontId="9" fillId="3" borderId="75" xfId="0" applyFont="1" applyFill="1" applyBorder="1" applyAlignment="1">
      <alignment horizontal="left" vertical="top"/>
    </xf>
    <xf numFmtId="1" fontId="11" fillId="0" borderId="45" xfId="0" applyNumberFormat="1" applyFont="1" applyFill="1" applyBorder="1" applyAlignment="1">
      <alignment horizontal="center" vertical="top"/>
    </xf>
    <xf numFmtId="1" fontId="11" fillId="0" borderId="59" xfId="0" applyNumberFormat="1" applyFont="1" applyFill="1" applyBorder="1" applyAlignment="1">
      <alignment horizontal="center" vertical="top"/>
    </xf>
    <xf numFmtId="1" fontId="11" fillId="0" borderId="1" xfId="0" applyNumberFormat="1" applyFont="1" applyFill="1" applyBorder="1" applyAlignment="1">
      <alignment horizontal="center" vertical="top"/>
    </xf>
    <xf numFmtId="1" fontId="11" fillId="0" borderId="2" xfId="0" applyNumberFormat="1" applyFont="1" applyFill="1" applyBorder="1" applyAlignment="1">
      <alignment horizontal="center" vertical="top"/>
    </xf>
    <xf numFmtId="1" fontId="11" fillId="0" borderId="51" xfId="0" applyNumberFormat="1" applyFont="1" applyFill="1" applyBorder="1" applyAlignment="1">
      <alignment horizontal="center" vertical="top"/>
    </xf>
    <xf numFmtId="1" fontId="11" fillId="0" borderId="42" xfId="0" applyNumberFormat="1" applyFont="1" applyFill="1" applyBorder="1" applyAlignment="1">
      <alignment horizontal="center" vertical="top"/>
    </xf>
    <xf numFmtId="164" fontId="1" fillId="0" borderId="24" xfId="0" applyNumberFormat="1" applyFont="1" applyFill="1" applyBorder="1" applyAlignment="1">
      <alignment horizontal="left" vertical="top" wrapText="1"/>
    </xf>
    <xf numFmtId="164" fontId="11" fillId="0" borderId="80" xfId="0" applyNumberFormat="1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6" fillId="8" borderId="15" xfId="0" applyFont="1" applyFill="1" applyBorder="1" applyAlignment="1">
      <alignment horizontal="left" vertical="top" wrapText="1"/>
    </xf>
    <xf numFmtId="0" fontId="12" fillId="0" borderId="24" xfId="0" applyFont="1" applyFill="1" applyBorder="1" applyAlignment="1">
      <alignment horizontal="center" vertical="top" textRotation="90" wrapText="1"/>
    </xf>
    <xf numFmtId="0" fontId="12" fillId="0" borderId="28" xfId="0" applyFont="1" applyFill="1" applyBorder="1" applyAlignment="1">
      <alignment horizontal="center" vertical="top" textRotation="90" wrapText="1"/>
    </xf>
    <xf numFmtId="0" fontId="12" fillId="0" borderId="68" xfId="0" applyFont="1" applyFill="1" applyBorder="1" applyAlignment="1">
      <alignment horizontal="center" vertical="top" textRotation="90" wrapText="1"/>
    </xf>
    <xf numFmtId="49" fontId="10" fillId="0" borderId="22" xfId="0" applyNumberFormat="1" applyFont="1" applyBorder="1" applyAlignment="1">
      <alignment horizontal="center" vertical="top"/>
    </xf>
    <xf numFmtId="164" fontId="1" fillId="0" borderId="25" xfId="0" applyNumberFormat="1" applyFont="1" applyFill="1" applyBorder="1" applyAlignment="1">
      <alignment horizontal="left" vertical="top" wrapText="1"/>
    </xf>
    <xf numFmtId="164" fontId="11" fillId="0" borderId="70" xfId="0" applyNumberFormat="1" applyFont="1" applyFill="1" applyBorder="1" applyAlignment="1">
      <alignment horizontal="left" vertical="top" wrapText="1"/>
    </xf>
    <xf numFmtId="49" fontId="10" fillId="2" borderId="5" xfId="0" applyNumberFormat="1" applyFont="1" applyFill="1" applyBorder="1" applyAlignment="1">
      <alignment horizontal="center" vertical="top"/>
    </xf>
    <xf numFmtId="49" fontId="10" fillId="3" borderId="7" xfId="0" applyNumberFormat="1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left" vertical="top" wrapText="1"/>
    </xf>
    <xf numFmtId="0" fontId="1" fillId="0" borderId="70" xfId="0" applyFont="1" applyFill="1" applyBorder="1" applyAlignment="1">
      <alignment horizontal="left" vertical="top" wrapText="1"/>
    </xf>
    <xf numFmtId="0" fontId="1" fillId="0" borderId="9" xfId="0" applyNumberFormat="1" applyFont="1" applyFill="1" applyBorder="1" applyAlignment="1">
      <alignment horizontal="left" vertical="top" wrapText="1"/>
    </xf>
    <xf numFmtId="0" fontId="11" fillId="0" borderId="15" xfId="0" applyNumberFormat="1" applyFont="1" applyFill="1" applyBorder="1" applyAlignment="1">
      <alignment horizontal="left" vertical="top" wrapText="1"/>
    </xf>
    <xf numFmtId="164" fontId="6" fillId="3" borderId="27" xfId="0" applyNumberFormat="1" applyFont="1" applyFill="1" applyBorder="1" applyAlignment="1">
      <alignment horizontal="center" vertical="center"/>
    </xf>
    <xf numFmtId="164" fontId="6" fillId="3" borderId="23" xfId="0" applyNumberFormat="1" applyFont="1" applyFill="1" applyBorder="1" applyAlignment="1">
      <alignment horizontal="center" vertical="center"/>
    </xf>
    <xf numFmtId="164" fontId="6" fillId="3" borderId="75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70" xfId="0" applyFont="1" applyFill="1" applyBorder="1" applyAlignment="1">
      <alignment horizontal="left" vertical="top" wrapText="1"/>
    </xf>
    <xf numFmtId="49" fontId="9" fillId="0" borderId="22" xfId="0" applyNumberFormat="1" applyFont="1" applyBorder="1" applyAlignment="1">
      <alignment horizontal="center" vertical="top" wrapText="1"/>
    </xf>
    <xf numFmtId="49" fontId="9" fillId="0" borderId="44" xfId="0" applyNumberFormat="1" applyFont="1" applyBorder="1" applyAlignment="1">
      <alignment horizontal="center" vertical="top" wrapText="1"/>
    </xf>
    <xf numFmtId="0" fontId="11" fillId="0" borderId="70" xfId="0" applyNumberFormat="1" applyFont="1" applyFill="1" applyBorder="1" applyAlignment="1">
      <alignment horizontal="left" vertical="top" wrapText="1"/>
    </xf>
    <xf numFmtId="0" fontId="11" fillId="0" borderId="5" xfId="0" applyNumberFormat="1" applyFont="1" applyFill="1" applyBorder="1" applyAlignment="1">
      <alignment horizontal="center" vertical="top"/>
    </xf>
    <xf numFmtId="0" fontId="11" fillId="0" borderId="17" xfId="0" applyNumberFormat="1" applyFont="1" applyFill="1" applyBorder="1" applyAlignment="1">
      <alignment horizontal="center" vertical="top"/>
    </xf>
    <xf numFmtId="0" fontId="11" fillId="0" borderId="7" xfId="0" applyNumberFormat="1" applyFont="1" applyFill="1" applyBorder="1" applyAlignment="1">
      <alignment horizontal="center" vertical="top"/>
    </xf>
    <xf numFmtId="0" fontId="11" fillId="0" borderId="19" xfId="0" applyNumberFormat="1" applyFont="1" applyFill="1" applyBorder="1" applyAlignment="1">
      <alignment horizontal="center" vertical="top"/>
    </xf>
    <xf numFmtId="0" fontId="11" fillId="0" borderId="35" xfId="0" applyNumberFormat="1" applyFont="1" applyFill="1" applyBorder="1" applyAlignment="1">
      <alignment horizontal="center" vertical="top"/>
    </xf>
    <xf numFmtId="0" fontId="11" fillId="0" borderId="31" xfId="0" applyNumberFormat="1" applyFont="1" applyFill="1" applyBorder="1" applyAlignment="1">
      <alignment horizontal="center" vertical="top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17" xfId="0" applyNumberFormat="1" applyFont="1" applyFill="1" applyBorder="1" applyAlignment="1">
      <alignment horizontal="center" vertical="top" wrapText="1"/>
    </xf>
    <xf numFmtId="49" fontId="10" fillId="3" borderId="7" xfId="0" applyNumberFormat="1" applyFont="1" applyFill="1" applyBorder="1" applyAlignment="1">
      <alignment horizontal="center" vertical="top" wrapText="1"/>
    </xf>
    <xf numFmtId="49" fontId="10" fillId="3" borderId="19" xfId="0" applyNumberFormat="1" applyFont="1" applyFill="1" applyBorder="1" applyAlignment="1">
      <alignment horizontal="center" vertical="top" wrapText="1"/>
    </xf>
    <xf numFmtId="49" fontId="10" fillId="0" borderId="7" xfId="0" applyNumberFormat="1" applyFont="1" applyBorder="1" applyAlignment="1">
      <alignment horizontal="center" vertical="top" wrapText="1"/>
    </xf>
    <xf numFmtId="49" fontId="10" fillId="0" borderId="19" xfId="0" applyNumberFormat="1" applyFont="1" applyBorder="1" applyAlignment="1">
      <alignment horizontal="center" vertical="top" wrapText="1"/>
    </xf>
    <xf numFmtId="0" fontId="10" fillId="0" borderId="24" xfId="0" applyFont="1" applyFill="1" applyBorder="1" applyAlignment="1">
      <alignment horizontal="center" vertical="center" textRotation="90" wrapText="1"/>
    </xf>
    <xf numFmtId="0" fontId="10" fillId="0" borderId="68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9" fillId="0" borderId="20" xfId="0" applyNumberFormat="1" applyFont="1" applyBorder="1" applyAlignment="1">
      <alignment horizontal="center" vertical="top"/>
    </xf>
    <xf numFmtId="0" fontId="8" fillId="0" borderId="9" xfId="0" applyNumberFormat="1" applyFont="1" applyFill="1" applyBorder="1" applyAlignment="1">
      <alignment horizontal="left" vertical="top" wrapText="1"/>
    </xf>
    <xf numFmtId="49" fontId="9" fillId="2" borderId="5" xfId="0" applyNumberFormat="1" applyFont="1" applyFill="1" applyBorder="1" applyAlignment="1">
      <alignment horizontal="center" vertical="top"/>
    </xf>
    <xf numFmtId="49" fontId="9" fillId="2" borderId="17" xfId="0" applyNumberFormat="1" applyFont="1" applyFill="1" applyBorder="1" applyAlignment="1">
      <alignment horizontal="center" vertical="top"/>
    </xf>
    <xf numFmtId="49" fontId="9" fillId="3" borderId="7" xfId="0" applyNumberFormat="1" applyFont="1" applyFill="1" applyBorder="1" applyAlignment="1">
      <alignment horizontal="center" vertical="top"/>
    </xf>
    <xf numFmtId="49" fontId="9" fillId="3" borderId="19" xfId="0" applyNumberFormat="1" applyFont="1" applyFill="1" applyBorder="1" applyAlignment="1">
      <alignment horizontal="center" vertical="top"/>
    </xf>
    <xf numFmtId="49" fontId="9" fillId="0" borderId="7" xfId="0" applyNumberFormat="1" applyFont="1" applyBorder="1" applyAlignment="1">
      <alignment horizontal="center" vertical="top"/>
    </xf>
    <xf numFmtId="49" fontId="9" fillId="0" borderId="19" xfId="0" applyNumberFormat="1" applyFont="1" applyBorder="1" applyAlignment="1">
      <alignment horizontal="center" vertical="top"/>
    </xf>
    <xf numFmtId="164" fontId="11" fillId="0" borderId="21" xfId="0" applyNumberFormat="1" applyFont="1" applyFill="1" applyBorder="1" applyAlignment="1">
      <alignment horizontal="left" vertical="top" wrapText="1"/>
    </xf>
    <xf numFmtId="164" fontId="11" fillId="0" borderId="79" xfId="0" applyNumberFormat="1" applyFont="1" applyFill="1" applyBorder="1" applyAlignment="1">
      <alignment horizontal="left" vertical="top" wrapText="1"/>
    </xf>
    <xf numFmtId="49" fontId="11" fillId="0" borderId="10" xfId="0" applyNumberFormat="1" applyFont="1" applyFill="1" applyBorder="1" applyAlignment="1">
      <alignment horizontal="center" vertical="top"/>
    </xf>
    <xf numFmtId="49" fontId="11" fillId="0" borderId="17" xfId="0" applyNumberFormat="1" applyFont="1" applyFill="1" applyBorder="1" applyAlignment="1">
      <alignment horizontal="center" vertical="top"/>
    </xf>
    <xf numFmtId="1" fontId="11" fillId="0" borderId="12" xfId="0" applyNumberFormat="1" applyFont="1" applyFill="1" applyBorder="1" applyAlignment="1">
      <alignment horizontal="center" vertical="top"/>
    </xf>
    <xf numFmtId="1" fontId="11" fillId="0" borderId="19" xfId="0" applyNumberFormat="1" applyFont="1" applyFill="1" applyBorder="1" applyAlignment="1">
      <alignment horizontal="center" vertical="top"/>
    </xf>
    <xf numFmtId="1" fontId="11" fillId="0" borderId="34" xfId="0" applyNumberFormat="1" applyFont="1" applyFill="1" applyBorder="1" applyAlignment="1">
      <alignment horizontal="center" vertical="top"/>
    </xf>
    <xf numFmtId="1" fontId="11" fillId="0" borderId="31" xfId="0" applyNumberFormat="1" applyFont="1" applyFill="1" applyBorder="1" applyAlignment="1">
      <alignment horizontal="center" vertical="top"/>
    </xf>
    <xf numFmtId="164" fontId="11" fillId="0" borderId="28" xfId="0" applyNumberFormat="1" applyFont="1" applyFill="1" applyBorder="1" applyAlignment="1">
      <alignment horizontal="left" vertical="top" wrapText="1"/>
    </xf>
    <xf numFmtId="164" fontId="11" fillId="0" borderId="8" xfId="0" applyNumberFormat="1" applyFont="1" applyFill="1" applyBorder="1" applyAlignment="1">
      <alignment horizontal="left" vertical="top" wrapText="1"/>
    </xf>
    <xf numFmtId="164" fontId="11" fillId="0" borderId="0" xfId="0" applyNumberFormat="1" applyFont="1" applyFill="1" applyBorder="1" applyAlignment="1">
      <alignment horizontal="left" vertical="top" wrapText="1"/>
    </xf>
    <xf numFmtId="49" fontId="11" fillId="0" borderId="5" xfId="0" applyNumberFormat="1" applyFont="1" applyFill="1" applyBorder="1" applyAlignment="1">
      <alignment horizontal="center" vertical="top"/>
    </xf>
    <xf numFmtId="1" fontId="11" fillId="0" borderId="7" xfId="0" applyNumberFormat="1" applyFont="1" applyFill="1" applyBorder="1" applyAlignment="1">
      <alignment horizontal="center" vertical="top"/>
    </xf>
    <xf numFmtId="1" fontId="11" fillId="0" borderId="35" xfId="0" applyNumberFormat="1" applyFont="1" applyFill="1" applyBorder="1" applyAlignment="1">
      <alignment horizontal="center" vertical="top"/>
    </xf>
    <xf numFmtId="0" fontId="10" fillId="3" borderId="8" xfId="0" applyFont="1" applyFill="1" applyBorder="1" applyAlignment="1">
      <alignment horizontal="left" vertical="top"/>
    </xf>
    <xf numFmtId="0" fontId="10" fillId="3" borderId="22" xfId="0" applyFont="1" applyFill="1" applyBorder="1" applyAlignment="1">
      <alignment horizontal="left" vertical="top"/>
    </xf>
    <xf numFmtId="49" fontId="10" fillId="2" borderId="17" xfId="0" applyNumberFormat="1" applyFont="1" applyFill="1" applyBorder="1" applyAlignment="1">
      <alignment horizontal="center" vertical="top"/>
    </xf>
    <xf numFmtId="49" fontId="10" fillId="3" borderId="19" xfId="0" applyNumberFormat="1" applyFont="1" applyFill="1" applyBorder="1" applyAlignment="1">
      <alignment horizontal="center" vertical="top"/>
    </xf>
    <xf numFmtId="49" fontId="10" fillId="3" borderId="74" xfId="0" applyNumberFormat="1" applyFont="1" applyFill="1" applyBorder="1" applyAlignment="1">
      <alignment horizontal="right" vertical="top"/>
    </xf>
    <xf numFmtId="49" fontId="6" fillId="3" borderId="4" xfId="0" applyNumberFormat="1" applyFont="1" applyFill="1" applyBorder="1" applyAlignment="1">
      <alignment horizontal="right" vertical="top"/>
    </xf>
    <xf numFmtId="49" fontId="6" fillId="3" borderId="29" xfId="0" applyNumberFormat="1" applyFont="1" applyFill="1" applyBorder="1" applyAlignment="1">
      <alignment horizontal="right" vertical="top"/>
    </xf>
    <xf numFmtId="164" fontId="6" fillId="3" borderId="27" xfId="0" applyNumberFormat="1" applyFont="1" applyFill="1" applyBorder="1" applyAlignment="1">
      <alignment horizontal="center" vertical="top"/>
    </xf>
    <xf numFmtId="164" fontId="6" fillId="3" borderId="23" xfId="0" applyNumberFormat="1" applyFont="1" applyFill="1" applyBorder="1" applyAlignment="1">
      <alignment horizontal="center" vertical="top"/>
    </xf>
    <xf numFmtId="164" fontId="6" fillId="3" borderId="75" xfId="0" applyNumberFormat="1" applyFont="1" applyFill="1" applyBorder="1" applyAlignment="1">
      <alignment horizontal="center" vertical="top"/>
    </xf>
    <xf numFmtId="1" fontId="8" fillId="0" borderId="7" xfId="0" applyNumberFormat="1" applyFont="1" applyFill="1" applyBorder="1" applyAlignment="1">
      <alignment horizontal="center" vertical="top" textRotation="1"/>
    </xf>
    <xf numFmtId="1" fontId="8" fillId="0" borderId="19" xfId="0" applyNumberFormat="1" applyFont="1" applyFill="1" applyBorder="1" applyAlignment="1">
      <alignment horizontal="center" vertical="top" textRotation="1"/>
    </xf>
    <xf numFmtId="1" fontId="8" fillId="0" borderId="35" xfId="0" applyNumberFormat="1" applyFont="1" applyFill="1" applyBorder="1" applyAlignment="1">
      <alignment horizontal="center" vertical="top" textRotation="1"/>
    </xf>
    <xf numFmtId="1" fontId="8" fillId="0" borderId="31" xfId="0" applyNumberFormat="1" applyFont="1" applyFill="1" applyBorder="1" applyAlignment="1">
      <alignment horizontal="center" vertical="top" textRotation="1"/>
    </xf>
    <xf numFmtId="164" fontId="1" fillId="0" borderId="9" xfId="0" applyNumberFormat="1" applyFont="1" applyFill="1" applyBorder="1" applyAlignment="1">
      <alignment horizontal="left" vertical="top" wrapText="1"/>
    </xf>
    <xf numFmtId="1" fontId="11" fillId="0" borderId="5" xfId="0" applyNumberFormat="1" applyFont="1" applyFill="1" applyBorder="1" applyAlignment="1">
      <alignment horizontal="center" vertical="top"/>
    </xf>
    <xf numFmtId="1" fontId="15" fillId="0" borderId="17" xfId="0" applyNumberFormat="1" applyFont="1" applyFill="1" applyBorder="1" applyAlignment="1">
      <alignment horizontal="center" vertical="top"/>
    </xf>
    <xf numFmtId="1" fontId="15" fillId="0" borderId="19" xfId="0" applyNumberFormat="1" applyFont="1" applyFill="1" applyBorder="1" applyAlignment="1">
      <alignment horizontal="center" vertical="top"/>
    </xf>
    <xf numFmtId="1" fontId="15" fillId="0" borderId="31" xfId="0" applyNumberFormat="1" applyFont="1" applyFill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vertical="top" wrapText="1"/>
    </xf>
    <xf numFmtId="0" fontId="15" fillId="0" borderId="68" xfId="0" applyFont="1" applyFill="1" applyBorder="1" applyAlignment="1">
      <alignment vertical="top" wrapText="1"/>
    </xf>
    <xf numFmtId="1" fontId="8" fillId="0" borderId="5" xfId="0" applyNumberFormat="1" applyFont="1" applyFill="1" applyBorder="1" applyAlignment="1">
      <alignment horizontal="center" vertical="top" textRotation="1"/>
    </xf>
    <xf numFmtId="1" fontId="8" fillId="0" borderId="17" xfId="0" applyNumberFormat="1" applyFont="1" applyFill="1" applyBorder="1" applyAlignment="1">
      <alignment horizontal="center" vertical="top" textRotation="1"/>
    </xf>
    <xf numFmtId="0" fontId="12" fillId="0" borderId="24" xfId="0" applyFont="1" applyFill="1" applyBorder="1" applyAlignment="1">
      <alignment horizontal="center" vertical="top" wrapText="1"/>
    </xf>
    <xf numFmtId="0" fontId="12" fillId="0" borderId="68" xfId="0" applyFont="1" applyFill="1" applyBorder="1" applyAlignment="1">
      <alignment horizontal="center" vertical="top" wrapText="1"/>
    </xf>
    <xf numFmtId="1" fontId="15" fillId="0" borderId="31" xfId="0" applyNumberFormat="1" applyFont="1" applyBorder="1" applyAlignment="1">
      <alignment horizontal="center" vertical="top"/>
    </xf>
    <xf numFmtId="0" fontId="11" fillId="0" borderId="65" xfId="0" applyFont="1" applyFill="1" applyBorder="1" applyAlignment="1">
      <alignment horizontal="center" vertical="top" wrapText="1"/>
    </xf>
    <xf numFmtId="0" fontId="11" fillId="0" borderId="71" xfId="0" applyFont="1" applyFill="1" applyBorder="1" applyAlignment="1">
      <alignment horizontal="center" vertical="top" wrapText="1"/>
    </xf>
    <xf numFmtId="0" fontId="11" fillId="0" borderId="35" xfId="0" applyFont="1" applyFill="1" applyBorder="1" applyAlignment="1">
      <alignment horizontal="center" vertical="top" wrapText="1"/>
    </xf>
    <xf numFmtId="0" fontId="11" fillId="0" borderId="3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right" vertical="top"/>
    </xf>
    <xf numFmtId="0" fontId="6" fillId="0" borderId="46" xfId="0" applyFont="1" applyBorder="1" applyAlignment="1">
      <alignment horizontal="center" vertical="center" textRotation="90" wrapText="1"/>
    </xf>
    <xf numFmtId="0" fontId="6" fillId="0" borderId="45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 textRotation="90" wrapText="1"/>
    </xf>
    <xf numFmtId="0" fontId="6" fillId="0" borderId="47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9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textRotation="90" wrapText="1"/>
    </xf>
    <xf numFmtId="0" fontId="1" fillId="0" borderId="70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textRotation="90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1" fillId="0" borderId="22" xfId="0" applyNumberFormat="1" applyFont="1" applyBorder="1" applyAlignment="1">
      <alignment horizontal="center" vertical="center" textRotation="90" wrapText="1"/>
    </xf>
    <xf numFmtId="0" fontId="1" fillId="0" borderId="21" xfId="0" applyNumberFormat="1" applyFont="1" applyBorder="1" applyAlignment="1">
      <alignment horizontal="center" vertical="center" textRotation="90" wrapText="1"/>
    </xf>
    <xf numFmtId="0" fontId="1" fillId="0" borderId="44" xfId="0" applyNumberFormat="1" applyFont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70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 textRotation="90" wrapText="1"/>
    </xf>
    <xf numFmtId="0" fontId="11" fillId="0" borderId="31" xfId="0" applyFont="1" applyFill="1" applyBorder="1" applyAlignment="1">
      <alignment horizontal="center" vertical="center" textRotation="90" wrapText="1"/>
    </xf>
    <xf numFmtId="1" fontId="11" fillId="0" borderId="37" xfId="0" applyNumberFormat="1" applyFont="1" applyFill="1" applyBorder="1" applyAlignment="1">
      <alignment horizontal="center" vertical="top"/>
    </xf>
    <xf numFmtId="1" fontId="11" fillId="0" borderId="44" xfId="0" applyNumberFormat="1" applyFont="1" applyFill="1" applyBorder="1" applyAlignment="1">
      <alignment horizontal="center" vertical="top"/>
    </xf>
    <xf numFmtId="0" fontId="1" fillId="0" borderId="54" xfId="0" applyFont="1" applyBorder="1" applyAlignment="1">
      <alignment horizontal="left" vertical="top" wrapText="1"/>
    </xf>
    <xf numFmtId="0" fontId="11" fillId="0" borderId="80" xfId="0" applyFont="1" applyBorder="1" applyAlignment="1">
      <alignment horizontal="left" vertical="top" wrapText="1"/>
    </xf>
    <xf numFmtId="0" fontId="1" fillId="4" borderId="54" xfId="0" applyFont="1" applyFill="1" applyBorder="1" applyAlignment="1">
      <alignment horizontal="left" vertical="top" wrapText="1"/>
    </xf>
    <xf numFmtId="0" fontId="15" fillId="0" borderId="68" xfId="0" applyFont="1" applyBorder="1" applyAlignment="1">
      <alignment horizontal="left" vertical="top" wrapText="1"/>
    </xf>
    <xf numFmtId="1" fontId="11" fillId="0" borderId="54" xfId="0" applyNumberFormat="1" applyFont="1" applyFill="1" applyBorder="1" applyAlignment="1">
      <alignment horizontal="center" vertical="top"/>
    </xf>
    <xf numFmtId="1" fontId="11" fillId="0" borderId="68" xfId="0" applyNumberFormat="1" applyFont="1" applyFill="1" applyBorder="1" applyAlignment="1">
      <alignment horizontal="center" vertical="top"/>
    </xf>
    <xf numFmtId="0" fontId="11" fillId="0" borderId="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49" fontId="10" fillId="7" borderId="32" xfId="0" applyNumberFormat="1" applyFont="1" applyFill="1" applyBorder="1" applyAlignment="1">
      <alignment horizontal="left" vertical="top" wrapText="1"/>
    </xf>
    <xf numFmtId="49" fontId="10" fillId="7" borderId="33" xfId="0" applyNumberFormat="1" applyFont="1" applyFill="1" applyBorder="1" applyAlignment="1">
      <alignment horizontal="left" vertical="top" wrapText="1"/>
    </xf>
    <xf numFmtId="49" fontId="10" fillId="7" borderId="77" xfId="0" applyNumberFormat="1" applyFont="1" applyFill="1" applyBorder="1" applyAlignment="1">
      <alignment horizontal="left" vertical="top" wrapText="1"/>
    </xf>
    <xf numFmtId="0" fontId="14" fillId="5" borderId="56" xfId="0" applyFont="1" applyFill="1" applyBorder="1" applyAlignment="1">
      <alignment horizontal="left" vertical="top" wrapText="1"/>
    </xf>
    <xf numFmtId="0" fontId="14" fillId="5" borderId="60" xfId="0" applyFont="1" applyFill="1" applyBorder="1" applyAlignment="1">
      <alignment horizontal="left" vertical="top" wrapText="1"/>
    </xf>
    <xf numFmtId="0" fontId="14" fillId="5" borderId="37" xfId="0" applyFont="1" applyFill="1" applyBorder="1" applyAlignment="1">
      <alignment horizontal="left" vertical="top" wrapText="1"/>
    </xf>
    <xf numFmtId="0" fontId="10" fillId="2" borderId="23" xfId="0" applyFont="1" applyFill="1" applyBorder="1" applyAlignment="1">
      <alignment horizontal="left" vertical="top"/>
    </xf>
    <xf numFmtId="0" fontId="10" fillId="2" borderId="75" xfId="0" applyFont="1" applyFill="1" applyBorder="1" applyAlignment="1">
      <alignment horizontal="left" vertical="top"/>
    </xf>
    <xf numFmtId="0" fontId="10" fillId="3" borderId="23" xfId="0" applyFont="1" applyFill="1" applyBorder="1" applyAlignment="1">
      <alignment horizontal="left" vertical="top" wrapText="1"/>
    </xf>
    <xf numFmtId="0" fontId="10" fillId="3" borderId="8" xfId="0" applyFont="1" applyFill="1" applyBorder="1" applyAlignment="1">
      <alignment horizontal="left" vertical="top" wrapText="1"/>
    </xf>
    <xf numFmtId="0" fontId="10" fillId="3" borderId="22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/>
    </xf>
    <xf numFmtId="0" fontId="22" fillId="4" borderId="9" xfId="0" applyFont="1" applyFill="1" applyBorder="1" applyAlignment="1">
      <alignment horizontal="left" vertical="top" wrapText="1"/>
    </xf>
    <xf numFmtId="0" fontId="22" fillId="4" borderId="15" xfId="0" applyFont="1" applyFill="1" applyBorder="1" applyAlignment="1">
      <alignment horizontal="left" vertical="top" wrapText="1"/>
    </xf>
    <xf numFmtId="0" fontId="22" fillId="4" borderId="70" xfId="0" applyFont="1" applyFill="1" applyBorder="1" applyAlignment="1">
      <alignment horizontal="left" vertical="top" wrapText="1"/>
    </xf>
    <xf numFmtId="49" fontId="10" fillId="7" borderId="27" xfId="0" applyNumberFormat="1" applyFont="1" applyFill="1" applyBorder="1" applyAlignment="1">
      <alignment horizontal="left" vertical="top" wrapText="1"/>
    </xf>
    <xf numFmtId="49" fontId="10" fillId="7" borderId="23" xfId="0" applyNumberFormat="1" applyFont="1" applyFill="1" applyBorder="1" applyAlignment="1">
      <alignment horizontal="left" vertical="top" wrapText="1"/>
    </xf>
    <xf numFmtId="49" fontId="10" fillId="7" borderId="75" xfId="0" applyNumberFormat="1" applyFont="1" applyFill="1" applyBorder="1" applyAlignment="1">
      <alignment horizontal="left" vertical="top" wrapText="1"/>
    </xf>
    <xf numFmtId="0" fontId="14" fillId="5" borderId="27" xfId="0" applyFont="1" applyFill="1" applyBorder="1" applyAlignment="1">
      <alignment horizontal="left" vertical="top" wrapText="1"/>
    </xf>
    <xf numFmtId="0" fontId="14" fillId="5" borderId="23" xfId="0" applyFont="1" applyFill="1" applyBorder="1" applyAlignment="1">
      <alignment horizontal="left" vertical="top" wrapText="1"/>
    </xf>
    <xf numFmtId="0" fontId="14" fillId="5" borderId="75" xfId="0" applyFont="1" applyFill="1" applyBorder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/>
    </xf>
    <xf numFmtId="0" fontId="10" fillId="2" borderId="20" xfId="0" applyFont="1" applyFill="1" applyBorder="1" applyAlignment="1">
      <alignment horizontal="left" vertical="top"/>
    </xf>
    <xf numFmtId="0" fontId="10" fillId="2" borderId="44" xfId="0" applyFont="1" applyFill="1" applyBorder="1" applyAlignment="1">
      <alignment horizontal="left" vertical="top"/>
    </xf>
    <xf numFmtId="0" fontId="10" fillId="3" borderId="27" xfId="0" applyFont="1" applyFill="1" applyBorder="1" applyAlignment="1">
      <alignment horizontal="left" vertical="top" wrapText="1"/>
    </xf>
    <xf numFmtId="0" fontId="10" fillId="3" borderId="7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3" fontId="6" fillId="0" borderId="9" xfId="0" applyNumberFormat="1" applyFont="1" applyBorder="1" applyAlignment="1">
      <alignment horizontal="center" vertical="center" textRotation="90" wrapText="1"/>
    </xf>
    <xf numFmtId="3" fontId="6" fillId="0" borderId="15" xfId="0" applyNumberFormat="1" applyFont="1" applyBorder="1" applyAlignment="1">
      <alignment horizontal="center" vertical="center" textRotation="90" wrapText="1"/>
    </xf>
    <xf numFmtId="3" fontId="6" fillId="0" borderId="70" xfId="0" applyNumberFormat="1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8" borderId="25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 textRotation="90" wrapText="1"/>
    </xf>
    <xf numFmtId="3" fontId="1" fillId="0" borderId="15" xfId="0" applyNumberFormat="1" applyFont="1" applyBorder="1" applyAlignment="1">
      <alignment horizontal="center" vertical="center" textRotation="90" wrapText="1"/>
    </xf>
    <xf numFmtId="3" fontId="1" fillId="0" borderId="70" xfId="0" applyNumberFormat="1" applyFont="1" applyBorder="1" applyAlignment="1">
      <alignment horizontal="center" vertical="center" textRotation="90" wrapText="1"/>
    </xf>
    <xf numFmtId="0" fontId="1" fillId="0" borderId="35" xfId="0" applyNumberFormat="1" applyFont="1" applyBorder="1" applyAlignment="1">
      <alignment horizontal="center" vertical="center" textRotation="90" wrapText="1"/>
    </xf>
    <xf numFmtId="0" fontId="1" fillId="0" borderId="34" xfId="0" applyNumberFormat="1" applyFont="1" applyBorder="1" applyAlignment="1">
      <alignment horizontal="center" vertical="center" textRotation="90" wrapText="1"/>
    </xf>
    <xf numFmtId="0" fontId="1" fillId="0" borderId="31" xfId="0" applyNumberFormat="1" applyFont="1" applyBorder="1" applyAlignment="1">
      <alignment horizontal="center" vertical="center" textRotation="90" wrapText="1"/>
    </xf>
    <xf numFmtId="1" fontId="6" fillId="0" borderId="5" xfId="0" applyNumberFormat="1" applyFont="1" applyFill="1" applyBorder="1" applyAlignment="1">
      <alignment horizontal="center" vertical="top"/>
    </xf>
    <xf numFmtId="1" fontId="2" fillId="0" borderId="17" xfId="0" applyNumberFormat="1" applyFont="1" applyFill="1" applyBorder="1" applyAlignment="1">
      <alignment horizontal="center" vertical="top"/>
    </xf>
    <xf numFmtId="1" fontId="6" fillId="0" borderId="7" xfId="0" applyNumberFormat="1" applyFont="1" applyFill="1" applyBorder="1" applyAlignment="1">
      <alignment horizontal="center" vertical="top"/>
    </xf>
    <xf numFmtId="1" fontId="2" fillId="0" borderId="19" xfId="0" applyNumberFormat="1" applyFont="1" applyFill="1" applyBorder="1" applyAlignment="1">
      <alignment horizontal="center" vertical="top"/>
    </xf>
    <xf numFmtId="1" fontId="6" fillId="0" borderId="35" xfId="0" applyNumberFormat="1" applyFont="1" applyFill="1" applyBorder="1" applyAlignment="1">
      <alignment horizontal="center" vertical="top"/>
    </xf>
    <xf numFmtId="1" fontId="2" fillId="0" borderId="31" xfId="0" applyNumberFormat="1" applyFont="1" applyBorder="1" applyAlignment="1">
      <alignment horizontal="center" vertical="top"/>
    </xf>
    <xf numFmtId="0" fontId="6" fillId="0" borderId="65" xfId="0" applyFont="1" applyFill="1" applyBorder="1" applyAlignment="1">
      <alignment horizontal="center" vertical="top" wrapText="1"/>
    </xf>
    <xf numFmtId="0" fontId="6" fillId="0" borderId="71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9" xfId="0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1" xfId="0" applyFont="1" applyFill="1" applyBorder="1" applyAlignment="1">
      <alignment horizontal="center" vertical="top" wrapText="1"/>
    </xf>
    <xf numFmtId="49" fontId="10" fillId="0" borderId="35" xfId="0" applyNumberFormat="1" applyFont="1" applyFill="1" applyBorder="1" applyAlignment="1">
      <alignment horizontal="center" vertical="top" wrapText="1"/>
    </xf>
    <xf numFmtId="49" fontId="10" fillId="0" borderId="31" xfId="0" applyNumberFormat="1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vertical="top" wrapText="1"/>
    </xf>
    <xf numFmtId="0" fontId="2" fillId="0" borderId="68" xfId="0" applyFont="1" applyFill="1" applyBorder="1" applyAlignment="1">
      <alignment vertical="top" wrapText="1"/>
    </xf>
    <xf numFmtId="1" fontId="1" fillId="0" borderId="5" xfId="0" applyNumberFormat="1" applyFont="1" applyFill="1" applyBorder="1" applyAlignment="1">
      <alignment horizontal="center" vertical="top" textRotation="1"/>
    </xf>
    <xf numFmtId="1" fontId="1" fillId="0" borderId="17" xfId="0" applyNumberFormat="1" applyFont="1" applyFill="1" applyBorder="1" applyAlignment="1">
      <alignment horizontal="center" vertical="top" textRotation="1"/>
    </xf>
    <xf numFmtId="0" fontId="6" fillId="0" borderId="24" xfId="0" applyFont="1" applyFill="1" applyBorder="1" applyAlignment="1">
      <alignment horizontal="center" vertical="top" wrapText="1"/>
    </xf>
    <xf numFmtId="0" fontId="6" fillId="0" borderId="68" xfId="0" applyFont="1" applyFill="1" applyBorder="1" applyAlignment="1">
      <alignment horizontal="center" vertical="top" wrapText="1"/>
    </xf>
    <xf numFmtId="0" fontId="10" fillId="3" borderId="23" xfId="0" applyFont="1" applyFill="1" applyBorder="1" applyAlignment="1">
      <alignment horizontal="left" vertical="top"/>
    </xf>
    <xf numFmtId="0" fontId="10" fillId="3" borderId="75" xfId="0" applyFont="1" applyFill="1" applyBorder="1" applyAlignment="1">
      <alignment horizontal="left" vertical="top"/>
    </xf>
    <xf numFmtId="1" fontId="1" fillId="0" borderId="7" xfId="0" applyNumberFormat="1" applyFont="1" applyFill="1" applyBorder="1" applyAlignment="1">
      <alignment horizontal="center" vertical="top" textRotation="1"/>
    </xf>
    <xf numFmtId="1" fontId="1" fillId="0" borderId="19" xfId="0" applyNumberFormat="1" applyFont="1" applyFill="1" applyBorder="1" applyAlignment="1">
      <alignment horizontal="center" vertical="top" textRotation="1"/>
    </xf>
    <xf numFmtId="1" fontId="1" fillId="0" borderId="35" xfId="0" applyNumberFormat="1" applyFont="1" applyFill="1" applyBorder="1" applyAlignment="1">
      <alignment horizontal="center" vertical="top" textRotation="1"/>
    </xf>
    <xf numFmtId="1" fontId="1" fillId="0" borderId="31" xfId="0" applyNumberFormat="1" applyFont="1" applyFill="1" applyBorder="1" applyAlignment="1">
      <alignment horizontal="center" vertical="top" textRotation="1"/>
    </xf>
    <xf numFmtId="164" fontId="6" fillId="0" borderId="9" xfId="0" applyNumberFormat="1" applyFont="1" applyFill="1" applyBorder="1" applyAlignment="1">
      <alignment horizontal="left" vertical="top" wrapText="1"/>
    </xf>
    <xf numFmtId="164" fontId="6" fillId="0" borderId="70" xfId="0" applyNumberFormat="1" applyFont="1" applyFill="1" applyBorder="1" applyAlignment="1">
      <alignment horizontal="left" vertical="top" wrapText="1"/>
    </xf>
    <xf numFmtId="1" fontId="2" fillId="0" borderId="31" xfId="0" applyNumberFormat="1" applyFont="1" applyFill="1" applyBorder="1" applyAlignment="1">
      <alignment horizontal="center" vertical="top"/>
    </xf>
    <xf numFmtId="164" fontId="6" fillId="0" borderId="54" xfId="0" applyNumberFormat="1" applyFont="1" applyFill="1" applyBorder="1" applyAlignment="1">
      <alignment horizontal="left" vertical="top" wrapText="1"/>
    </xf>
    <xf numFmtId="164" fontId="6" fillId="0" borderId="28" xfId="0" applyNumberFormat="1" applyFont="1" applyFill="1" applyBorder="1" applyAlignment="1">
      <alignment horizontal="left" vertical="top" wrapText="1"/>
    </xf>
    <xf numFmtId="49" fontId="6" fillId="0" borderId="52" xfId="0" applyNumberFormat="1" applyFont="1" applyFill="1" applyBorder="1" applyAlignment="1">
      <alignment horizontal="center" vertical="top"/>
    </xf>
    <xf numFmtId="49" fontId="6" fillId="0" borderId="10" xfId="0" applyNumberFormat="1" applyFont="1" applyFill="1" applyBorder="1" applyAlignment="1">
      <alignment horizontal="center" vertical="top"/>
    </xf>
    <xf numFmtId="1" fontId="6" fillId="0" borderId="43" xfId="0" applyNumberFormat="1" applyFont="1" applyFill="1" applyBorder="1" applyAlignment="1">
      <alignment horizontal="center" vertical="top"/>
    </xf>
    <xf numFmtId="1" fontId="6" fillId="0" borderId="12" xfId="0" applyNumberFormat="1" applyFont="1" applyFill="1" applyBorder="1" applyAlignment="1">
      <alignment horizontal="center" vertical="top"/>
    </xf>
    <xf numFmtId="1" fontId="6" fillId="0" borderId="55" xfId="0" applyNumberFormat="1" applyFont="1" applyFill="1" applyBorder="1" applyAlignment="1">
      <alignment horizontal="center" vertical="top"/>
    </xf>
    <xf numFmtId="1" fontId="6" fillId="0" borderId="34" xfId="0" applyNumberFormat="1" applyFont="1" applyFill="1" applyBorder="1" applyAlignment="1">
      <alignment horizontal="center" vertical="top"/>
    </xf>
    <xf numFmtId="49" fontId="9" fillId="0" borderId="35" xfId="0" applyNumberFormat="1" applyFont="1" applyBorder="1" applyAlignment="1">
      <alignment horizontal="center" vertical="top"/>
    </xf>
    <xf numFmtId="49" fontId="9" fillId="0" borderId="31" xfId="0" applyNumberFormat="1" applyFont="1" applyBorder="1" applyAlignment="1">
      <alignment horizontal="center" vertical="top"/>
    </xf>
    <xf numFmtId="0" fontId="6" fillId="0" borderId="9" xfId="0" applyNumberFormat="1" applyFont="1" applyFill="1" applyBorder="1" applyAlignment="1">
      <alignment horizontal="left" vertical="top" wrapText="1"/>
    </xf>
    <xf numFmtId="0" fontId="6" fillId="0" borderId="70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15" xfId="0" applyNumberFormat="1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6" fillId="0" borderId="25" xfId="0" applyNumberFormat="1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left" vertical="top" wrapText="1"/>
    </xf>
    <xf numFmtId="49" fontId="9" fillId="0" borderId="35" xfId="0" applyNumberFormat="1" applyFont="1" applyBorder="1" applyAlignment="1">
      <alignment horizontal="center" vertical="top" wrapText="1"/>
    </xf>
    <xf numFmtId="49" fontId="9" fillId="0" borderId="34" xfId="0" applyNumberFormat="1" applyFont="1" applyBorder="1" applyAlignment="1">
      <alignment horizontal="center" vertical="top" wrapText="1"/>
    </xf>
    <xf numFmtId="49" fontId="9" fillId="0" borderId="31" xfId="0" applyNumberFormat="1" applyFont="1" applyBorder="1" applyAlignment="1">
      <alignment horizontal="center" vertical="top" wrapText="1"/>
    </xf>
    <xf numFmtId="0" fontId="6" fillId="0" borderId="5" xfId="0" applyNumberFormat="1" applyFont="1" applyFill="1" applyBorder="1" applyAlignment="1">
      <alignment horizontal="center" vertical="top"/>
    </xf>
    <xf numFmtId="0" fontId="6" fillId="0" borderId="10" xfId="0" applyNumberFormat="1" applyFont="1" applyFill="1" applyBorder="1" applyAlignment="1">
      <alignment horizontal="center" vertical="top"/>
    </xf>
    <xf numFmtId="0" fontId="6" fillId="0" borderId="17" xfId="0" applyNumberFormat="1" applyFont="1" applyFill="1" applyBorder="1" applyAlignment="1">
      <alignment horizontal="center" vertical="top"/>
    </xf>
    <xf numFmtId="0" fontId="6" fillId="0" borderId="7" xfId="0" applyNumberFormat="1" applyFont="1" applyFill="1" applyBorder="1" applyAlignment="1">
      <alignment horizontal="center" vertical="top"/>
    </xf>
    <xf numFmtId="0" fontId="6" fillId="0" borderId="12" xfId="0" applyNumberFormat="1" applyFont="1" applyFill="1" applyBorder="1" applyAlignment="1">
      <alignment horizontal="center" vertical="top"/>
    </xf>
    <xf numFmtId="0" fontId="6" fillId="0" borderId="19" xfId="0" applyNumberFormat="1" applyFont="1" applyFill="1" applyBorder="1" applyAlignment="1">
      <alignment horizontal="center" vertical="top"/>
    </xf>
    <xf numFmtId="0" fontId="6" fillId="0" borderId="35" xfId="0" applyNumberFormat="1" applyFont="1" applyFill="1" applyBorder="1" applyAlignment="1">
      <alignment horizontal="center" vertical="top"/>
    </xf>
    <xf numFmtId="0" fontId="6" fillId="0" borderId="34" xfId="0" applyNumberFormat="1" applyFont="1" applyFill="1" applyBorder="1" applyAlignment="1">
      <alignment horizontal="center" vertical="top"/>
    </xf>
    <xf numFmtId="0" fontId="6" fillId="0" borderId="31" xfId="0" applyNumberFormat="1" applyFont="1" applyFill="1" applyBorder="1" applyAlignment="1">
      <alignment horizontal="center" vertical="top"/>
    </xf>
    <xf numFmtId="49" fontId="10" fillId="2" borderId="10" xfId="0" applyNumberFormat="1" applyFont="1" applyFill="1" applyBorder="1" applyAlignment="1">
      <alignment horizontal="center" vertical="top" wrapText="1"/>
    </xf>
    <xf numFmtId="49" fontId="10" fillId="3" borderId="12" xfId="0" applyNumberFormat="1" applyFont="1" applyFill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center" vertical="top" wrapText="1"/>
    </xf>
    <xf numFmtId="0" fontId="10" fillId="0" borderId="28" xfId="0" applyFont="1" applyFill="1" applyBorder="1" applyAlignment="1">
      <alignment horizontal="center" vertical="center" textRotation="90" wrapText="1"/>
    </xf>
    <xf numFmtId="3" fontId="1" fillId="4" borderId="7" xfId="0" applyNumberFormat="1" applyFont="1" applyFill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3" fontId="1" fillId="4" borderId="35" xfId="0" applyNumberFormat="1" applyFont="1" applyFill="1" applyBorder="1" applyAlignment="1">
      <alignment horizontal="center" vertical="top"/>
    </xf>
    <xf numFmtId="3" fontId="1" fillId="4" borderId="34" xfId="0" applyNumberFormat="1" applyFont="1" applyFill="1" applyBorder="1" applyAlignment="1">
      <alignment horizontal="center" vertical="top"/>
    </xf>
    <xf numFmtId="0" fontId="1" fillId="4" borderId="24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3" fontId="1" fillId="4" borderId="5" xfId="0" applyNumberFormat="1" applyFont="1" applyFill="1" applyBorder="1" applyAlignment="1">
      <alignment horizontal="center" vertical="top"/>
    </xf>
    <xf numFmtId="3" fontId="1" fillId="4" borderId="10" xfId="0" applyNumberFormat="1" applyFont="1" applyFill="1" applyBorder="1" applyAlignment="1">
      <alignment horizontal="center" vertical="top"/>
    </xf>
    <xf numFmtId="0" fontId="6" fillId="4" borderId="25" xfId="0" applyNumberFormat="1" applyFont="1" applyFill="1" applyBorder="1" applyAlignment="1">
      <alignment horizontal="left" vertical="top" wrapText="1"/>
    </xf>
    <xf numFmtId="0" fontId="6" fillId="4" borderId="15" xfId="0" applyNumberFormat="1" applyFont="1" applyFill="1" applyBorder="1" applyAlignment="1">
      <alignment horizontal="left" vertical="top" wrapText="1"/>
    </xf>
    <xf numFmtId="0" fontId="6" fillId="4" borderId="26" xfId="0" applyNumberFormat="1" applyFont="1" applyFill="1" applyBorder="1" applyAlignment="1">
      <alignment horizontal="left" vertical="top" wrapText="1"/>
    </xf>
    <xf numFmtId="0" fontId="6" fillId="8" borderId="24" xfId="0" applyFont="1" applyFill="1" applyBorder="1" applyAlignment="1">
      <alignment horizontal="left" vertical="top" wrapText="1"/>
    </xf>
    <xf numFmtId="0" fontId="6" fillId="8" borderId="28" xfId="0" applyFont="1" applyFill="1" applyBorder="1" applyAlignment="1">
      <alignment horizontal="left" vertical="top" wrapText="1"/>
    </xf>
    <xf numFmtId="0" fontId="6" fillId="8" borderId="68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textRotation="90" wrapText="1"/>
    </xf>
    <xf numFmtId="0" fontId="6" fillId="0" borderId="28" xfId="0" applyFont="1" applyFill="1" applyBorder="1" applyAlignment="1">
      <alignment horizontal="center" vertical="top" textRotation="90" wrapText="1"/>
    </xf>
    <xf numFmtId="0" fontId="6" fillId="0" borderId="68" xfId="0" applyFont="1" applyFill="1" applyBorder="1" applyAlignment="1">
      <alignment horizontal="center" vertical="top" textRotation="90" wrapText="1"/>
    </xf>
    <xf numFmtId="0" fontId="1" fillId="8" borderId="9" xfId="0" applyFont="1" applyFill="1" applyBorder="1" applyAlignment="1">
      <alignment horizontal="left" vertical="top" wrapText="1"/>
    </xf>
    <xf numFmtId="0" fontId="9" fillId="8" borderId="70" xfId="0" applyFont="1" applyFill="1" applyBorder="1" applyAlignment="1">
      <alignment horizontal="left" vertical="top" wrapText="1"/>
    </xf>
    <xf numFmtId="49" fontId="10" fillId="0" borderId="35" xfId="0" applyNumberFormat="1" applyFont="1" applyBorder="1" applyAlignment="1">
      <alignment horizontal="center" vertical="top"/>
    </xf>
    <xf numFmtId="49" fontId="10" fillId="0" borderId="34" xfId="0" applyNumberFormat="1" applyFont="1" applyBorder="1" applyAlignment="1">
      <alignment horizontal="center" vertical="top"/>
    </xf>
    <xf numFmtId="49" fontId="10" fillId="0" borderId="31" xfId="0" applyNumberFormat="1" applyFont="1" applyBorder="1" applyAlignment="1">
      <alignment horizontal="center" vertical="top"/>
    </xf>
    <xf numFmtId="0" fontId="6" fillId="4" borderId="43" xfId="0" applyNumberFormat="1" applyFont="1" applyFill="1" applyBorder="1" applyAlignment="1">
      <alignment horizontal="center" vertical="top" wrapText="1"/>
    </xf>
    <xf numFmtId="0" fontId="6" fillId="4" borderId="12" xfId="0" applyNumberFormat="1" applyFont="1" applyFill="1" applyBorder="1" applyAlignment="1">
      <alignment horizontal="center" vertical="top" wrapText="1"/>
    </xf>
    <xf numFmtId="0" fontId="6" fillId="4" borderId="19" xfId="0" applyNumberFormat="1" applyFont="1" applyFill="1" applyBorder="1" applyAlignment="1">
      <alignment horizontal="center" vertical="top" wrapText="1"/>
    </xf>
    <xf numFmtId="0" fontId="6" fillId="4" borderId="37" xfId="0" applyNumberFormat="1" applyFont="1" applyFill="1" applyBorder="1" applyAlignment="1">
      <alignment horizontal="center" vertical="top" wrapText="1"/>
    </xf>
    <xf numFmtId="0" fontId="6" fillId="4" borderId="21" xfId="0" applyNumberFormat="1" applyFont="1" applyFill="1" applyBorder="1" applyAlignment="1">
      <alignment horizontal="center" vertical="top" wrapText="1"/>
    </xf>
    <xf numFmtId="0" fontId="6" fillId="4" borderId="44" xfId="0" applyNumberFormat="1" applyFont="1" applyFill="1" applyBorder="1" applyAlignment="1">
      <alignment horizontal="center" vertical="top" wrapText="1"/>
    </xf>
    <xf numFmtId="0" fontId="1" fillId="4" borderId="60" xfId="0" applyNumberFormat="1" applyFont="1" applyFill="1" applyBorder="1" applyAlignment="1">
      <alignment horizontal="center" vertical="top" wrapText="1"/>
    </xf>
    <xf numFmtId="0" fontId="1" fillId="4" borderId="0" xfId="0" applyNumberFormat="1" applyFont="1" applyFill="1" applyBorder="1" applyAlignment="1">
      <alignment horizontal="center" vertical="top" wrapText="1"/>
    </xf>
    <xf numFmtId="0" fontId="1" fillId="4" borderId="20" xfId="0" applyNumberFormat="1" applyFont="1" applyFill="1" applyBorder="1" applyAlignment="1">
      <alignment horizontal="center" vertical="top" wrapText="1"/>
    </xf>
    <xf numFmtId="0" fontId="9" fillId="0" borderId="34" xfId="0" applyNumberFormat="1" applyFont="1" applyBorder="1" applyAlignment="1">
      <alignment horizontal="center" vertical="top"/>
    </xf>
    <xf numFmtId="0" fontId="1" fillId="4" borderId="25" xfId="0" applyNumberFormat="1" applyFont="1" applyFill="1" applyBorder="1" applyAlignment="1">
      <alignment horizontal="left" vertical="top" wrapText="1"/>
    </xf>
    <xf numFmtId="0" fontId="1" fillId="4" borderId="15" xfId="0" applyNumberFormat="1" applyFont="1" applyFill="1" applyBorder="1" applyAlignment="1">
      <alignment horizontal="left" vertical="top" wrapText="1"/>
    </xf>
    <xf numFmtId="0" fontId="1" fillId="4" borderId="70" xfId="0" applyNumberFormat="1" applyFont="1" applyFill="1" applyBorder="1" applyAlignment="1">
      <alignment horizontal="left" vertical="top" wrapText="1"/>
    </xf>
    <xf numFmtId="1" fontId="6" fillId="0" borderId="45" xfId="0" applyNumberFormat="1" applyFont="1" applyFill="1" applyBorder="1" applyAlignment="1">
      <alignment horizontal="center" vertical="top"/>
    </xf>
    <xf numFmtId="1" fontId="6" fillId="0" borderId="59" xfId="0" applyNumberFormat="1" applyFont="1" applyFill="1" applyBorder="1" applyAlignment="1">
      <alignment horizontal="center" vertical="top"/>
    </xf>
    <xf numFmtId="49" fontId="10" fillId="4" borderId="11" xfId="0" applyNumberFormat="1" applyFont="1" applyFill="1" applyBorder="1" applyAlignment="1">
      <alignment horizontal="center" vertical="top"/>
    </xf>
    <xf numFmtId="49" fontId="10" fillId="4" borderId="18" xfId="0" applyNumberFormat="1" applyFont="1" applyFill="1" applyBorder="1" applyAlignment="1">
      <alignment horizontal="center" vertical="top"/>
    </xf>
    <xf numFmtId="49" fontId="10" fillId="4" borderId="39" xfId="0" applyNumberFormat="1" applyFont="1" applyFill="1" applyBorder="1" applyAlignment="1">
      <alignment horizontal="center" vertical="top"/>
    </xf>
    <xf numFmtId="49" fontId="10" fillId="0" borderId="36" xfId="0" applyNumberFormat="1" applyFont="1" applyBorder="1" applyAlignment="1">
      <alignment horizontal="center" vertical="top"/>
    </xf>
    <xf numFmtId="0" fontId="6" fillId="0" borderId="54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6" fillId="0" borderId="80" xfId="0" applyFont="1" applyFill="1" applyBorder="1" applyAlignment="1">
      <alignment horizontal="left" vertical="top" wrapText="1"/>
    </xf>
    <xf numFmtId="49" fontId="10" fillId="0" borderId="52" xfId="0" applyNumberFormat="1" applyFont="1" applyBorder="1" applyAlignment="1">
      <alignment horizontal="center" vertical="center" textRotation="90"/>
    </xf>
    <xf numFmtId="49" fontId="10" fillId="0" borderId="10" xfId="0" applyNumberFormat="1" applyFont="1" applyBorder="1" applyAlignment="1">
      <alignment horizontal="center" vertical="center" textRotation="90"/>
    </xf>
    <xf numFmtId="49" fontId="10" fillId="0" borderId="38" xfId="0" applyNumberFormat="1" applyFont="1" applyBorder="1" applyAlignment="1">
      <alignment horizontal="center" vertical="center" textRotation="90"/>
    </xf>
    <xf numFmtId="0" fontId="6" fillId="8" borderId="26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center" vertical="center" wrapText="1"/>
    </xf>
    <xf numFmtId="164" fontId="6" fillId="5" borderId="27" xfId="0" applyNumberFormat="1" applyFont="1" applyFill="1" applyBorder="1" applyAlignment="1">
      <alignment horizontal="center" vertical="center" wrapText="1"/>
    </xf>
    <xf numFmtId="164" fontId="6" fillId="5" borderId="23" xfId="0" applyNumberFormat="1" applyFont="1" applyFill="1" applyBorder="1" applyAlignment="1">
      <alignment horizontal="center" vertical="center" wrapText="1"/>
    </xf>
    <xf numFmtId="164" fontId="6" fillId="5" borderId="75" xfId="0" applyNumberFormat="1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top" wrapText="1"/>
    </xf>
    <xf numFmtId="0" fontId="6" fillId="0" borderId="69" xfId="0" applyFont="1" applyBorder="1" applyAlignment="1">
      <alignment horizontal="left" vertical="top" wrapText="1"/>
    </xf>
    <xf numFmtId="0" fontId="6" fillId="0" borderId="76" xfId="0" applyFont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center" vertical="top" wrapText="1"/>
    </xf>
    <xf numFmtId="0" fontId="10" fillId="5" borderId="27" xfId="0" applyFont="1" applyFill="1" applyBorder="1" applyAlignment="1">
      <alignment horizontal="left" vertical="top" wrapText="1"/>
    </xf>
    <xf numFmtId="0" fontId="10" fillId="5" borderId="23" xfId="0" applyFont="1" applyFill="1" applyBorder="1" applyAlignment="1">
      <alignment horizontal="left" vertical="top" wrapText="1"/>
    </xf>
    <xf numFmtId="0" fontId="10" fillId="5" borderId="75" xfId="0" applyFont="1" applyFill="1" applyBorder="1" applyAlignment="1">
      <alignment horizontal="left" vertical="top" wrapText="1"/>
    </xf>
    <xf numFmtId="164" fontId="9" fillId="4" borderId="0" xfId="0" applyNumberFormat="1" applyFont="1" applyFill="1" applyBorder="1" applyAlignment="1">
      <alignment horizontal="center" vertical="top" wrapText="1"/>
    </xf>
    <xf numFmtId="0" fontId="6" fillId="0" borderId="28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4" borderId="24" xfId="0" applyNumberFormat="1" applyFont="1" applyFill="1" applyBorder="1" applyAlignment="1">
      <alignment horizontal="left" vertical="top" wrapText="1"/>
    </xf>
    <xf numFmtId="0" fontId="6" fillId="4" borderId="28" xfId="0" applyNumberFormat="1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10" fillId="9" borderId="41" xfId="0" applyFont="1" applyFill="1" applyBorder="1" applyAlignment="1">
      <alignment horizontal="center" vertical="top" wrapText="1"/>
    </xf>
    <xf numFmtId="0" fontId="10" fillId="9" borderId="67" xfId="0" applyFont="1" applyFill="1" applyBorder="1" applyAlignment="1">
      <alignment horizontal="center" vertical="top" wrapText="1"/>
    </xf>
    <xf numFmtId="0" fontId="6" fillId="4" borderId="15" xfId="0" applyNumberFormat="1" applyFont="1" applyFill="1" applyBorder="1" applyAlignment="1">
      <alignment horizontal="center" vertical="top" wrapText="1"/>
    </xf>
    <xf numFmtId="0" fontId="6" fillId="4" borderId="70" xfId="0" applyNumberFormat="1" applyFont="1" applyFill="1" applyBorder="1" applyAlignment="1">
      <alignment horizontal="center" vertical="top" wrapText="1"/>
    </xf>
    <xf numFmtId="49" fontId="10" fillId="9" borderId="40" xfId="0" applyNumberFormat="1" applyFont="1" applyFill="1" applyBorder="1" applyAlignment="1">
      <alignment horizontal="center" vertical="top"/>
    </xf>
    <xf numFmtId="49" fontId="10" fillId="9" borderId="41" xfId="0" applyNumberFormat="1" applyFont="1" applyFill="1" applyBorder="1" applyAlignment="1">
      <alignment horizontal="center" vertical="top"/>
    </xf>
    <xf numFmtId="49" fontId="10" fillId="9" borderId="67" xfId="0" applyNumberFormat="1" applyFont="1" applyFill="1" applyBorder="1" applyAlignment="1">
      <alignment horizontal="center" vertical="top"/>
    </xf>
    <xf numFmtId="0" fontId="1" fillId="8" borderId="7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 wrapText="1"/>
    </xf>
    <xf numFmtId="0" fontId="6" fillId="4" borderId="28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6" fillId="0" borderId="41" xfId="0" applyFont="1" applyFill="1" applyBorder="1" applyAlignment="1">
      <alignment horizontal="left" vertical="top" wrapText="1"/>
    </xf>
    <xf numFmtId="0" fontId="6" fillId="0" borderId="67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2" xfId="0" applyNumberFormat="1" applyFont="1" applyFill="1" applyBorder="1" applyAlignment="1">
      <alignment horizontal="center" vertical="top"/>
    </xf>
    <xf numFmtId="1" fontId="6" fillId="0" borderId="51" xfId="0" applyNumberFormat="1" applyFont="1" applyFill="1" applyBorder="1" applyAlignment="1">
      <alignment horizontal="center" vertical="top"/>
    </xf>
    <xf numFmtId="1" fontId="6" fillId="0" borderId="42" xfId="0" applyNumberFormat="1" applyFont="1" applyFill="1" applyBorder="1" applyAlignment="1">
      <alignment horizontal="center" vertical="top"/>
    </xf>
    <xf numFmtId="164" fontId="6" fillId="0" borderId="24" xfId="0" applyNumberFormat="1" applyFont="1" applyFill="1" applyBorder="1" applyAlignment="1">
      <alignment horizontal="left" vertical="top" wrapText="1"/>
    </xf>
    <xf numFmtId="164" fontId="6" fillId="0" borderId="80" xfId="0" applyNumberFormat="1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0" fontId="6" fillId="4" borderId="55" xfId="0" applyNumberFormat="1" applyFont="1" applyFill="1" applyBorder="1" applyAlignment="1">
      <alignment horizontal="center" vertical="top" wrapText="1"/>
    </xf>
    <xf numFmtId="0" fontId="6" fillId="4" borderId="34" xfId="0" applyNumberFormat="1" applyFont="1" applyFill="1" applyBorder="1" applyAlignment="1">
      <alignment horizontal="center" vertical="top" wrapText="1"/>
    </xf>
    <xf numFmtId="0" fontId="9" fillId="9" borderId="40" xfId="0" applyFont="1" applyFill="1" applyBorder="1" applyAlignment="1">
      <alignment horizontal="center" vertical="top" wrapText="1"/>
    </xf>
    <xf numFmtId="0" fontId="9" fillId="9" borderId="41" xfId="0" applyFont="1" applyFill="1" applyBorder="1" applyAlignment="1">
      <alignment horizontal="center" vertical="top" wrapText="1"/>
    </xf>
    <xf numFmtId="0" fontId="9" fillId="9" borderId="67" xfId="0" applyFont="1" applyFill="1" applyBorder="1" applyAlignment="1">
      <alignment horizontal="center" vertical="top" wrapText="1"/>
    </xf>
    <xf numFmtId="0" fontId="6" fillId="4" borderId="80" xfId="0" applyNumberFormat="1" applyFont="1" applyFill="1" applyBorder="1" applyAlignment="1">
      <alignment horizontal="left" vertical="top" wrapText="1"/>
    </xf>
    <xf numFmtId="164" fontId="6" fillId="0" borderId="25" xfId="0" applyNumberFormat="1" applyFont="1" applyFill="1" applyBorder="1" applyAlignment="1">
      <alignment horizontal="left" vertical="top" wrapText="1"/>
    </xf>
    <xf numFmtId="3" fontId="15" fillId="0" borderId="0" xfId="0" applyNumberFormat="1" applyFont="1" applyAlignment="1">
      <alignment horizontal="center"/>
    </xf>
    <xf numFmtId="0" fontId="11" fillId="8" borderId="25" xfId="0" applyFont="1" applyFill="1" applyBorder="1" applyAlignment="1">
      <alignment horizontal="left" vertical="top" wrapText="1"/>
    </xf>
    <xf numFmtId="0" fontId="11" fillId="8" borderId="26" xfId="0" applyFont="1" applyFill="1" applyBorder="1" applyAlignment="1">
      <alignment horizontal="left" vertical="top" wrapText="1"/>
    </xf>
    <xf numFmtId="164" fontId="8" fillId="0" borderId="25" xfId="0" applyNumberFormat="1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49" fontId="13" fillId="8" borderId="36" xfId="0" applyNumberFormat="1" applyFont="1" applyFill="1" applyBorder="1" applyAlignment="1">
      <alignment horizontal="center" vertical="top"/>
    </xf>
    <xf numFmtId="164" fontId="8" fillId="0" borderId="15" xfId="0" applyNumberFormat="1" applyFont="1" applyBorder="1" applyAlignment="1">
      <alignment horizontal="center" vertical="top" wrapText="1"/>
    </xf>
    <xf numFmtId="49" fontId="8" fillId="6" borderId="63" xfId="0" applyNumberFormat="1" applyFont="1" applyFill="1" applyBorder="1" applyAlignment="1">
      <alignment horizontal="center" vertical="top"/>
    </xf>
    <xf numFmtId="49" fontId="8" fillId="6" borderId="41" xfId="0" applyNumberFormat="1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49" fontId="7" fillId="6" borderId="63" xfId="0" applyNumberFormat="1" applyFont="1" applyFill="1" applyBorder="1" applyAlignment="1">
      <alignment horizontal="right" vertical="top"/>
    </xf>
    <xf numFmtId="49" fontId="7" fillId="6" borderId="41" xfId="0" applyNumberFormat="1" applyFont="1" applyFill="1" applyBorder="1" applyAlignment="1">
      <alignment horizontal="right" vertical="top"/>
    </xf>
    <xf numFmtId="49" fontId="7" fillId="6" borderId="67" xfId="0" applyNumberFormat="1" applyFont="1" applyFill="1" applyBorder="1" applyAlignment="1">
      <alignment horizontal="right" vertical="top"/>
    </xf>
    <xf numFmtId="0" fontId="8" fillId="0" borderId="9" xfId="0" applyNumberFormat="1" applyFont="1" applyBorder="1" applyAlignment="1">
      <alignment horizontal="center" vertical="top" wrapText="1"/>
    </xf>
    <xf numFmtId="0" fontId="8" fillId="0" borderId="15" xfId="0" applyNumberFormat="1" applyFont="1" applyBorder="1" applyAlignment="1">
      <alignment horizontal="center" vertical="top" wrapText="1"/>
    </xf>
    <xf numFmtId="0" fontId="11" fillId="0" borderId="15" xfId="0" applyFont="1" applyFill="1" applyBorder="1" applyAlignment="1">
      <alignment horizontal="left" vertical="top" wrapText="1"/>
    </xf>
    <xf numFmtId="164" fontId="11" fillId="10" borderId="54" xfId="0" applyNumberFormat="1" applyFont="1" applyFill="1" applyBorder="1" applyAlignment="1">
      <alignment horizontal="center" vertical="top" wrapText="1"/>
    </xf>
    <xf numFmtId="164" fontId="11" fillId="10" borderId="60" xfId="0" applyNumberFormat="1" applyFont="1" applyFill="1" applyBorder="1" applyAlignment="1">
      <alignment horizontal="center" vertical="top" wrapText="1"/>
    </xf>
    <xf numFmtId="164" fontId="11" fillId="10" borderId="37" xfId="0" applyNumberFormat="1" applyFont="1" applyFill="1" applyBorder="1" applyAlignment="1">
      <alignment horizontal="center" vertical="top" wrapText="1"/>
    </xf>
    <xf numFmtId="3" fontId="8" fillId="4" borderId="5" xfId="0" applyNumberFormat="1" applyFont="1" applyFill="1" applyBorder="1" applyAlignment="1">
      <alignment horizontal="center" vertical="top"/>
    </xf>
    <xf numFmtId="3" fontId="8" fillId="4" borderId="10" xfId="0" applyNumberFormat="1" applyFont="1" applyFill="1" applyBorder="1" applyAlignment="1">
      <alignment horizontal="center" vertical="top"/>
    </xf>
    <xf numFmtId="3" fontId="8" fillId="4" borderId="7" xfId="0" applyNumberFormat="1" applyFont="1" applyFill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3" fontId="8" fillId="4" borderId="35" xfId="0" applyNumberFormat="1" applyFont="1" applyFill="1" applyBorder="1" applyAlignment="1">
      <alignment horizontal="center" vertical="top"/>
    </xf>
    <xf numFmtId="3" fontId="8" fillId="4" borderId="34" xfId="0" applyNumberFormat="1" applyFont="1" applyFill="1" applyBorder="1" applyAlignment="1">
      <alignment horizontal="center" vertical="top"/>
    </xf>
    <xf numFmtId="0" fontId="8" fillId="8" borderId="9" xfId="0" applyFont="1" applyFill="1" applyBorder="1" applyAlignment="1">
      <alignment horizontal="left" vertical="top" wrapText="1"/>
    </xf>
    <xf numFmtId="0" fontId="8" fillId="8" borderId="15" xfId="0" applyFont="1" applyFill="1" applyBorder="1" applyAlignment="1">
      <alignment horizontal="left" vertical="top" wrapText="1"/>
    </xf>
    <xf numFmtId="0" fontId="13" fillId="8" borderId="70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center" vertical="top" textRotation="90" wrapText="1"/>
    </xf>
    <xf numFmtId="0" fontId="11" fillId="0" borderId="28" xfId="0" applyFont="1" applyFill="1" applyBorder="1" applyAlignment="1">
      <alignment horizontal="center" vertical="top" textRotation="90" wrapText="1"/>
    </xf>
    <xf numFmtId="0" fontId="11" fillId="0" borderId="68" xfId="0" applyFont="1" applyFill="1" applyBorder="1" applyAlignment="1">
      <alignment horizontal="center" vertical="top" textRotation="90" wrapText="1"/>
    </xf>
    <xf numFmtId="49" fontId="7" fillId="0" borderId="22" xfId="0" applyNumberFormat="1" applyFont="1" applyBorder="1" applyAlignment="1">
      <alignment horizontal="center" vertical="top"/>
    </xf>
    <xf numFmtId="49" fontId="7" fillId="0" borderId="21" xfId="0" applyNumberFormat="1" applyFont="1" applyBorder="1" applyAlignment="1">
      <alignment horizontal="center" vertical="top"/>
    </xf>
    <xf numFmtId="49" fontId="7" fillId="0" borderId="44" xfId="0" applyNumberFormat="1" applyFont="1" applyBorder="1" applyAlignment="1">
      <alignment horizontal="center" vertical="top"/>
    </xf>
    <xf numFmtId="0" fontId="11" fillId="0" borderId="24" xfId="0" applyNumberFormat="1" applyFont="1" applyBorder="1" applyAlignment="1">
      <alignment horizontal="center" vertical="top" wrapText="1"/>
    </xf>
    <xf numFmtId="0" fontId="11" fillId="0" borderId="28" xfId="0" applyNumberFormat="1" applyFont="1" applyBorder="1" applyAlignment="1">
      <alignment horizontal="center" vertical="top" wrapText="1"/>
    </xf>
    <xf numFmtId="0" fontId="11" fillId="0" borderId="68" xfId="0" applyNumberFormat="1" applyFont="1" applyBorder="1" applyAlignment="1">
      <alignment horizontal="center" vertical="top" wrapText="1"/>
    </xf>
    <xf numFmtId="0" fontId="11" fillId="8" borderId="54" xfId="0" applyFont="1" applyFill="1" applyBorder="1" applyAlignment="1">
      <alignment horizontal="left" vertical="top" wrapText="1"/>
    </xf>
    <xf numFmtId="0" fontId="24" fillId="8" borderId="80" xfId="0" applyFont="1" applyFill="1" applyBorder="1" applyAlignment="1">
      <alignment horizontal="left" vertical="top" wrapText="1"/>
    </xf>
    <xf numFmtId="164" fontId="8" fillId="8" borderId="25" xfId="0" applyNumberFormat="1" applyFont="1" applyFill="1" applyBorder="1" applyAlignment="1">
      <alignment horizontal="center" vertical="top" wrapText="1"/>
    </xf>
    <xf numFmtId="164" fontId="8" fillId="8" borderId="15" xfId="0" applyNumberFormat="1" applyFont="1" applyFill="1" applyBorder="1" applyAlignment="1">
      <alignment horizontal="center" vertical="top" wrapText="1"/>
    </xf>
    <xf numFmtId="0" fontId="8" fillId="8" borderId="37" xfId="0" applyFont="1" applyFill="1" applyBorder="1" applyAlignment="1">
      <alignment horizontal="left" vertical="top" wrapText="1"/>
    </xf>
    <xf numFmtId="0" fontId="8" fillId="8" borderId="21" xfId="0" applyFont="1" applyFill="1" applyBorder="1" applyAlignment="1">
      <alignment horizontal="left" vertical="top" wrapText="1"/>
    </xf>
    <xf numFmtId="0" fontId="8" fillId="8" borderId="79" xfId="0" applyFont="1" applyFill="1" applyBorder="1" applyAlignment="1">
      <alignment horizontal="left" vertical="top" wrapText="1"/>
    </xf>
    <xf numFmtId="0" fontId="8" fillId="8" borderId="25" xfId="0" applyNumberFormat="1" applyFont="1" applyFill="1" applyBorder="1" applyAlignment="1">
      <alignment horizontal="center" vertical="top" wrapText="1"/>
    </xf>
    <xf numFmtId="0" fontId="8" fillId="8" borderId="15" xfId="0" applyNumberFormat="1" applyFont="1" applyFill="1" applyBorder="1" applyAlignment="1">
      <alignment horizontal="center" vertical="top" wrapText="1"/>
    </xf>
    <xf numFmtId="1" fontId="11" fillId="0" borderId="72" xfId="0" applyNumberFormat="1" applyFont="1" applyFill="1" applyBorder="1" applyAlignment="1">
      <alignment horizontal="center" vertical="top"/>
    </xf>
    <xf numFmtId="1" fontId="11" fillId="0" borderId="57" xfId="0" applyNumberFormat="1" applyFont="1" applyFill="1" applyBorder="1" applyAlignment="1">
      <alignment horizontal="center" vertical="top"/>
    </xf>
    <xf numFmtId="0" fontId="11" fillId="0" borderId="64" xfId="0" applyNumberFormat="1" applyFont="1" applyFill="1" applyBorder="1" applyAlignment="1">
      <alignment horizontal="center" vertical="top"/>
    </xf>
    <xf numFmtId="0" fontId="24" fillId="0" borderId="28" xfId="0" applyFont="1" applyBorder="1" applyAlignment="1">
      <alignment horizontal="left" vertical="top" wrapText="1"/>
    </xf>
    <xf numFmtId="49" fontId="13" fillId="0" borderId="34" xfId="0" applyNumberFormat="1" applyFont="1" applyBorder="1" applyAlignment="1">
      <alignment horizontal="center" vertical="top"/>
    </xf>
    <xf numFmtId="0" fontId="8" fillId="8" borderId="54" xfId="0" applyFont="1" applyFill="1" applyBorder="1" applyAlignment="1">
      <alignment horizontal="left" vertical="top" wrapText="1"/>
    </xf>
    <xf numFmtId="0" fontId="8" fillId="8" borderId="28" xfId="0" applyFont="1" applyFill="1" applyBorder="1" applyAlignment="1">
      <alignment horizontal="left" vertical="top" wrapText="1"/>
    </xf>
    <xf numFmtId="0" fontId="24" fillId="8" borderId="26" xfId="0" applyFont="1" applyFill="1" applyBorder="1" applyAlignment="1">
      <alignment horizontal="center" vertical="top" wrapText="1"/>
    </xf>
    <xf numFmtId="0" fontId="8" fillId="4" borderId="25" xfId="0" applyNumberFormat="1" applyFont="1" applyFill="1" applyBorder="1" applyAlignment="1">
      <alignment horizontal="left" vertical="top" wrapText="1"/>
    </xf>
    <xf numFmtId="0" fontId="8" fillId="4" borderId="26" xfId="0" applyNumberFormat="1" applyFont="1" applyFill="1" applyBorder="1" applyAlignment="1">
      <alignment horizontal="left" vertical="top" wrapText="1"/>
    </xf>
    <xf numFmtId="0" fontId="8" fillId="8" borderId="80" xfId="0" applyFont="1" applyFill="1" applyBorder="1" applyAlignment="1">
      <alignment horizontal="left" vertical="top" wrapText="1"/>
    </xf>
    <xf numFmtId="0" fontId="11" fillId="4" borderId="25" xfId="0" applyFont="1" applyFill="1" applyBorder="1" applyAlignment="1">
      <alignment horizontal="left" vertical="top" wrapText="1"/>
    </xf>
    <xf numFmtId="0" fontId="11" fillId="4" borderId="26" xfId="0" applyFont="1" applyFill="1" applyBorder="1" applyAlignment="1">
      <alignment horizontal="left" vertical="top" wrapText="1"/>
    </xf>
    <xf numFmtId="0" fontId="8" fillId="4" borderId="21" xfId="0" applyFont="1" applyFill="1" applyBorder="1" applyAlignment="1">
      <alignment horizontal="left" vertical="top" wrapText="1"/>
    </xf>
    <xf numFmtId="0" fontId="8" fillId="4" borderId="79" xfId="0" applyFont="1" applyFill="1" applyBorder="1" applyAlignment="1">
      <alignment horizontal="left" vertical="top" wrapText="1"/>
    </xf>
    <xf numFmtId="164" fontId="11" fillId="0" borderId="25" xfId="0" applyNumberFormat="1" applyFont="1" applyFill="1" applyBorder="1" applyAlignment="1">
      <alignment horizontal="left" vertical="top" wrapText="1"/>
    </xf>
    <xf numFmtId="164" fontId="11" fillId="0" borderId="24" xfId="0" applyNumberFormat="1" applyFont="1" applyFill="1" applyBorder="1" applyAlignment="1">
      <alignment horizontal="left" vertical="top" wrapText="1"/>
    </xf>
    <xf numFmtId="0" fontId="11" fillId="0" borderId="54" xfId="0" applyFont="1" applyFill="1" applyBorder="1" applyAlignment="1">
      <alignment horizontal="left" vertical="top" wrapText="1"/>
    </xf>
    <xf numFmtId="0" fontId="11" fillId="0" borderId="25" xfId="0" applyFont="1" applyFill="1" applyBorder="1" applyAlignment="1">
      <alignment horizontal="left" vertical="top" wrapText="1"/>
    </xf>
    <xf numFmtId="0" fontId="8" fillId="0" borderId="26" xfId="0" applyNumberFormat="1" applyFont="1" applyBorder="1" applyAlignment="1">
      <alignment horizontal="center" vertical="top" wrapText="1"/>
    </xf>
    <xf numFmtId="0" fontId="11" fillId="0" borderId="26" xfId="0" applyNumberFormat="1" applyFont="1" applyFill="1" applyBorder="1" applyAlignment="1">
      <alignment horizontal="left" vertical="top" wrapText="1"/>
    </xf>
    <xf numFmtId="49" fontId="11" fillId="0" borderId="7" xfId="0" applyNumberFormat="1" applyFont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49" fontId="11" fillId="0" borderId="19" xfId="0" applyNumberFormat="1" applyFont="1" applyBorder="1" applyAlignment="1">
      <alignment horizontal="center" vertical="top" wrapText="1"/>
    </xf>
    <xf numFmtId="0" fontId="11" fillId="8" borderId="64" xfId="0" applyNumberFormat="1" applyFont="1" applyFill="1" applyBorder="1" applyAlignment="1">
      <alignment horizontal="center" vertical="top"/>
    </xf>
    <xf numFmtId="0" fontId="8" fillId="8" borderId="25" xfId="0" applyFont="1" applyFill="1" applyBorder="1" applyAlignment="1">
      <alignment horizontal="left" vertical="top" wrapText="1"/>
    </xf>
    <xf numFmtId="0" fontId="8" fillId="8" borderId="26" xfId="0" applyFont="1" applyFill="1" applyBorder="1" applyAlignment="1">
      <alignment horizontal="left" vertical="top" wrapText="1"/>
    </xf>
    <xf numFmtId="0" fontId="11" fillId="6" borderId="40" xfId="0" applyNumberFormat="1" applyFont="1" applyFill="1" applyBorder="1" applyAlignment="1">
      <alignment horizontal="center" vertical="top" wrapText="1"/>
    </xf>
    <xf numFmtId="0" fontId="11" fillId="6" borderId="41" xfId="0" applyNumberFormat="1" applyFont="1" applyFill="1" applyBorder="1" applyAlignment="1">
      <alignment horizontal="center" vertical="top" wrapText="1"/>
    </xf>
    <xf numFmtId="0" fontId="11" fillId="6" borderId="67" xfId="0" applyNumberFormat="1" applyFont="1" applyFill="1" applyBorder="1" applyAlignment="1">
      <alignment horizontal="center" vertical="top" wrapText="1"/>
    </xf>
    <xf numFmtId="0" fontId="11" fillId="4" borderId="55" xfId="0" applyNumberFormat="1" applyFont="1" applyFill="1" applyBorder="1" applyAlignment="1">
      <alignment horizontal="center" vertical="top" wrapText="1"/>
    </xf>
    <xf numFmtId="49" fontId="7" fillId="3" borderId="23" xfId="0" applyNumberFormat="1" applyFont="1" applyFill="1" applyBorder="1" applyAlignment="1">
      <alignment horizontal="right" vertical="top"/>
    </xf>
    <xf numFmtId="49" fontId="7" fillId="3" borderId="75" xfId="0" applyNumberFormat="1" applyFont="1" applyFill="1" applyBorder="1" applyAlignment="1">
      <alignment horizontal="right" vertical="top"/>
    </xf>
    <xf numFmtId="164" fontId="11" fillId="3" borderId="27" xfId="0" applyNumberFormat="1" applyFont="1" applyFill="1" applyBorder="1" applyAlignment="1">
      <alignment horizontal="center" vertical="center"/>
    </xf>
    <xf numFmtId="164" fontId="11" fillId="3" borderId="23" xfId="0" applyNumberFormat="1" applyFont="1" applyFill="1" applyBorder="1" applyAlignment="1">
      <alignment horizontal="center" vertical="center"/>
    </xf>
    <xf numFmtId="164" fontId="11" fillId="3" borderId="75" xfId="0" applyNumberFormat="1" applyFont="1" applyFill="1" applyBorder="1" applyAlignment="1">
      <alignment horizontal="center" vertical="center"/>
    </xf>
    <xf numFmtId="1" fontId="11" fillId="8" borderId="1" xfId="0" applyNumberFormat="1" applyFont="1" applyFill="1" applyBorder="1" applyAlignment="1">
      <alignment horizontal="center" vertical="top"/>
    </xf>
    <xf numFmtId="1" fontId="11" fillId="8" borderId="51" xfId="0" applyNumberFormat="1" applyFont="1" applyFill="1" applyBorder="1" applyAlignment="1">
      <alignment horizontal="center" vertical="top"/>
    </xf>
    <xf numFmtId="0" fontId="11" fillId="8" borderId="9" xfId="0" applyFont="1" applyFill="1" applyBorder="1" applyAlignment="1">
      <alignment horizontal="left" vertical="top" wrapText="1"/>
    </xf>
    <xf numFmtId="0" fontId="11" fillId="8" borderId="15" xfId="0" applyFont="1" applyFill="1" applyBorder="1" applyAlignment="1">
      <alignment horizontal="left" vertical="top" wrapText="1"/>
    </xf>
    <xf numFmtId="0" fontId="11" fillId="8" borderId="70" xfId="0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8" fillId="4" borderId="28" xfId="0" applyFont="1" applyFill="1" applyBorder="1" applyAlignment="1">
      <alignment horizontal="left" vertical="top" wrapText="1"/>
    </xf>
    <xf numFmtId="0" fontId="8" fillId="4" borderId="80" xfId="0" applyFont="1" applyFill="1" applyBorder="1" applyAlignment="1">
      <alignment horizontal="left" vertical="top" wrapText="1"/>
    </xf>
    <xf numFmtId="0" fontId="8" fillId="0" borderId="25" xfId="0" applyNumberFormat="1" applyFont="1" applyBorder="1" applyAlignment="1">
      <alignment horizontal="center" vertical="top" wrapText="1"/>
    </xf>
    <xf numFmtId="0" fontId="13" fillId="3" borderId="23" xfId="0" applyFont="1" applyFill="1" applyBorder="1" applyAlignment="1">
      <alignment horizontal="left" vertical="top"/>
    </xf>
    <xf numFmtId="0" fontId="13" fillId="3" borderId="75" xfId="0" applyFont="1" applyFill="1" applyBorder="1" applyAlignment="1">
      <alignment horizontal="left" vertical="top"/>
    </xf>
    <xf numFmtId="0" fontId="11" fillId="4" borderId="43" xfId="0" applyNumberFormat="1" applyFont="1" applyFill="1" applyBorder="1" applyAlignment="1">
      <alignment horizontal="center" vertical="top" wrapText="1"/>
    </xf>
    <xf numFmtId="0" fontId="7" fillId="5" borderId="27" xfId="0" applyFont="1" applyFill="1" applyBorder="1" applyAlignment="1">
      <alignment horizontal="left" vertical="top" wrapText="1"/>
    </xf>
    <xf numFmtId="0" fontId="7" fillId="5" borderId="23" xfId="0" applyFont="1" applyFill="1" applyBorder="1" applyAlignment="1">
      <alignment horizontal="left" vertical="top" wrapText="1"/>
    </xf>
    <xf numFmtId="0" fontId="7" fillId="5" borderId="75" xfId="0" applyFont="1" applyFill="1" applyBorder="1" applyAlignment="1">
      <alignment horizontal="left" vertical="top" wrapText="1"/>
    </xf>
    <xf numFmtId="164" fontId="13" fillId="5" borderId="27" xfId="0" applyNumberFormat="1" applyFont="1" applyFill="1" applyBorder="1" applyAlignment="1">
      <alignment horizontal="center" vertical="top" wrapText="1"/>
    </xf>
    <xf numFmtId="164" fontId="13" fillId="5" borderId="23" xfId="0" applyNumberFormat="1" applyFont="1" applyFill="1" applyBorder="1" applyAlignment="1">
      <alignment horizontal="center" vertical="top" wrapText="1"/>
    </xf>
    <xf numFmtId="164" fontId="13" fillId="5" borderId="75" xfId="0" applyNumberFormat="1" applyFont="1" applyFill="1" applyBorder="1" applyAlignment="1">
      <alignment horizontal="center" vertical="top" wrapText="1"/>
    </xf>
    <xf numFmtId="0" fontId="11" fillId="4" borderId="28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 wrapText="1"/>
    </xf>
    <xf numFmtId="164" fontId="8" fillId="0" borderId="32" xfId="0" applyNumberFormat="1" applyFont="1" applyBorder="1" applyAlignment="1">
      <alignment horizontal="center" vertical="top" wrapText="1"/>
    </xf>
    <xf numFmtId="164" fontId="8" fillId="0" borderId="33" xfId="0" applyNumberFormat="1" applyFont="1" applyBorder="1" applyAlignment="1">
      <alignment horizontal="center" vertical="top" wrapText="1"/>
    </xf>
    <xf numFmtId="164" fontId="8" fillId="0" borderId="77" xfId="0" applyNumberFormat="1" applyFont="1" applyBorder="1" applyAlignment="1">
      <alignment horizontal="center" vertical="top" wrapText="1"/>
    </xf>
    <xf numFmtId="0" fontId="11" fillId="0" borderId="40" xfId="0" applyFont="1" applyFill="1" applyBorder="1" applyAlignment="1">
      <alignment horizontal="left" vertical="top" wrapText="1"/>
    </xf>
    <xf numFmtId="0" fontId="11" fillId="0" borderId="41" xfId="0" applyFont="1" applyFill="1" applyBorder="1" applyAlignment="1">
      <alignment horizontal="left" vertical="top" wrapText="1"/>
    </xf>
    <xf numFmtId="0" fontId="11" fillId="0" borderId="67" xfId="0" applyFont="1" applyFill="1" applyBorder="1" applyAlignment="1">
      <alignment horizontal="left" vertical="top" wrapText="1"/>
    </xf>
    <xf numFmtId="164" fontId="8" fillId="0" borderId="40" xfId="0" applyNumberFormat="1" applyFont="1" applyFill="1" applyBorder="1" applyAlignment="1">
      <alignment horizontal="center" vertical="top" wrapText="1"/>
    </xf>
    <xf numFmtId="164" fontId="8" fillId="0" borderId="41" xfId="0" applyNumberFormat="1" applyFont="1" applyFill="1" applyBorder="1" applyAlignment="1">
      <alignment horizontal="center" vertical="top" wrapText="1"/>
    </xf>
    <xf numFmtId="164" fontId="8" fillId="0" borderId="67" xfId="0" applyNumberFormat="1" applyFont="1" applyFill="1" applyBorder="1" applyAlignment="1">
      <alignment horizontal="center" vertical="top" wrapText="1"/>
    </xf>
    <xf numFmtId="0" fontId="11" fillId="0" borderId="56" xfId="0" applyFont="1" applyBorder="1" applyAlignment="1">
      <alignment horizontal="left" vertical="top" wrapText="1"/>
    </xf>
    <xf numFmtId="0" fontId="11" fillId="0" borderId="69" xfId="0" applyFont="1" applyBorder="1" applyAlignment="1">
      <alignment horizontal="left" vertical="top" wrapText="1"/>
    </xf>
    <xf numFmtId="0" fontId="11" fillId="0" borderId="76" xfId="0" applyFont="1" applyBorder="1" applyAlignment="1">
      <alignment horizontal="left" vertical="top" wrapText="1"/>
    </xf>
    <xf numFmtId="164" fontId="8" fillId="0" borderId="56" xfId="0" applyNumberFormat="1" applyFont="1" applyBorder="1" applyAlignment="1">
      <alignment horizontal="center" vertical="top" wrapText="1"/>
    </xf>
    <xf numFmtId="164" fontId="8" fillId="0" borderId="69" xfId="0" applyNumberFormat="1" applyFont="1" applyBorder="1" applyAlignment="1">
      <alignment horizontal="center" vertical="top" wrapText="1"/>
    </xf>
    <xf numFmtId="164" fontId="8" fillId="0" borderId="76" xfId="0" applyNumberFormat="1" applyFont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left" vertical="top" wrapText="1"/>
    </xf>
    <xf numFmtId="164" fontId="8" fillId="0" borderId="54" xfId="0" applyNumberFormat="1" applyFont="1" applyFill="1" applyBorder="1" applyAlignment="1">
      <alignment horizontal="center" vertical="top" wrapText="1"/>
    </xf>
    <xf numFmtId="164" fontId="8" fillId="0" borderId="60" xfId="0" applyNumberFormat="1" applyFont="1" applyFill="1" applyBorder="1" applyAlignment="1">
      <alignment horizontal="center" vertical="top" wrapText="1"/>
    </xf>
    <xf numFmtId="164" fontId="8" fillId="0" borderId="37" xfId="0" applyNumberFormat="1" applyFont="1" applyFill="1" applyBorder="1" applyAlignment="1">
      <alignment horizontal="center" vertical="top" wrapText="1"/>
    </xf>
    <xf numFmtId="164" fontId="15" fillId="0" borderId="8" xfId="0" applyNumberFormat="1" applyFont="1" applyBorder="1" applyAlignment="1">
      <alignment horizontal="center"/>
    </xf>
    <xf numFmtId="0" fontId="11" fillId="0" borderId="28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164" fontId="8" fillId="0" borderId="40" xfId="0" applyNumberFormat="1" applyFont="1" applyBorder="1" applyAlignment="1">
      <alignment horizontal="center" vertical="top" wrapText="1"/>
    </xf>
    <xf numFmtId="164" fontId="8" fillId="0" borderId="41" xfId="0" applyNumberFormat="1" applyFont="1" applyBorder="1" applyAlignment="1">
      <alignment horizontal="center" vertical="top" wrapText="1"/>
    </xf>
    <xf numFmtId="164" fontId="8" fillId="0" borderId="67" xfId="0" applyNumberFormat="1" applyFont="1" applyBorder="1" applyAlignment="1">
      <alignment horizontal="center" vertical="top" wrapText="1"/>
    </xf>
    <xf numFmtId="0" fontId="7" fillId="9" borderId="27" xfId="0" applyFont="1" applyFill="1" applyBorder="1" applyAlignment="1">
      <alignment horizontal="right" vertical="top" wrapText="1"/>
    </xf>
    <xf numFmtId="0" fontId="7" fillId="9" borderId="23" xfId="0" applyFont="1" applyFill="1" applyBorder="1" applyAlignment="1">
      <alignment horizontal="right" vertical="top" wrapText="1"/>
    </xf>
    <xf numFmtId="0" fontId="7" fillId="9" borderId="75" xfId="0" applyFont="1" applyFill="1" applyBorder="1" applyAlignment="1">
      <alignment horizontal="right" vertical="top" wrapText="1"/>
    </xf>
    <xf numFmtId="164" fontId="13" fillId="9" borderId="27" xfId="0" applyNumberFormat="1" applyFont="1" applyFill="1" applyBorder="1" applyAlignment="1">
      <alignment horizontal="center" vertical="top" wrapText="1"/>
    </xf>
    <xf numFmtId="164" fontId="13" fillId="9" borderId="23" xfId="0" applyNumberFormat="1" applyFont="1" applyFill="1" applyBorder="1" applyAlignment="1">
      <alignment horizontal="center" vertical="top" wrapText="1"/>
    </xf>
    <xf numFmtId="164" fontId="13" fillId="9" borderId="75" xfId="0" applyNumberFormat="1" applyFont="1" applyFill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8" fillId="0" borderId="8" xfId="0" applyNumberFormat="1" applyFont="1" applyBorder="1" applyAlignment="1">
      <alignment horizontal="center" vertical="top" wrapText="1"/>
    </xf>
    <xf numFmtId="164" fontId="8" fillId="0" borderId="22" xfId="0" applyNumberFormat="1" applyFont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164" fontId="7" fillId="0" borderId="27" xfId="0" applyNumberFormat="1" applyFont="1" applyBorder="1" applyAlignment="1">
      <alignment horizontal="center" vertical="center" wrapText="1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75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75" xfId="0" applyFont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right" vertical="top"/>
    </xf>
    <xf numFmtId="164" fontId="11" fillId="2" borderId="27" xfId="0" applyNumberFormat="1" applyFont="1" applyFill="1" applyBorder="1" applyAlignment="1">
      <alignment horizontal="center" vertical="top"/>
    </xf>
    <xf numFmtId="164" fontId="11" fillId="2" borderId="23" xfId="0" applyNumberFormat="1" applyFont="1" applyFill="1" applyBorder="1" applyAlignment="1">
      <alignment horizontal="center" vertical="top"/>
    </xf>
    <xf numFmtId="164" fontId="11" fillId="2" borderId="75" xfId="0" applyNumberFormat="1" applyFont="1" applyFill="1" applyBorder="1" applyAlignment="1">
      <alignment horizontal="center" vertical="top"/>
    </xf>
    <xf numFmtId="2" fontId="7" fillId="5" borderId="29" xfId="0" applyNumberFormat="1" applyFont="1" applyFill="1" applyBorder="1" applyAlignment="1">
      <alignment horizontal="right" vertical="center"/>
    </xf>
    <xf numFmtId="2" fontId="7" fillId="5" borderId="23" xfId="0" applyNumberFormat="1" applyFont="1" applyFill="1" applyBorder="1" applyAlignment="1">
      <alignment horizontal="right" vertical="center"/>
    </xf>
    <xf numFmtId="0" fontId="8" fillId="0" borderId="8" xfId="0" applyNumberFormat="1" applyFont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top" wrapText="1"/>
    </xf>
    <xf numFmtId="164" fontId="11" fillId="3" borderId="27" xfId="0" applyNumberFormat="1" applyFont="1" applyFill="1" applyBorder="1" applyAlignment="1">
      <alignment horizontal="center" vertical="top"/>
    </xf>
    <xf numFmtId="164" fontId="11" fillId="3" borderId="23" xfId="0" applyNumberFormat="1" applyFont="1" applyFill="1" applyBorder="1" applyAlignment="1">
      <alignment horizontal="center" vertical="top"/>
    </xf>
    <xf numFmtId="164" fontId="11" fillId="3" borderId="75" xfId="0" applyNumberFormat="1" applyFont="1" applyFill="1" applyBorder="1" applyAlignment="1">
      <alignment horizontal="center" vertical="top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49" fontId="7" fillId="4" borderId="12" xfId="0" applyNumberFormat="1" applyFont="1" applyFill="1" applyBorder="1" applyAlignment="1">
      <alignment horizontal="center" vertical="top"/>
    </xf>
    <xf numFmtId="49" fontId="7" fillId="4" borderId="19" xfId="0" applyNumberFormat="1" applyFont="1" applyFill="1" applyBorder="1" applyAlignment="1">
      <alignment horizontal="center" vertical="top"/>
    </xf>
    <xf numFmtId="49" fontId="11" fillId="0" borderId="43" xfId="0" applyNumberFormat="1" applyFont="1" applyBorder="1" applyAlignment="1">
      <alignment horizontal="center" vertical="top" wrapText="1"/>
    </xf>
    <xf numFmtId="49" fontId="7" fillId="0" borderId="34" xfId="0" applyNumberFormat="1" applyFont="1" applyBorder="1" applyAlignment="1">
      <alignment horizontal="center" vertical="top"/>
    </xf>
    <xf numFmtId="49" fontId="7" fillId="0" borderId="31" xfId="0" applyNumberFormat="1" applyFont="1" applyBorder="1" applyAlignment="1">
      <alignment horizontal="center" vertical="top"/>
    </xf>
    <xf numFmtId="49" fontId="7" fillId="4" borderId="6" xfId="0" applyNumberFormat="1" applyFont="1" applyFill="1" applyBorder="1" applyAlignment="1">
      <alignment horizontal="center" vertical="top"/>
    </xf>
    <xf numFmtId="49" fontId="7" fillId="4" borderId="11" xfId="0" applyNumberFormat="1" applyFont="1" applyFill="1" applyBorder="1" applyAlignment="1">
      <alignment horizontal="center" vertical="top"/>
    </xf>
    <xf numFmtId="49" fontId="7" fillId="4" borderId="18" xfId="0" applyNumberFormat="1" applyFont="1" applyFill="1" applyBorder="1" applyAlignment="1">
      <alignment horizontal="center" vertical="top"/>
    </xf>
    <xf numFmtId="0" fontId="8" fillId="0" borderId="70" xfId="0" applyNumberFormat="1" applyFont="1" applyBorder="1" applyAlignment="1">
      <alignment horizontal="center" vertical="top" wrapText="1"/>
    </xf>
    <xf numFmtId="0" fontId="11" fillId="10" borderId="41" xfId="0" applyFont="1" applyFill="1" applyBorder="1" applyAlignment="1">
      <alignment horizontal="center" vertical="top" wrapText="1"/>
    </xf>
    <xf numFmtId="0" fontId="11" fillId="10" borderId="67" xfId="0" applyFont="1" applyFill="1" applyBorder="1" applyAlignment="1">
      <alignment horizontal="center" vertical="top" wrapText="1"/>
    </xf>
    <xf numFmtId="49" fontId="7" fillId="2" borderId="46" xfId="0" applyNumberFormat="1" applyFont="1" applyFill="1" applyBorder="1" applyAlignment="1">
      <alignment horizontal="center" vertical="top"/>
    </xf>
    <xf numFmtId="49" fontId="7" fillId="2" borderId="10" xfId="0" applyNumberFormat="1" applyFont="1" applyFill="1" applyBorder="1" applyAlignment="1">
      <alignment horizontal="center" vertical="top"/>
    </xf>
    <xf numFmtId="49" fontId="7" fillId="3" borderId="47" xfId="0" applyNumberFormat="1" applyFont="1" applyFill="1" applyBorder="1" applyAlignment="1">
      <alignment horizontal="center" vertical="top"/>
    </xf>
    <xf numFmtId="49" fontId="7" fillId="3" borderId="12" xfId="0" applyNumberFormat="1" applyFont="1" applyFill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top"/>
    </xf>
    <xf numFmtId="49" fontId="7" fillId="6" borderId="18" xfId="0" applyNumberFormat="1" applyFont="1" applyFill="1" applyBorder="1" applyAlignment="1">
      <alignment horizontal="center" vertical="top"/>
    </xf>
    <xf numFmtId="49" fontId="7" fillId="6" borderId="41" xfId="0" applyNumberFormat="1" applyFont="1" applyFill="1" applyBorder="1" applyAlignment="1">
      <alignment horizontal="center" vertical="top"/>
    </xf>
    <xf numFmtId="49" fontId="7" fillId="6" borderId="67" xfId="0" applyNumberFormat="1" applyFont="1" applyFill="1" applyBorder="1" applyAlignment="1">
      <alignment horizontal="center" vertical="top"/>
    </xf>
    <xf numFmtId="49" fontId="7" fillId="3" borderId="27" xfId="0" applyNumberFormat="1" applyFont="1" applyFill="1" applyBorder="1" applyAlignment="1">
      <alignment horizontal="right" vertical="top"/>
    </xf>
    <xf numFmtId="49" fontId="7" fillId="0" borderId="52" xfId="0" applyNumberFormat="1" applyFont="1" applyBorder="1" applyAlignment="1">
      <alignment horizontal="center" vertical="center" textRotation="90"/>
    </xf>
    <xf numFmtId="49" fontId="7" fillId="0" borderId="10" xfId="0" applyNumberFormat="1" applyFont="1" applyBorder="1" applyAlignment="1">
      <alignment horizontal="center" vertical="center" textRotation="90"/>
    </xf>
    <xf numFmtId="49" fontId="7" fillId="0" borderId="38" xfId="0" applyNumberFormat="1" applyFont="1" applyBorder="1" applyAlignment="1">
      <alignment horizontal="center" vertical="center" textRotation="90"/>
    </xf>
    <xf numFmtId="49" fontId="7" fillId="3" borderId="27" xfId="0" applyNumberFormat="1" applyFont="1" applyFill="1" applyBorder="1" applyAlignment="1">
      <alignment horizontal="left" vertical="top"/>
    </xf>
    <xf numFmtId="49" fontId="7" fillId="3" borderId="23" xfId="0" applyNumberFormat="1" applyFont="1" applyFill="1" applyBorder="1" applyAlignment="1">
      <alignment horizontal="left" vertical="top"/>
    </xf>
    <xf numFmtId="49" fontId="7" fillId="3" borderId="75" xfId="0" applyNumberFormat="1" applyFont="1" applyFill="1" applyBorder="1" applyAlignment="1">
      <alignment horizontal="left" vertical="top"/>
    </xf>
    <xf numFmtId="164" fontId="11" fillId="6" borderId="40" xfId="0" applyNumberFormat="1" applyFont="1" applyFill="1" applyBorder="1" applyAlignment="1">
      <alignment horizontal="center" vertical="top"/>
    </xf>
    <xf numFmtId="164" fontId="11" fillId="6" borderId="41" xfId="0" applyNumberFormat="1" applyFont="1" applyFill="1" applyBorder="1" applyAlignment="1">
      <alignment horizontal="center" vertical="top"/>
    </xf>
    <xf numFmtId="164" fontId="11" fillId="6" borderId="67" xfId="0" applyNumberFormat="1" applyFont="1" applyFill="1" applyBorder="1" applyAlignment="1">
      <alignment horizontal="center" vertical="top"/>
    </xf>
    <xf numFmtId="49" fontId="11" fillId="0" borderId="39" xfId="0" applyNumberFormat="1" applyFont="1" applyBorder="1" applyAlignment="1">
      <alignment horizontal="center" vertical="top" wrapText="1"/>
    </xf>
    <xf numFmtId="0" fontId="24" fillId="8" borderId="15" xfId="0" applyFont="1" applyFill="1" applyBorder="1" applyAlignment="1">
      <alignment horizontal="center" vertical="top" wrapText="1"/>
    </xf>
    <xf numFmtId="49" fontId="7" fillId="2" borderId="5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0" fontId="11" fillId="8" borderId="24" xfId="0" applyFont="1" applyFill="1" applyBorder="1" applyAlignment="1">
      <alignment horizontal="left" vertical="top" wrapText="1"/>
    </xf>
    <xf numFmtId="0" fontId="11" fillId="8" borderId="28" xfId="0" applyFont="1" applyFill="1" applyBorder="1" applyAlignment="1">
      <alignment horizontal="left" vertical="top" wrapText="1"/>
    </xf>
    <xf numFmtId="0" fontId="11" fillId="8" borderId="68" xfId="0" applyFont="1" applyFill="1" applyBorder="1" applyAlignment="1">
      <alignment horizontal="left" vertical="top" wrapText="1"/>
    </xf>
    <xf numFmtId="0" fontId="11" fillId="0" borderId="9" xfId="0" applyNumberFormat="1" applyFont="1" applyBorder="1" applyAlignment="1">
      <alignment horizontal="center" vertical="top" wrapText="1"/>
    </xf>
    <xf numFmtId="0" fontId="11" fillId="0" borderId="15" xfId="0" applyNumberFormat="1" applyFont="1" applyBorder="1" applyAlignment="1">
      <alignment horizontal="center" vertical="top" wrapText="1"/>
    </xf>
    <xf numFmtId="0" fontId="11" fillId="0" borderId="70" xfId="0" applyNumberFormat="1" applyFont="1" applyBorder="1" applyAlignment="1">
      <alignment horizontal="center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0" fontId="8" fillId="0" borderId="70" xfId="0" applyFont="1" applyFill="1" applyBorder="1" applyAlignment="1">
      <alignment horizontal="left" vertical="top" wrapText="1"/>
    </xf>
    <xf numFmtId="0" fontId="8" fillId="0" borderId="9" xfId="0" applyNumberFormat="1" applyFont="1" applyFill="1" applyBorder="1" applyAlignment="1">
      <alignment horizontal="center" vertical="top" wrapText="1"/>
    </xf>
    <xf numFmtId="0" fontId="8" fillId="0" borderId="15" xfId="0" applyNumberFormat="1" applyFont="1" applyFill="1" applyBorder="1" applyAlignment="1">
      <alignment horizontal="center" vertical="top" wrapText="1"/>
    </xf>
    <xf numFmtId="0" fontId="8" fillId="0" borderId="70" xfId="0" applyNumberFormat="1" applyFont="1" applyFill="1" applyBorder="1" applyAlignment="1">
      <alignment horizontal="center" vertical="top" wrapText="1"/>
    </xf>
    <xf numFmtId="0" fontId="8" fillId="4" borderId="24" xfId="0" applyFont="1" applyFill="1" applyBorder="1" applyAlignment="1">
      <alignment horizontal="left" vertical="top" wrapText="1"/>
    </xf>
    <xf numFmtId="49" fontId="13" fillId="2" borderId="5" xfId="0" applyNumberFormat="1" applyFont="1" applyFill="1" applyBorder="1" applyAlignment="1">
      <alignment horizontal="center" vertical="top"/>
    </xf>
    <xf numFmtId="49" fontId="13" fillId="2" borderId="17" xfId="0" applyNumberFormat="1" applyFont="1" applyFill="1" applyBorder="1" applyAlignment="1">
      <alignment horizontal="center" vertical="top"/>
    </xf>
    <xf numFmtId="49" fontId="13" fillId="3" borderId="7" xfId="0" applyNumberFormat="1" applyFont="1" applyFill="1" applyBorder="1" applyAlignment="1">
      <alignment horizontal="center" vertical="top"/>
    </xf>
    <xf numFmtId="49" fontId="13" fillId="3" borderId="19" xfId="0" applyNumberFormat="1" applyFont="1" applyFill="1" applyBorder="1" applyAlignment="1">
      <alignment horizontal="center" vertical="top"/>
    </xf>
    <xf numFmtId="49" fontId="13" fillId="0" borderId="7" xfId="0" applyNumberFormat="1" applyFont="1" applyBorder="1" applyAlignment="1">
      <alignment horizontal="center" vertical="top"/>
    </xf>
    <xf numFmtId="49" fontId="13" fillId="0" borderId="19" xfId="0" applyNumberFormat="1" applyFont="1" applyBorder="1" applyAlignment="1">
      <alignment horizontal="center" vertical="top"/>
    </xf>
    <xf numFmtId="0" fontId="7" fillId="0" borderId="24" xfId="0" applyFont="1" applyFill="1" applyBorder="1" applyAlignment="1">
      <alignment horizontal="center" vertical="center" textRotation="90" wrapText="1"/>
    </xf>
    <xf numFmtId="0" fontId="7" fillId="0" borderId="68" xfId="0" applyFont="1" applyFill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top"/>
    </xf>
    <xf numFmtId="0" fontId="11" fillId="0" borderId="19" xfId="0" applyFont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13" fillId="0" borderId="20" xfId="0" applyNumberFormat="1" applyFont="1" applyBorder="1" applyAlignment="1">
      <alignment horizontal="center" vertical="top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70" xfId="0" applyNumberFormat="1" applyFont="1" applyBorder="1" applyAlignment="1">
      <alignment horizontal="center" vertical="top" wrapText="1"/>
    </xf>
    <xf numFmtId="164" fontId="11" fillId="0" borderId="15" xfId="0" applyNumberFormat="1" applyFont="1" applyFill="1" applyBorder="1" applyAlignment="1">
      <alignment horizontal="left" vertical="top" wrapText="1"/>
    </xf>
    <xf numFmtId="164" fontId="11" fillId="0" borderId="26" xfId="0" applyNumberFormat="1" applyFont="1" applyFill="1" applyBorder="1" applyAlignment="1">
      <alignment horizontal="left" vertical="top" wrapText="1"/>
    </xf>
    <xf numFmtId="49" fontId="11" fillId="0" borderId="38" xfId="0" applyNumberFormat="1" applyFont="1" applyFill="1" applyBorder="1" applyAlignment="1">
      <alignment horizontal="center" vertical="top"/>
    </xf>
    <xf numFmtId="49" fontId="8" fillId="6" borderId="11" xfId="0" applyNumberFormat="1" applyFont="1" applyFill="1" applyBorder="1" applyAlignment="1">
      <alignment horizontal="center" vertical="top"/>
    </xf>
    <xf numFmtId="49" fontId="8" fillId="6" borderId="66" xfId="0" applyNumberFormat="1" applyFont="1" applyFill="1" applyBorder="1" applyAlignment="1">
      <alignment horizontal="center" vertical="top"/>
    </xf>
    <xf numFmtId="0" fontId="8" fillId="4" borderId="15" xfId="0" applyFont="1" applyFill="1" applyBorder="1" applyAlignment="1">
      <alignment horizontal="left" vertical="top" wrapText="1"/>
    </xf>
    <xf numFmtId="0" fontId="8" fillId="4" borderId="26" xfId="0" applyFont="1" applyFill="1" applyBorder="1" applyAlignment="1">
      <alignment horizontal="left" vertical="top" wrapText="1"/>
    </xf>
    <xf numFmtId="0" fontId="8" fillId="4" borderId="15" xfId="0" applyFont="1" applyFill="1" applyBorder="1" applyAlignment="1">
      <alignment horizontal="center" vertical="top" wrapText="1"/>
    </xf>
    <xf numFmtId="0" fontId="8" fillId="4" borderId="26" xfId="0" applyFont="1" applyFill="1" applyBorder="1" applyAlignment="1">
      <alignment horizontal="center" vertical="top" wrapText="1"/>
    </xf>
    <xf numFmtId="2" fontId="11" fillId="0" borderId="37" xfId="0" applyNumberFormat="1" applyFont="1" applyFill="1" applyBorder="1" applyAlignment="1">
      <alignment horizontal="left" vertical="top" wrapText="1"/>
    </xf>
    <xf numFmtId="2" fontId="11" fillId="0" borderId="21" xfId="0" applyNumberFormat="1" applyFont="1" applyFill="1" applyBorder="1" applyAlignment="1">
      <alignment horizontal="left" vertical="top" wrapText="1"/>
    </xf>
    <xf numFmtId="49" fontId="8" fillId="6" borderId="55" xfId="0" applyNumberFormat="1" applyFont="1" applyFill="1" applyBorder="1" applyAlignment="1">
      <alignment horizontal="center" vertical="top"/>
    </xf>
    <xf numFmtId="49" fontId="8" fillId="6" borderId="34" xfId="0" applyNumberFormat="1" applyFont="1" applyFill="1" applyBorder="1" applyAlignment="1">
      <alignment horizontal="center" vertical="top"/>
    </xf>
    <xf numFmtId="49" fontId="8" fillId="6" borderId="36" xfId="0" applyNumberFormat="1" applyFont="1" applyFill="1" applyBorder="1" applyAlignment="1">
      <alignment horizontal="center" vertical="top"/>
    </xf>
    <xf numFmtId="164" fontId="11" fillId="0" borderId="60" xfId="0" applyNumberFormat="1" applyFont="1" applyFill="1" applyBorder="1" applyAlignment="1">
      <alignment horizontal="left" vertical="top" wrapText="1"/>
    </xf>
    <xf numFmtId="164" fontId="11" fillId="0" borderId="78" xfId="0" applyNumberFormat="1" applyFont="1" applyFill="1" applyBorder="1" applyAlignment="1">
      <alignment horizontal="left" vertical="top" wrapText="1"/>
    </xf>
    <xf numFmtId="49" fontId="11" fillId="0" borderId="52" xfId="0" applyNumberFormat="1" applyFont="1" applyFill="1" applyBorder="1" applyAlignment="1">
      <alignment horizontal="center" vertical="top"/>
    </xf>
    <xf numFmtId="2" fontId="11" fillId="0" borderId="25" xfId="0" applyNumberFormat="1" applyFont="1" applyFill="1" applyBorder="1" applyAlignment="1">
      <alignment horizontal="left" vertical="top" wrapText="1"/>
    </xf>
    <xf numFmtId="2" fontId="11" fillId="0" borderId="15" xfId="0" applyNumberFormat="1" applyFont="1" applyFill="1" applyBorder="1" applyAlignment="1">
      <alignment horizontal="left" vertical="top" wrapText="1"/>
    </xf>
    <xf numFmtId="2" fontId="11" fillId="0" borderId="70" xfId="0" applyNumberFormat="1" applyFont="1" applyFill="1" applyBorder="1" applyAlignment="1">
      <alignment horizontal="left" vertical="top" wrapText="1"/>
    </xf>
    <xf numFmtId="2" fontId="11" fillId="0" borderId="26" xfId="0" applyNumberFormat="1" applyFont="1" applyFill="1" applyBorder="1" applyAlignment="1">
      <alignment horizontal="left" vertical="top" wrapText="1"/>
    </xf>
    <xf numFmtId="0" fontId="7" fillId="3" borderId="23" xfId="0" applyFont="1" applyFill="1" applyBorder="1" applyAlignment="1">
      <alignment horizontal="left" vertical="top"/>
    </xf>
    <xf numFmtId="0" fontId="7" fillId="3" borderId="75" xfId="0" applyFont="1" applyFill="1" applyBorder="1" applyAlignment="1">
      <alignment horizontal="left" vertical="top"/>
    </xf>
    <xf numFmtId="49" fontId="7" fillId="2" borderId="17" xfId="0" applyNumberFormat="1" applyFont="1" applyFill="1" applyBorder="1" applyAlignment="1">
      <alignment horizontal="center" vertical="top"/>
    </xf>
    <xf numFmtId="49" fontId="7" fillId="3" borderId="19" xfId="0" applyNumberFormat="1" applyFont="1" applyFill="1" applyBorder="1" applyAlignment="1">
      <alignment horizontal="center" vertical="top"/>
    </xf>
    <xf numFmtId="0" fontId="11" fillId="0" borderId="9" xfId="0" applyNumberFormat="1" applyFont="1" applyFill="1" applyBorder="1" applyAlignment="1">
      <alignment horizontal="center" vertical="top" wrapText="1"/>
    </xf>
    <xf numFmtId="0" fontId="11" fillId="0" borderId="70" xfId="0" applyNumberFormat="1" applyFont="1" applyFill="1" applyBorder="1" applyAlignment="1">
      <alignment horizontal="center" vertical="top" wrapText="1"/>
    </xf>
    <xf numFmtId="49" fontId="7" fillId="3" borderId="74" xfId="0" applyNumberFormat="1" applyFont="1" applyFill="1" applyBorder="1" applyAlignment="1">
      <alignment horizontal="right" vertical="top"/>
    </xf>
    <xf numFmtId="49" fontId="11" fillId="3" borderId="4" xfId="0" applyNumberFormat="1" applyFont="1" applyFill="1" applyBorder="1" applyAlignment="1">
      <alignment horizontal="right" vertical="top"/>
    </xf>
    <xf numFmtId="49" fontId="11" fillId="3" borderId="29" xfId="0" applyNumberFormat="1" applyFont="1" applyFill="1" applyBorder="1" applyAlignment="1">
      <alignment horizontal="right" vertical="top"/>
    </xf>
    <xf numFmtId="164" fontId="11" fillId="0" borderId="9" xfId="0" applyNumberFormat="1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vertical="top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19" xfId="0" applyNumberFormat="1" applyFont="1" applyBorder="1" applyAlignment="1">
      <alignment horizontal="center" vertical="top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68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8" fillId="0" borderId="20" xfId="0" applyFont="1" applyBorder="1" applyAlignment="1">
      <alignment horizontal="right" vertical="top"/>
    </xf>
    <xf numFmtId="0" fontId="11" fillId="0" borderId="46" xfId="0" applyFont="1" applyBorder="1" applyAlignment="1">
      <alignment horizontal="center" vertical="center" textRotation="90" wrapText="1"/>
    </xf>
    <xf numFmtId="0" fontId="11" fillId="0" borderId="45" xfId="0" applyFont="1" applyBorder="1" applyAlignment="1">
      <alignment horizontal="center" vertical="center" textRotation="90" wrapText="1"/>
    </xf>
    <xf numFmtId="0" fontId="11" fillId="0" borderId="59" xfId="0" applyFont="1" applyBorder="1" applyAlignment="1">
      <alignment horizontal="center" vertical="center" textRotation="90" wrapText="1"/>
    </xf>
    <xf numFmtId="0" fontId="11" fillId="0" borderId="47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19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18" xfId="0" applyFont="1" applyBorder="1" applyAlignment="1">
      <alignment horizontal="center" vertical="center" textRotation="90" wrapText="1"/>
    </xf>
    <xf numFmtId="164" fontId="11" fillId="0" borderId="55" xfId="0" applyNumberFormat="1" applyFont="1" applyFill="1" applyBorder="1" applyAlignment="1">
      <alignment horizontal="center" vertical="center" textRotation="90" wrapText="1"/>
    </xf>
    <xf numFmtId="164" fontId="11" fillId="0" borderId="31" xfId="0" applyNumberFormat="1" applyFont="1" applyFill="1" applyBorder="1" applyAlignment="1">
      <alignment horizontal="center" vertical="center" textRotation="90" wrapText="1"/>
    </xf>
    <xf numFmtId="0" fontId="11" fillId="0" borderId="52" xfId="0" applyFont="1" applyFill="1" applyBorder="1" applyAlignment="1">
      <alignment horizontal="center" vertical="center" textRotation="90" wrapText="1"/>
    </xf>
    <xf numFmtId="0" fontId="11" fillId="0" borderId="17" xfId="0" applyFont="1" applyFill="1" applyBorder="1" applyAlignment="1">
      <alignment horizontal="center" vertical="center" textRotation="90" wrapText="1"/>
    </xf>
    <xf numFmtId="0" fontId="11" fillId="0" borderId="14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top" wrapText="1"/>
    </xf>
    <xf numFmtId="0" fontId="11" fillId="0" borderId="25" xfId="0" applyFont="1" applyBorder="1" applyAlignment="1">
      <alignment horizontal="left" vertical="top" wrapText="1"/>
    </xf>
    <xf numFmtId="0" fontId="11" fillId="0" borderId="26" xfId="0" applyFont="1" applyBorder="1" applyAlignment="1">
      <alignment horizontal="left" vertical="top" wrapText="1"/>
    </xf>
    <xf numFmtId="0" fontId="24" fillId="0" borderId="70" xfId="0" applyFont="1" applyBorder="1" applyAlignment="1">
      <alignment horizontal="left" vertical="top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8" fillId="0" borderId="70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70" xfId="0" applyFont="1" applyBorder="1" applyAlignment="1">
      <alignment horizontal="center" vertical="center" textRotation="90" wrapText="1"/>
    </xf>
    <xf numFmtId="164" fontId="7" fillId="0" borderId="46" xfId="0" applyNumberFormat="1" applyFont="1" applyBorder="1" applyAlignment="1">
      <alignment horizontal="center" vertical="center" wrapText="1"/>
    </xf>
    <xf numFmtId="164" fontId="7" fillId="0" borderId="47" xfId="0" applyNumberFormat="1" applyFont="1" applyBorder="1" applyAlignment="1">
      <alignment horizontal="center" vertical="center" wrapText="1"/>
    </xf>
    <xf numFmtId="164" fontId="7" fillId="0" borderId="48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textRotation="90" wrapText="1"/>
    </xf>
    <xf numFmtId="0" fontId="8" fillId="0" borderId="15" xfId="0" applyFont="1" applyBorder="1" applyAlignment="1">
      <alignment horizontal="center" vertical="center" textRotation="90" wrapText="1"/>
    </xf>
    <xf numFmtId="0" fontId="8" fillId="0" borderId="70" xfId="0" applyFont="1" applyBorder="1" applyAlignment="1">
      <alignment horizontal="center" vertical="center" textRotation="90" wrapText="1"/>
    </xf>
    <xf numFmtId="0" fontId="11" fillId="0" borderId="2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164" fontId="11" fillId="0" borderId="52" xfId="0" applyNumberFormat="1" applyFont="1" applyFill="1" applyBorder="1" applyAlignment="1">
      <alignment horizontal="center" vertical="center" textRotation="90" wrapText="1"/>
    </xf>
    <xf numFmtId="164" fontId="11" fillId="0" borderId="17" xfId="0" applyNumberFormat="1" applyFont="1" applyFill="1" applyBorder="1" applyAlignment="1">
      <alignment horizontal="center" vertical="center" textRotation="90" wrapText="1"/>
    </xf>
    <xf numFmtId="164" fontId="11" fillId="0" borderId="14" xfId="0" applyNumberFormat="1" applyFont="1" applyFill="1" applyBorder="1" applyAlignment="1">
      <alignment horizontal="center" vertical="center"/>
    </xf>
    <xf numFmtId="164" fontId="11" fillId="0" borderId="64" xfId="0" applyNumberFormat="1" applyFont="1" applyFill="1" applyBorder="1" applyAlignment="1">
      <alignment horizontal="center" vertical="center"/>
    </xf>
    <xf numFmtId="49" fontId="7" fillId="7" borderId="32" xfId="0" applyNumberFormat="1" applyFont="1" applyFill="1" applyBorder="1" applyAlignment="1">
      <alignment horizontal="left" vertical="top" wrapText="1"/>
    </xf>
    <xf numFmtId="49" fontId="7" fillId="7" borderId="33" xfId="0" applyNumberFormat="1" applyFont="1" applyFill="1" applyBorder="1" applyAlignment="1">
      <alignment horizontal="left" vertical="top" wrapText="1"/>
    </xf>
    <xf numFmtId="49" fontId="7" fillId="7" borderId="77" xfId="0" applyNumberFormat="1" applyFont="1" applyFill="1" applyBorder="1" applyAlignment="1">
      <alignment horizontal="left" vertical="top" wrapText="1"/>
    </xf>
    <xf numFmtId="0" fontId="23" fillId="5" borderId="56" xfId="0" applyFont="1" applyFill="1" applyBorder="1" applyAlignment="1">
      <alignment horizontal="left" vertical="top" wrapText="1"/>
    </xf>
    <xf numFmtId="0" fontId="23" fillId="5" borderId="60" xfId="0" applyFont="1" applyFill="1" applyBorder="1" applyAlignment="1">
      <alignment horizontal="left" vertical="top" wrapText="1"/>
    </xf>
    <xf numFmtId="0" fontId="23" fillId="5" borderId="37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/>
    </xf>
    <xf numFmtId="0" fontId="7" fillId="2" borderId="75" xfId="0" applyFont="1" applyFill="1" applyBorder="1" applyAlignment="1">
      <alignment horizontal="left" vertical="top"/>
    </xf>
    <xf numFmtId="0" fontId="7" fillId="3" borderId="23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44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top" wrapText="1"/>
    </xf>
    <xf numFmtId="49" fontId="7" fillId="0" borderId="20" xfId="0" applyNumberFormat="1" applyFont="1" applyFill="1" applyBorder="1" applyAlignment="1">
      <alignment horizontal="center" vertical="top" wrapText="1"/>
    </xf>
    <xf numFmtId="164" fontId="8" fillId="0" borderId="27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75" xfId="0" applyNumberFormat="1" applyFont="1" applyBorder="1" applyAlignment="1">
      <alignment horizontal="center" vertical="center" wrapText="1"/>
    </xf>
    <xf numFmtId="0" fontId="11" fillId="4" borderId="15" xfId="0" applyNumberFormat="1" applyFont="1" applyFill="1" applyBorder="1" applyAlignment="1">
      <alignment horizontal="center" vertical="top" wrapText="1"/>
    </xf>
    <xf numFmtId="0" fontId="11" fillId="4" borderId="70" xfId="0" applyNumberFormat="1" applyFont="1" applyFill="1" applyBorder="1" applyAlignment="1">
      <alignment horizontal="center" vertical="top" wrapText="1"/>
    </xf>
    <xf numFmtId="0" fontId="7" fillId="9" borderId="41" xfId="0" applyFont="1" applyFill="1" applyBorder="1" applyAlignment="1">
      <alignment horizontal="center" vertical="top" wrapText="1"/>
    </xf>
    <xf numFmtId="0" fontId="7" fillId="9" borderId="67" xfId="0" applyFont="1" applyFill="1" applyBorder="1" applyAlignment="1">
      <alignment horizontal="center" vertical="top" wrapText="1"/>
    </xf>
    <xf numFmtId="49" fontId="7" fillId="4" borderId="39" xfId="0" applyNumberFormat="1" applyFont="1" applyFill="1" applyBorder="1" applyAlignment="1">
      <alignment horizontal="center" vertical="top"/>
    </xf>
    <xf numFmtId="0" fontId="11" fillId="0" borderId="26" xfId="0" applyFont="1" applyFill="1" applyBorder="1" applyAlignment="1">
      <alignment horizontal="left" vertical="top" wrapText="1"/>
    </xf>
    <xf numFmtId="49" fontId="7" fillId="0" borderId="36" xfId="0" applyNumberFormat="1" applyFont="1" applyBorder="1" applyAlignment="1">
      <alignment horizontal="center" vertical="top"/>
    </xf>
    <xf numFmtId="0" fontId="11" fillId="0" borderId="80" xfId="0" applyFont="1" applyFill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 vertical="top"/>
    </xf>
    <xf numFmtId="49" fontId="7" fillId="0" borderId="50" xfId="0" applyNumberFormat="1" applyFont="1" applyBorder="1" applyAlignment="1">
      <alignment horizontal="center" vertical="center" textRotation="90"/>
    </xf>
    <xf numFmtId="0" fontId="8" fillId="4" borderId="60" xfId="0" applyNumberFormat="1" applyFont="1" applyFill="1" applyBorder="1" applyAlignment="1">
      <alignment horizontal="center" vertical="top" wrapText="1"/>
    </xf>
    <xf numFmtId="0" fontId="8" fillId="4" borderId="0" xfId="0" applyNumberFormat="1" applyFont="1" applyFill="1" applyBorder="1" applyAlignment="1">
      <alignment horizontal="center" vertical="top" wrapText="1"/>
    </xf>
    <xf numFmtId="0" fontId="8" fillId="4" borderId="20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37" xfId="0" applyNumberFormat="1" applyFont="1" applyFill="1" applyBorder="1" applyAlignment="1">
      <alignment horizontal="center" vertical="top" wrapText="1"/>
    </xf>
    <xf numFmtId="0" fontId="11" fillId="4" borderId="21" xfId="0" applyNumberFormat="1" applyFont="1" applyFill="1" applyBorder="1" applyAlignment="1">
      <alignment horizontal="center" vertical="top" wrapText="1"/>
    </xf>
    <xf numFmtId="0" fontId="11" fillId="4" borderId="44" xfId="0" applyNumberFormat="1" applyFont="1" applyFill="1" applyBorder="1" applyAlignment="1">
      <alignment horizontal="center" vertical="top" wrapText="1"/>
    </xf>
    <xf numFmtId="49" fontId="7" fillId="9" borderId="40" xfId="0" applyNumberFormat="1" applyFont="1" applyFill="1" applyBorder="1" applyAlignment="1">
      <alignment horizontal="center" vertical="top"/>
    </xf>
    <xf numFmtId="49" fontId="7" fillId="9" borderId="41" xfId="0" applyNumberFormat="1" applyFont="1" applyFill="1" applyBorder="1" applyAlignment="1">
      <alignment horizontal="center" vertical="top"/>
    </xf>
    <xf numFmtId="49" fontId="7" fillId="9" borderId="67" xfId="0" applyNumberFormat="1" applyFont="1" applyFill="1" applyBorder="1" applyAlignment="1">
      <alignment horizontal="center" vertical="top"/>
    </xf>
    <xf numFmtId="0" fontId="8" fillId="8" borderId="7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34" xfId="0" applyNumberFormat="1" applyFont="1" applyBorder="1" applyAlignment="1">
      <alignment horizontal="center" vertical="top"/>
    </xf>
    <xf numFmtId="0" fontId="8" fillId="4" borderId="15" xfId="0" applyNumberFormat="1" applyFont="1" applyFill="1" applyBorder="1" applyAlignment="1">
      <alignment horizontal="left" vertical="top" wrapText="1"/>
    </xf>
    <xf numFmtId="0" fontId="8" fillId="4" borderId="70" xfId="0" applyNumberFormat="1" applyFont="1" applyFill="1" applyBorder="1" applyAlignment="1">
      <alignment horizontal="left" vertical="top" wrapText="1"/>
    </xf>
    <xf numFmtId="0" fontId="8" fillId="4" borderId="25" xfId="0" applyFont="1" applyFill="1" applyBorder="1" applyAlignment="1">
      <alignment horizontal="left" vertical="top" wrapText="1"/>
    </xf>
    <xf numFmtId="0" fontId="8" fillId="4" borderId="70" xfId="0" applyFont="1" applyFill="1" applyBorder="1" applyAlignment="1">
      <alignment horizontal="left" vertical="top" wrapText="1"/>
    </xf>
    <xf numFmtId="0" fontId="13" fillId="9" borderId="40" xfId="0" applyFont="1" applyFill="1" applyBorder="1" applyAlignment="1">
      <alignment horizontal="center" vertical="top" wrapText="1"/>
    </xf>
    <xf numFmtId="0" fontId="13" fillId="9" borderId="41" xfId="0" applyFont="1" applyFill="1" applyBorder="1" applyAlignment="1">
      <alignment horizontal="center" vertical="top" wrapText="1"/>
    </xf>
    <xf numFmtId="0" fontId="13" fillId="9" borderId="67" xfId="0" applyFont="1" applyFill="1" applyBorder="1" applyAlignment="1">
      <alignment horizontal="center" vertical="top" wrapText="1"/>
    </xf>
    <xf numFmtId="0" fontId="11" fillId="4" borderId="28" xfId="0" applyNumberFormat="1" applyFont="1" applyFill="1" applyBorder="1" applyAlignment="1">
      <alignment horizontal="left" vertical="top" wrapText="1"/>
    </xf>
    <xf numFmtId="0" fontId="11" fillId="4" borderId="80" xfId="0" applyNumberFormat="1" applyFont="1" applyFill="1" applyBorder="1" applyAlignment="1">
      <alignment horizontal="left" vertical="top" wrapText="1"/>
    </xf>
    <xf numFmtId="49" fontId="7" fillId="0" borderId="35" xfId="0" applyNumberFormat="1" applyFont="1" applyBorder="1" applyAlignment="1">
      <alignment horizontal="center" vertical="top"/>
    </xf>
    <xf numFmtId="0" fontId="11" fillId="0" borderId="25" xfId="0" applyNumberFormat="1" applyFont="1" applyFill="1" applyBorder="1" applyAlignment="1">
      <alignment horizontal="left" vertical="top" wrapText="1"/>
    </xf>
    <xf numFmtId="0" fontId="11" fillId="0" borderId="10" xfId="0" applyNumberFormat="1" applyFont="1" applyFill="1" applyBorder="1" applyAlignment="1">
      <alignment horizontal="center" vertical="top"/>
    </xf>
    <xf numFmtId="0" fontId="11" fillId="0" borderId="12" xfId="0" applyNumberFormat="1" applyFont="1" applyFill="1" applyBorder="1" applyAlignment="1">
      <alignment horizontal="center" vertical="top"/>
    </xf>
    <xf numFmtId="0" fontId="11" fillId="0" borderId="34" xfId="0" applyNumberFormat="1" applyFont="1" applyFill="1" applyBorder="1" applyAlignment="1">
      <alignment horizontal="center" vertical="top"/>
    </xf>
    <xf numFmtId="0" fontId="7" fillId="0" borderId="9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7" fillId="2" borderId="10" xfId="0" applyNumberFormat="1" applyFont="1" applyFill="1" applyBorder="1" applyAlignment="1">
      <alignment horizontal="center" vertical="top" wrapText="1"/>
    </xf>
    <xf numFmtId="49" fontId="7" fillId="2" borderId="17" xfId="0" applyNumberFormat="1" applyFont="1" applyFill="1" applyBorder="1" applyAlignment="1">
      <alignment horizontal="center" vertical="top" wrapText="1"/>
    </xf>
    <xf numFmtId="49" fontId="7" fillId="3" borderId="7" xfId="0" applyNumberFormat="1" applyFont="1" applyFill="1" applyBorder="1" applyAlignment="1">
      <alignment horizontal="center" vertical="top" wrapText="1"/>
    </xf>
    <xf numFmtId="49" fontId="7" fillId="3" borderId="12" xfId="0" applyNumberFormat="1" applyFont="1" applyFill="1" applyBorder="1" applyAlignment="1">
      <alignment horizontal="center" vertical="top" wrapText="1"/>
    </xf>
    <xf numFmtId="49" fontId="7" fillId="3" borderId="19" xfId="0" applyNumberFormat="1" applyFont="1" applyFill="1" applyBorder="1" applyAlignment="1">
      <alignment horizontal="center" vertical="top" wrapText="1"/>
    </xf>
    <xf numFmtId="49" fontId="7" fillId="0" borderId="12" xfId="0" applyNumberFormat="1" applyFont="1" applyBorder="1" applyAlignment="1">
      <alignment horizontal="center" vertical="top" wrapText="1"/>
    </xf>
    <xf numFmtId="0" fontId="7" fillId="0" borderId="28" xfId="0" applyFont="1" applyFill="1" applyBorder="1" applyAlignment="1">
      <alignment horizontal="center" vertical="center" textRotation="90" wrapText="1"/>
    </xf>
    <xf numFmtId="49" fontId="13" fillId="0" borderId="35" xfId="0" applyNumberFormat="1" applyFont="1" applyBorder="1" applyAlignment="1">
      <alignment horizontal="center" vertical="top" wrapText="1"/>
    </xf>
    <xf numFmtId="49" fontId="13" fillId="0" borderId="34" xfId="0" applyNumberFormat="1" applyFont="1" applyBorder="1" applyAlignment="1">
      <alignment horizontal="center" vertical="top" wrapText="1"/>
    </xf>
    <xf numFmtId="49" fontId="13" fillId="0" borderId="31" xfId="0" applyNumberFormat="1" applyFont="1" applyBorder="1" applyAlignment="1">
      <alignment horizontal="center" vertical="top" wrapText="1"/>
    </xf>
    <xf numFmtId="49" fontId="13" fillId="0" borderId="35" xfId="0" applyNumberFormat="1" applyFont="1" applyBorder="1" applyAlignment="1">
      <alignment horizontal="center" vertical="top"/>
    </xf>
    <xf numFmtId="49" fontId="13" fillId="0" borderId="31" xfId="0" applyNumberFormat="1" applyFont="1" applyBorder="1" applyAlignment="1">
      <alignment horizontal="center" vertical="top"/>
    </xf>
    <xf numFmtId="0" fontId="13" fillId="4" borderId="9" xfId="0" applyFont="1" applyFill="1" applyBorder="1" applyAlignment="1">
      <alignment horizontal="left" vertical="top" wrapText="1"/>
    </xf>
    <xf numFmtId="0" fontId="13" fillId="4" borderId="15" xfId="0" applyFont="1" applyFill="1" applyBorder="1" applyAlignment="1">
      <alignment horizontal="left" vertical="top" wrapText="1"/>
    </xf>
    <xf numFmtId="0" fontId="11" fillId="4" borderId="24" xfId="0" applyNumberFormat="1" applyFont="1" applyFill="1" applyBorder="1" applyAlignment="1">
      <alignment horizontal="left" vertical="top" wrapText="1"/>
    </xf>
    <xf numFmtId="164" fontId="25" fillId="0" borderId="0" xfId="0" applyNumberFormat="1" applyFont="1" applyFill="1" applyBorder="1" applyAlignment="1">
      <alignment horizontal="center" vertical="top" wrapText="1"/>
    </xf>
    <xf numFmtId="49" fontId="7" fillId="0" borderId="35" xfId="0" applyNumberFormat="1" applyFont="1" applyFill="1" applyBorder="1" applyAlignment="1">
      <alignment horizontal="center" vertical="top" wrapText="1"/>
    </xf>
    <xf numFmtId="49" fontId="7" fillId="0" borderId="31" xfId="0" applyNumberFormat="1" applyFont="1" applyFill="1" applyBorder="1" applyAlignment="1">
      <alignment horizontal="center" vertical="top" wrapText="1"/>
    </xf>
    <xf numFmtId="164" fontId="11" fillId="0" borderId="9" xfId="0" applyNumberFormat="1" applyFont="1" applyBorder="1" applyAlignment="1">
      <alignment horizontal="center" vertical="center" textRotation="90" wrapText="1"/>
    </xf>
    <xf numFmtId="164" fontId="11" fillId="0" borderId="15" xfId="0" applyNumberFormat="1" applyFont="1" applyBorder="1" applyAlignment="1">
      <alignment horizontal="center" vertical="center" textRotation="90" wrapText="1"/>
    </xf>
    <xf numFmtId="164" fontId="11" fillId="0" borderId="70" xfId="0" applyNumberFormat="1" applyFont="1" applyBorder="1" applyAlignment="1">
      <alignment horizontal="center" vertical="center" textRotation="90" wrapText="1"/>
    </xf>
    <xf numFmtId="164" fontId="7" fillId="0" borderId="24" xfId="0" applyNumberFormat="1" applyFont="1" applyBorder="1" applyAlignment="1">
      <alignment horizontal="center" vertical="center" textRotation="90" wrapText="1"/>
    </xf>
    <xf numFmtId="164" fontId="7" fillId="0" borderId="8" xfId="0" applyNumberFormat="1" applyFont="1" applyBorder="1" applyAlignment="1">
      <alignment horizontal="center" vertical="center" textRotation="90" wrapText="1"/>
    </xf>
    <xf numFmtId="164" fontId="7" fillId="0" borderId="22" xfId="0" applyNumberFormat="1" applyFont="1" applyBorder="1" applyAlignment="1">
      <alignment horizontal="center" vertical="center" textRotation="90" wrapText="1"/>
    </xf>
    <xf numFmtId="164" fontId="7" fillId="0" borderId="28" xfId="0" applyNumberFormat="1" applyFont="1" applyBorder="1" applyAlignment="1">
      <alignment horizontal="center" vertical="center" textRotation="90" wrapText="1"/>
    </xf>
    <xf numFmtId="164" fontId="7" fillId="0" borderId="0" xfId="0" applyNumberFormat="1" applyFont="1" applyBorder="1" applyAlignment="1">
      <alignment horizontal="center" vertical="center" textRotation="90" wrapText="1"/>
    </xf>
    <xf numFmtId="164" fontId="7" fillId="0" borderId="21" xfId="0" applyNumberFormat="1" applyFont="1" applyBorder="1" applyAlignment="1">
      <alignment horizontal="center" vertical="center" textRotation="90" wrapText="1"/>
    </xf>
    <xf numFmtId="164" fontId="7" fillId="0" borderId="68" xfId="0" applyNumberFormat="1" applyFont="1" applyBorder="1" applyAlignment="1">
      <alignment horizontal="center" vertical="center" textRotation="90" wrapText="1"/>
    </xf>
    <xf numFmtId="164" fontId="7" fillId="0" borderId="20" xfId="0" applyNumberFormat="1" applyFont="1" applyBorder="1" applyAlignment="1">
      <alignment horizontal="center" vertical="center" textRotation="90" wrapText="1"/>
    </xf>
    <xf numFmtId="164" fontId="7" fillId="0" borderId="44" xfId="0" applyNumberFormat="1" applyFont="1" applyBorder="1" applyAlignment="1">
      <alignment horizontal="center" vertical="center" textRotation="90" wrapText="1"/>
    </xf>
    <xf numFmtId="164" fontId="8" fillId="0" borderId="9" xfId="0" applyNumberFormat="1" applyFont="1" applyBorder="1" applyAlignment="1">
      <alignment horizontal="center" vertical="center" textRotation="90" wrapText="1"/>
    </xf>
    <xf numFmtId="164" fontId="8" fillId="0" borderId="15" xfId="0" applyNumberFormat="1" applyFont="1" applyBorder="1" applyAlignment="1">
      <alignment horizontal="center" vertical="center" textRotation="90" wrapText="1"/>
    </xf>
    <xf numFmtId="164" fontId="8" fillId="0" borderId="70" xfId="0" applyNumberFormat="1" applyFont="1" applyBorder="1" applyAlignment="1">
      <alignment horizontal="center" vertical="center" textRotation="90" wrapText="1"/>
    </xf>
    <xf numFmtId="0" fontId="8" fillId="0" borderId="35" xfId="0" applyNumberFormat="1" applyFont="1" applyBorder="1" applyAlignment="1">
      <alignment horizontal="center" vertical="center" textRotation="90" wrapText="1"/>
    </xf>
    <xf numFmtId="0" fontId="8" fillId="0" borderId="34" xfId="0" applyNumberFormat="1" applyFont="1" applyBorder="1" applyAlignment="1">
      <alignment horizontal="center" vertical="center" textRotation="90" wrapText="1"/>
    </xf>
    <xf numFmtId="0" fontId="8" fillId="0" borderId="31" xfId="0" applyNumberFormat="1" applyFont="1" applyBorder="1" applyAlignment="1">
      <alignment horizontal="center" vertical="center" textRotation="90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60"/>
  <sheetViews>
    <sheetView zoomScale="130" zoomScaleNormal="130" zoomScaleSheetLayoutView="90" workbookViewId="0">
      <selection activeCell="M43" sqref="M43"/>
    </sheetView>
  </sheetViews>
  <sheetFormatPr defaultRowHeight="12.75" x14ac:dyDescent="0.2"/>
  <cols>
    <col min="1" max="2" width="2.7109375" style="17" customWidth="1"/>
    <col min="3" max="3" width="2.85546875" style="17" customWidth="1"/>
    <col min="4" max="4" width="29.7109375" style="17" customWidth="1"/>
    <col min="5" max="5" width="3.7109375" style="142" customWidth="1"/>
    <col min="6" max="6" width="2.85546875" style="142" customWidth="1"/>
    <col min="7" max="7" width="2.7109375" style="145" customWidth="1"/>
    <col min="8" max="8" width="7.5703125" style="17" customWidth="1"/>
    <col min="9" max="10" width="8.42578125" style="17" customWidth="1"/>
    <col min="11" max="11" width="6.140625" style="17" customWidth="1"/>
    <col min="12" max="12" width="7.42578125" style="17" customWidth="1"/>
    <col min="13" max="13" width="8.42578125" style="17" customWidth="1"/>
    <col min="14" max="14" width="8.140625" style="17" customWidth="1"/>
    <col min="15" max="15" width="23.85546875" style="251" customWidth="1"/>
    <col min="16" max="16" width="5.7109375" style="144" customWidth="1"/>
    <col min="17" max="17" width="5.5703125" style="144" customWidth="1"/>
    <col min="18" max="18" width="5.5703125" style="247" customWidth="1"/>
    <col min="19" max="19" width="9.140625" style="17"/>
    <col min="20" max="20" width="35" style="17" customWidth="1"/>
    <col min="21" max="16384" width="9.140625" style="17"/>
  </cols>
  <sheetData>
    <row r="1" spans="1:20" ht="15.75" x14ac:dyDescent="0.25">
      <c r="A1" s="3016" t="s">
        <v>228</v>
      </c>
      <c r="B1" s="3016"/>
      <c r="C1" s="3016"/>
      <c r="D1" s="3016"/>
      <c r="E1" s="3016"/>
      <c r="F1" s="3016"/>
      <c r="G1" s="3016"/>
      <c r="H1" s="3016"/>
      <c r="I1" s="3016"/>
      <c r="J1" s="3016"/>
      <c r="K1" s="3016"/>
      <c r="L1" s="3016"/>
      <c r="M1" s="3016"/>
      <c r="N1" s="3016"/>
      <c r="O1" s="3016"/>
      <c r="P1" s="3016"/>
      <c r="Q1" s="3016"/>
      <c r="R1" s="3016"/>
    </row>
    <row r="2" spans="1:20" s="18" customFormat="1" x14ac:dyDescent="0.25">
      <c r="A2" s="3017" t="s">
        <v>83</v>
      </c>
      <c r="B2" s="3017"/>
      <c r="C2" s="3017"/>
      <c r="D2" s="3017"/>
      <c r="E2" s="3017"/>
      <c r="F2" s="3017"/>
      <c r="G2" s="3017"/>
      <c r="H2" s="3017"/>
      <c r="I2" s="3017"/>
      <c r="J2" s="3017"/>
      <c r="K2" s="3017"/>
      <c r="L2" s="3017"/>
      <c r="M2" s="3017"/>
      <c r="N2" s="3017"/>
      <c r="O2" s="3017"/>
      <c r="P2" s="3017"/>
      <c r="Q2" s="3017"/>
      <c r="R2" s="3017"/>
    </row>
    <row r="3" spans="1:20" s="18" customFormat="1" x14ac:dyDescent="0.25">
      <c r="A3" s="3018" t="s">
        <v>230</v>
      </c>
      <c r="B3" s="3018"/>
      <c r="C3" s="3018"/>
      <c r="D3" s="3018"/>
      <c r="E3" s="3018"/>
      <c r="F3" s="3018"/>
      <c r="G3" s="3018"/>
      <c r="H3" s="3018"/>
      <c r="I3" s="3018"/>
      <c r="J3" s="3018"/>
      <c r="K3" s="3018"/>
      <c r="L3" s="3018"/>
      <c r="M3" s="3018"/>
      <c r="N3" s="3018"/>
      <c r="O3" s="3018"/>
      <c r="P3" s="3018"/>
      <c r="Q3" s="3018"/>
      <c r="R3" s="3018"/>
    </row>
    <row r="4" spans="1:20" s="18" customFormat="1" ht="13.5" thickBot="1" x14ac:dyDescent="0.3">
      <c r="A4" s="3019" t="s">
        <v>0</v>
      </c>
      <c r="B4" s="3019"/>
      <c r="C4" s="3019"/>
      <c r="D4" s="3019"/>
      <c r="E4" s="3019"/>
      <c r="F4" s="3019"/>
      <c r="G4" s="3019"/>
      <c r="H4" s="3019"/>
      <c r="I4" s="3019"/>
      <c r="J4" s="3019"/>
      <c r="K4" s="3019"/>
      <c r="L4" s="3019"/>
      <c r="M4" s="3019"/>
      <c r="N4" s="3019"/>
      <c r="O4" s="3019"/>
      <c r="P4" s="3019"/>
      <c r="Q4" s="3019"/>
      <c r="R4" s="3019"/>
    </row>
    <row r="5" spans="1:20" s="19" customFormat="1" ht="13.5" customHeight="1" thickBot="1" x14ac:dyDescent="0.3">
      <c r="A5" s="3020" t="s">
        <v>1</v>
      </c>
      <c r="B5" s="3023" t="s">
        <v>2</v>
      </c>
      <c r="C5" s="3026" t="s">
        <v>3</v>
      </c>
      <c r="D5" s="3029" t="s">
        <v>4</v>
      </c>
      <c r="E5" s="3032" t="s">
        <v>5</v>
      </c>
      <c r="F5" s="3023" t="s">
        <v>229</v>
      </c>
      <c r="G5" s="3043" t="s">
        <v>6</v>
      </c>
      <c r="H5" s="3046" t="s">
        <v>7</v>
      </c>
      <c r="I5" s="3049" t="s">
        <v>127</v>
      </c>
      <c r="J5" s="3050"/>
      <c r="K5" s="3050"/>
      <c r="L5" s="3051"/>
      <c r="M5" s="3035" t="s">
        <v>232</v>
      </c>
      <c r="N5" s="3035" t="s">
        <v>233</v>
      </c>
      <c r="O5" s="3038" t="s">
        <v>231</v>
      </c>
      <c r="P5" s="3039"/>
      <c r="Q5" s="3039"/>
      <c r="R5" s="3040"/>
    </row>
    <row r="6" spans="1:20" s="19" customFormat="1" ht="12.75" customHeight="1" x14ac:dyDescent="0.25">
      <c r="A6" s="3021"/>
      <c r="B6" s="3024"/>
      <c r="C6" s="3027"/>
      <c r="D6" s="3030"/>
      <c r="E6" s="3033"/>
      <c r="F6" s="3024"/>
      <c r="G6" s="3044"/>
      <c r="H6" s="3047"/>
      <c r="I6" s="3041" t="s">
        <v>8</v>
      </c>
      <c r="J6" s="3052" t="s">
        <v>9</v>
      </c>
      <c r="K6" s="3053"/>
      <c r="L6" s="3054" t="s">
        <v>10</v>
      </c>
      <c r="M6" s="3036"/>
      <c r="N6" s="3036"/>
      <c r="O6" s="3064" t="s">
        <v>57</v>
      </c>
      <c r="P6" s="3066" t="s">
        <v>60</v>
      </c>
      <c r="Q6" s="3067"/>
      <c r="R6" s="3068"/>
    </row>
    <row r="7" spans="1:20" s="19" customFormat="1" ht="118.5" customHeight="1" thickBot="1" x14ac:dyDescent="0.3">
      <c r="A7" s="3022"/>
      <c r="B7" s="3025"/>
      <c r="C7" s="3028"/>
      <c r="D7" s="3031"/>
      <c r="E7" s="3034"/>
      <c r="F7" s="3025"/>
      <c r="G7" s="3045"/>
      <c r="H7" s="3048"/>
      <c r="I7" s="3042"/>
      <c r="J7" s="20" t="s">
        <v>8</v>
      </c>
      <c r="K7" s="20" t="s">
        <v>11</v>
      </c>
      <c r="L7" s="3055"/>
      <c r="M7" s="3037"/>
      <c r="N7" s="3037"/>
      <c r="O7" s="3065"/>
      <c r="P7" s="211" t="s">
        <v>61</v>
      </c>
      <c r="Q7" s="211" t="s">
        <v>62</v>
      </c>
      <c r="R7" s="212" t="s">
        <v>128</v>
      </c>
    </row>
    <row r="8" spans="1:20" s="18" customFormat="1" x14ac:dyDescent="0.25">
      <c r="A8" s="3069" t="s">
        <v>205</v>
      </c>
      <c r="B8" s="3070"/>
      <c r="C8" s="3070"/>
      <c r="D8" s="3070"/>
      <c r="E8" s="3070"/>
      <c r="F8" s="3070"/>
      <c r="G8" s="3070"/>
      <c r="H8" s="3070"/>
      <c r="I8" s="3070"/>
      <c r="J8" s="3070"/>
      <c r="K8" s="3070"/>
      <c r="L8" s="3070"/>
      <c r="M8" s="3070"/>
      <c r="N8" s="3070"/>
      <c r="O8" s="3070"/>
      <c r="P8" s="3070"/>
      <c r="Q8" s="3070"/>
      <c r="R8" s="3071"/>
    </row>
    <row r="9" spans="1:20" s="18" customFormat="1" ht="13.5" thickBot="1" x14ac:dyDescent="0.3">
      <c r="A9" s="3072" t="s">
        <v>12</v>
      </c>
      <c r="B9" s="3073"/>
      <c r="C9" s="3073"/>
      <c r="D9" s="3073"/>
      <c r="E9" s="3073"/>
      <c r="F9" s="3073"/>
      <c r="G9" s="3073"/>
      <c r="H9" s="3073"/>
      <c r="I9" s="3073"/>
      <c r="J9" s="3073"/>
      <c r="K9" s="3073"/>
      <c r="L9" s="3073"/>
      <c r="M9" s="3073"/>
      <c r="N9" s="3073"/>
      <c r="O9" s="3073"/>
      <c r="P9" s="3073"/>
      <c r="Q9" s="3073"/>
      <c r="R9" s="3074"/>
    </row>
    <row r="10" spans="1:20" s="22" customFormat="1" ht="15" customHeight="1" thickBot="1" x14ac:dyDescent="0.3">
      <c r="A10" s="21" t="s">
        <v>13</v>
      </c>
      <c r="B10" s="3075" t="s">
        <v>14</v>
      </c>
      <c r="C10" s="3075"/>
      <c r="D10" s="3075"/>
      <c r="E10" s="3075"/>
      <c r="F10" s="3075"/>
      <c r="G10" s="3075"/>
      <c r="H10" s="3075"/>
      <c r="I10" s="3075"/>
      <c r="J10" s="3075"/>
      <c r="K10" s="3075"/>
      <c r="L10" s="3075"/>
      <c r="M10" s="3075"/>
      <c r="N10" s="3075"/>
      <c r="O10" s="3075"/>
      <c r="P10" s="3075"/>
      <c r="Q10" s="3075"/>
      <c r="R10" s="3076"/>
    </row>
    <row r="11" spans="1:20" s="22" customFormat="1" ht="13.5" thickBot="1" x14ac:dyDescent="0.3">
      <c r="A11" s="23" t="s">
        <v>13</v>
      </c>
      <c r="B11" s="24" t="s">
        <v>13</v>
      </c>
      <c r="C11" s="3077" t="s">
        <v>15</v>
      </c>
      <c r="D11" s="3077"/>
      <c r="E11" s="3077"/>
      <c r="F11" s="3077"/>
      <c r="G11" s="3077"/>
      <c r="H11" s="3078"/>
      <c r="I11" s="3078"/>
      <c r="J11" s="3078"/>
      <c r="K11" s="3078"/>
      <c r="L11" s="3078"/>
      <c r="M11" s="3078"/>
      <c r="N11" s="3078"/>
      <c r="O11" s="3078"/>
      <c r="P11" s="3078"/>
      <c r="Q11" s="3078"/>
      <c r="R11" s="3079"/>
    </row>
    <row r="12" spans="1:20" s="22" customFormat="1" ht="37.5" customHeight="1" x14ac:dyDescent="0.25">
      <c r="A12" s="564" t="s">
        <v>13</v>
      </c>
      <c r="B12" s="25" t="s">
        <v>13</v>
      </c>
      <c r="C12" s="567" t="s">
        <v>13</v>
      </c>
      <c r="D12" s="2821" t="s">
        <v>63</v>
      </c>
      <c r="E12" s="146"/>
      <c r="F12" s="546" t="s">
        <v>16</v>
      </c>
      <c r="G12" s="581" t="s">
        <v>26</v>
      </c>
      <c r="H12" s="26" t="s">
        <v>17</v>
      </c>
      <c r="I12" s="408">
        <f>J12+L12</f>
        <v>7208</v>
      </c>
      <c r="J12" s="409">
        <v>7208</v>
      </c>
      <c r="K12" s="340"/>
      <c r="L12" s="341"/>
      <c r="M12" s="27">
        <v>13287</v>
      </c>
      <c r="N12" s="82">
        <v>13287</v>
      </c>
      <c r="O12" s="713" t="s">
        <v>129</v>
      </c>
      <c r="P12" s="256">
        <v>21455</v>
      </c>
      <c r="Q12" s="579">
        <v>21500</v>
      </c>
      <c r="R12" s="257">
        <v>21500</v>
      </c>
      <c r="S12" s="608"/>
      <c r="T12" s="19"/>
    </row>
    <row r="13" spans="1:20" s="22" customFormat="1" x14ac:dyDescent="0.25">
      <c r="A13" s="553"/>
      <c r="B13" s="28"/>
      <c r="C13" s="29"/>
      <c r="D13" s="2805"/>
      <c r="E13" s="147"/>
      <c r="F13" s="547"/>
      <c r="G13" s="30"/>
      <c r="H13" s="31" t="s">
        <v>27</v>
      </c>
      <c r="I13" s="488">
        <v>16606.7</v>
      </c>
      <c r="J13" s="343">
        <v>16606.7</v>
      </c>
      <c r="K13" s="344"/>
      <c r="L13" s="345"/>
      <c r="M13" s="32">
        <v>17271</v>
      </c>
      <c r="N13" s="94">
        <v>17271</v>
      </c>
      <c r="O13" s="3058" t="s">
        <v>130</v>
      </c>
      <c r="P13" s="587">
        <v>5966</v>
      </c>
      <c r="Q13" s="571">
        <v>5900</v>
      </c>
      <c r="R13" s="584">
        <v>5500</v>
      </c>
      <c r="S13" s="19"/>
      <c r="T13" s="19"/>
    </row>
    <row r="14" spans="1:20" s="22" customFormat="1" x14ac:dyDescent="0.25">
      <c r="A14" s="553"/>
      <c r="B14" s="28"/>
      <c r="C14" s="29"/>
      <c r="D14" s="2805"/>
      <c r="E14" s="147"/>
      <c r="F14" s="547"/>
      <c r="G14" s="30"/>
      <c r="H14" s="31"/>
      <c r="I14" s="488"/>
      <c r="J14" s="343"/>
      <c r="K14" s="344"/>
      <c r="L14" s="345"/>
      <c r="M14" s="32"/>
      <c r="N14" s="94"/>
      <c r="O14" s="3059"/>
      <c r="P14" s="174"/>
      <c r="Q14" s="322"/>
      <c r="R14" s="323"/>
      <c r="S14" s="19"/>
      <c r="T14" s="19"/>
    </row>
    <row r="15" spans="1:20" s="22" customFormat="1" x14ac:dyDescent="0.25">
      <c r="A15" s="553"/>
      <c r="B15" s="28"/>
      <c r="C15" s="29"/>
      <c r="D15" s="2805"/>
      <c r="E15" s="147"/>
      <c r="F15" s="547"/>
      <c r="G15" s="30"/>
      <c r="H15" s="33"/>
      <c r="I15" s="342"/>
      <c r="J15" s="343"/>
      <c r="K15" s="344"/>
      <c r="L15" s="346"/>
      <c r="M15" s="34"/>
      <c r="N15" s="699"/>
      <c r="O15" s="3060" t="s">
        <v>174</v>
      </c>
      <c r="P15" s="3062">
        <v>183</v>
      </c>
      <c r="Q15" s="2863">
        <v>183</v>
      </c>
      <c r="R15" s="3056">
        <v>183</v>
      </c>
      <c r="S15" s="19"/>
      <c r="T15" s="19"/>
    </row>
    <row r="16" spans="1:20" s="22" customFormat="1" ht="13.5" thickBot="1" x14ac:dyDescent="0.3">
      <c r="A16" s="553"/>
      <c r="B16" s="28"/>
      <c r="C16" s="29"/>
      <c r="D16" s="2806"/>
      <c r="E16" s="147"/>
      <c r="F16" s="547"/>
      <c r="G16" s="30"/>
      <c r="H16" s="470" t="s">
        <v>18</v>
      </c>
      <c r="I16" s="347">
        <f>J16+L16</f>
        <v>23814.7</v>
      </c>
      <c r="J16" s="348">
        <f>SUM(J12:J15)</f>
        <v>23814.7</v>
      </c>
      <c r="K16" s="348"/>
      <c r="L16" s="349"/>
      <c r="M16" s="381">
        <f>SUM(M12:M15)</f>
        <v>30558</v>
      </c>
      <c r="N16" s="384">
        <f>SUM(N12:N15)</f>
        <v>30558</v>
      </c>
      <c r="O16" s="3061"/>
      <c r="P16" s="3063"/>
      <c r="Q16" s="2975"/>
      <c r="R16" s="3057"/>
      <c r="S16" s="19"/>
      <c r="T16" s="19"/>
    </row>
    <row r="17" spans="1:20" s="22" customFormat="1" ht="27.75" customHeight="1" x14ac:dyDescent="0.25">
      <c r="A17" s="564" t="s">
        <v>13</v>
      </c>
      <c r="B17" s="25" t="s">
        <v>13</v>
      </c>
      <c r="C17" s="567" t="s">
        <v>19</v>
      </c>
      <c r="D17" s="2821" t="s">
        <v>64</v>
      </c>
      <c r="E17" s="146"/>
      <c r="F17" s="546" t="s">
        <v>16</v>
      </c>
      <c r="G17" s="581" t="s">
        <v>26</v>
      </c>
      <c r="H17" s="5" t="s">
        <v>17</v>
      </c>
      <c r="I17" s="350">
        <f>J17</f>
        <v>3629.1</v>
      </c>
      <c r="J17" s="351">
        <v>3629.1</v>
      </c>
      <c r="K17" s="351">
        <v>1032.8</v>
      </c>
      <c r="L17" s="352"/>
      <c r="M17" s="35">
        <v>4323.3999999999996</v>
      </c>
      <c r="N17" s="35">
        <v>4323.3999999999996</v>
      </c>
      <c r="O17" s="2822" t="s">
        <v>175</v>
      </c>
      <c r="P17" s="259">
        <v>385</v>
      </c>
      <c r="Q17" s="2824">
        <v>390</v>
      </c>
      <c r="R17" s="583">
        <v>392</v>
      </c>
      <c r="S17" s="19"/>
      <c r="T17" s="608"/>
    </row>
    <row r="18" spans="1:20" s="22" customFormat="1" ht="15.75" customHeight="1" thickBot="1" x14ac:dyDescent="0.3">
      <c r="A18" s="553"/>
      <c r="B18" s="28"/>
      <c r="C18" s="29"/>
      <c r="D18" s="2806"/>
      <c r="E18" s="147"/>
      <c r="F18" s="547"/>
      <c r="G18" s="30"/>
      <c r="H18" s="471" t="s">
        <v>18</v>
      </c>
      <c r="I18" s="360">
        <f>L18+J18</f>
        <v>3629.1</v>
      </c>
      <c r="J18" s="361">
        <f>SUM(J17:J17)</f>
        <v>3629.1</v>
      </c>
      <c r="K18" s="362">
        <f>SUM(K17:K17)</f>
        <v>1032.8</v>
      </c>
      <c r="L18" s="433">
        <f>SUM(L17:L17)</f>
        <v>0</v>
      </c>
      <c r="M18" s="382">
        <f>SUM(M17:M17)</f>
        <v>4323.3999999999996</v>
      </c>
      <c r="N18" s="363">
        <f>SUM(N17:N17)</f>
        <v>4323.3999999999996</v>
      </c>
      <c r="O18" s="2823"/>
      <c r="P18" s="585"/>
      <c r="Q18" s="2825"/>
      <c r="R18" s="586"/>
    </row>
    <row r="19" spans="1:20" s="22" customFormat="1" ht="25.5" x14ac:dyDescent="0.25">
      <c r="A19" s="564" t="s">
        <v>13</v>
      </c>
      <c r="B19" s="25" t="s">
        <v>13</v>
      </c>
      <c r="C19" s="567" t="s">
        <v>22</v>
      </c>
      <c r="D19" s="2821" t="s">
        <v>66</v>
      </c>
      <c r="E19" s="146"/>
      <c r="F19" s="546" t="s">
        <v>16</v>
      </c>
      <c r="G19" s="581" t="s">
        <v>26</v>
      </c>
      <c r="H19" s="38" t="s">
        <v>17</v>
      </c>
      <c r="I19" s="364">
        <v>529.70000000000005</v>
      </c>
      <c r="J19" s="351">
        <v>529.70000000000005</v>
      </c>
      <c r="K19" s="365">
        <v>404.4</v>
      </c>
      <c r="L19" s="366"/>
      <c r="M19" s="35">
        <v>546.1</v>
      </c>
      <c r="N19" s="35">
        <v>546.1</v>
      </c>
      <c r="O19" s="2822" t="s">
        <v>67</v>
      </c>
      <c r="P19" s="3012">
        <v>17</v>
      </c>
      <c r="Q19" s="2824">
        <v>17</v>
      </c>
      <c r="R19" s="3014">
        <v>17</v>
      </c>
    </row>
    <row r="20" spans="1:20" s="22" customFormat="1" ht="13.5" thickBot="1" x14ac:dyDescent="0.3">
      <c r="A20" s="576"/>
      <c r="B20" s="37"/>
      <c r="C20" s="568"/>
      <c r="D20" s="2806"/>
      <c r="E20" s="161"/>
      <c r="F20" s="548"/>
      <c r="G20" s="582"/>
      <c r="H20" s="470" t="s">
        <v>18</v>
      </c>
      <c r="I20" s="367">
        <f>J20+L20</f>
        <v>529.70000000000005</v>
      </c>
      <c r="J20" s="362">
        <f>+J19</f>
        <v>529.70000000000005</v>
      </c>
      <c r="K20" s="361">
        <f>+K19</f>
        <v>404.4</v>
      </c>
      <c r="L20" s="368">
        <f>+L19</f>
        <v>0</v>
      </c>
      <c r="M20" s="360">
        <f>+M19</f>
        <v>546.1</v>
      </c>
      <c r="N20" s="360">
        <f>+N19</f>
        <v>546.1</v>
      </c>
      <c r="O20" s="2823"/>
      <c r="P20" s="3013"/>
      <c r="Q20" s="2825"/>
      <c r="R20" s="3015"/>
    </row>
    <row r="21" spans="1:20" s="22" customFormat="1" ht="26.25" customHeight="1" x14ac:dyDescent="0.25">
      <c r="A21" s="564" t="s">
        <v>13</v>
      </c>
      <c r="B21" s="25" t="s">
        <v>13</v>
      </c>
      <c r="C21" s="567" t="s">
        <v>24</v>
      </c>
      <c r="D21" s="2826" t="s">
        <v>68</v>
      </c>
      <c r="E21" s="146"/>
      <c r="F21" s="546" t="s">
        <v>16</v>
      </c>
      <c r="G21" s="581" t="s">
        <v>26</v>
      </c>
      <c r="H21" s="38" t="s">
        <v>17</v>
      </c>
      <c r="I21" s="350">
        <f>J21</f>
        <v>3219.4000000000005</v>
      </c>
      <c r="J21" s="351">
        <f>436.8+2467.8+314.8</f>
        <v>3219.4000000000005</v>
      </c>
      <c r="K21" s="370"/>
      <c r="L21" s="366"/>
      <c r="M21" s="35">
        <v>2990</v>
      </c>
      <c r="N21" s="35">
        <v>2990</v>
      </c>
      <c r="O21" s="2822" t="s">
        <v>108</v>
      </c>
      <c r="P21" s="2999">
        <v>3500</v>
      </c>
      <c r="Q21" s="2982">
        <v>3500</v>
      </c>
      <c r="R21" s="2983">
        <v>3500</v>
      </c>
    </row>
    <row r="22" spans="1:20" s="22" customFormat="1" ht="25.5" customHeight="1" thickBot="1" x14ac:dyDescent="0.3">
      <c r="A22" s="576"/>
      <c r="B22" s="37"/>
      <c r="C22" s="568"/>
      <c r="D22" s="2827"/>
      <c r="E22" s="161"/>
      <c r="F22" s="548"/>
      <c r="G22" s="582"/>
      <c r="H22" s="470" t="s">
        <v>18</v>
      </c>
      <c r="I22" s="367">
        <f>J22+L22</f>
        <v>3219.4000000000005</v>
      </c>
      <c r="J22" s="362">
        <f>+J21</f>
        <v>3219.4000000000005</v>
      </c>
      <c r="K22" s="361">
        <f>+K21</f>
        <v>0</v>
      </c>
      <c r="L22" s="368">
        <f>+L21</f>
        <v>0</v>
      </c>
      <c r="M22" s="360">
        <f>+M21</f>
        <v>2990</v>
      </c>
      <c r="N22" s="360">
        <f>+N21</f>
        <v>2990</v>
      </c>
      <c r="O22" s="2823"/>
      <c r="P22" s="3000"/>
      <c r="Q22" s="3001"/>
      <c r="R22" s="3011"/>
    </row>
    <row r="23" spans="1:20" s="22" customFormat="1" ht="12.75" customHeight="1" x14ac:dyDescent="0.25">
      <c r="A23" s="2928" t="s">
        <v>13</v>
      </c>
      <c r="B23" s="2929" t="s">
        <v>13</v>
      </c>
      <c r="C23" s="2953" t="s">
        <v>28</v>
      </c>
      <c r="D23" s="2826" t="s">
        <v>20</v>
      </c>
      <c r="E23" s="3009"/>
      <c r="F23" s="2884" t="s">
        <v>16</v>
      </c>
      <c r="G23" s="3003" t="s">
        <v>26</v>
      </c>
      <c r="H23" s="26" t="s">
        <v>21</v>
      </c>
      <c r="I23" s="469">
        <f>J23+L23</f>
        <v>33873</v>
      </c>
      <c r="J23" s="339">
        <v>33873</v>
      </c>
      <c r="K23" s="371"/>
      <c r="L23" s="372"/>
      <c r="M23" s="39">
        <v>33873</v>
      </c>
      <c r="N23" s="40">
        <v>33873</v>
      </c>
      <c r="O23" s="714" t="s">
        <v>69</v>
      </c>
      <c r="P23" s="264">
        <v>6081</v>
      </c>
      <c r="Q23" s="265">
        <v>6081</v>
      </c>
      <c r="R23" s="266">
        <v>6081</v>
      </c>
    </row>
    <row r="24" spans="1:20" s="22" customFormat="1" ht="39" customHeight="1" thickBot="1" x14ac:dyDescent="0.3">
      <c r="A24" s="2986"/>
      <c r="B24" s="2987"/>
      <c r="C24" s="2954"/>
      <c r="D24" s="2827"/>
      <c r="E24" s="3010"/>
      <c r="F24" s="2797"/>
      <c r="G24" s="3004"/>
      <c r="H24" s="470" t="s">
        <v>18</v>
      </c>
      <c r="I24" s="367">
        <f>J24+L24</f>
        <v>33873</v>
      </c>
      <c r="J24" s="362">
        <f>+J23</f>
        <v>33873</v>
      </c>
      <c r="K24" s="361">
        <f>+K23</f>
        <v>0</v>
      </c>
      <c r="L24" s="368"/>
      <c r="M24" s="360">
        <f>+M23</f>
        <v>33873</v>
      </c>
      <c r="N24" s="382">
        <f>+N23</f>
        <v>33873</v>
      </c>
      <c r="O24" s="42"/>
      <c r="P24" s="213"/>
      <c r="Q24" s="60"/>
      <c r="R24" s="214"/>
    </row>
    <row r="25" spans="1:20" s="22" customFormat="1" ht="17.25" customHeight="1" x14ac:dyDescent="0.25">
      <c r="A25" s="743" t="s">
        <v>13</v>
      </c>
      <c r="B25" s="25" t="s">
        <v>13</v>
      </c>
      <c r="C25" s="746" t="s">
        <v>36</v>
      </c>
      <c r="D25" s="2826" t="s">
        <v>23</v>
      </c>
      <c r="E25" s="748"/>
      <c r="F25" s="749" t="s">
        <v>16</v>
      </c>
      <c r="G25" s="752" t="s">
        <v>26</v>
      </c>
      <c r="H25" s="48" t="s">
        <v>21</v>
      </c>
      <c r="I25" s="373">
        <f>J25</f>
        <v>9017.6</v>
      </c>
      <c r="J25" s="369">
        <v>9017.6</v>
      </c>
      <c r="K25" s="717"/>
      <c r="L25" s="366"/>
      <c r="M25" s="35">
        <v>9018</v>
      </c>
      <c r="N25" s="36">
        <v>9018</v>
      </c>
      <c r="O25" s="3005" t="s">
        <v>69</v>
      </c>
      <c r="P25" s="3007">
        <v>4062</v>
      </c>
      <c r="Q25" s="2994">
        <v>4062</v>
      </c>
      <c r="R25" s="2996">
        <v>4062</v>
      </c>
    </row>
    <row r="26" spans="1:20" s="22" customFormat="1" ht="13.5" thickBot="1" x14ac:dyDescent="0.3">
      <c r="A26" s="744"/>
      <c r="B26" s="37"/>
      <c r="C26" s="747"/>
      <c r="D26" s="2827"/>
      <c r="E26" s="161"/>
      <c r="F26" s="750"/>
      <c r="G26" s="742"/>
      <c r="H26" s="470" t="s">
        <v>18</v>
      </c>
      <c r="I26" s="367">
        <f t="shared" ref="I26:N26" si="0">+I25</f>
        <v>9017.6</v>
      </c>
      <c r="J26" s="362">
        <f t="shared" si="0"/>
        <v>9017.6</v>
      </c>
      <c r="K26" s="361">
        <f t="shared" si="0"/>
        <v>0</v>
      </c>
      <c r="L26" s="368"/>
      <c r="M26" s="360">
        <f t="shared" si="0"/>
        <v>9018</v>
      </c>
      <c r="N26" s="360">
        <f t="shared" si="0"/>
        <v>9018</v>
      </c>
      <c r="O26" s="3006"/>
      <c r="P26" s="3008"/>
      <c r="Q26" s="2995"/>
      <c r="R26" s="2997"/>
    </row>
    <row r="27" spans="1:20" s="18" customFormat="1" ht="28.5" customHeight="1" x14ac:dyDescent="0.25">
      <c r="A27" s="2928" t="s">
        <v>13</v>
      </c>
      <c r="B27" s="2929" t="s">
        <v>13</v>
      </c>
      <c r="C27" s="2876" t="s">
        <v>38</v>
      </c>
      <c r="D27" s="2826" t="s">
        <v>25</v>
      </c>
      <c r="E27" s="163"/>
      <c r="F27" s="569">
        <v>10</v>
      </c>
      <c r="G27" s="570" t="s">
        <v>26</v>
      </c>
      <c r="H27" s="43" t="s">
        <v>27</v>
      </c>
      <c r="I27" s="373">
        <f>J27+L27</f>
        <v>393</v>
      </c>
      <c r="J27" s="369">
        <v>393</v>
      </c>
      <c r="K27" s="375"/>
      <c r="L27" s="376"/>
      <c r="M27" s="44">
        <v>406.5</v>
      </c>
      <c r="N27" s="267">
        <v>406.5</v>
      </c>
      <c r="O27" s="2998" t="s">
        <v>109</v>
      </c>
      <c r="P27" s="2999">
        <v>2203</v>
      </c>
      <c r="Q27" s="2982">
        <v>2203</v>
      </c>
      <c r="R27" s="2983">
        <v>2203</v>
      </c>
    </row>
    <row r="28" spans="1:20" s="22" customFormat="1" ht="13.5" thickBot="1" x14ac:dyDescent="0.3">
      <c r="A28" s="2871"/>
      <c r="B28" s="2874"/>
      <c r="C28" s="2877"/>
      <c r="D28" s="2827"/>
      <c r="E28" s="147"/>
      <c r="F28" s="547"/>
      <c r="G28" s="30"/>
      <c r="H28" s="470" t="s">
        <v>18</v>
      </c>
      <c r="I28" s="377">
        <f t="shared" ref="I28:N28" si="1">+I27</f>
        <v>393</v>
      </c>
      <c r="J28" s="362">
        <f t="shared" si="1"/>
        <v>393</v>
      </c>
      <c r="K28" s="361">
        <f t="shared" si="1"/>
        <v>0</v>
      </c>
      <c r="L28" s="368"/>
      <c r="M28" s="360">
        <f t="shared" si="1"/>
        <v>406.5</v>
      </c>
      <c r="N28" s="360">
        <f t="shared" si="1"/>
        <v>406.5</v>
      </c>
      <c r="O28" s="2927"/>
      <c r="P28" s="3000"/>
      <c r="Q28" s="3001"/>
      <c r="R28" s="3002"/>
    </row>
    <row r="29" spans="1:20" s="19" customFormat="1" ht="29.25" customHeight="1" x14ac:dyDescent="0.25">
      <c r="A29" s="2928" t="s">
        <v>13</v>
      </c>
      <c r="B29" s="2929" t="s">
        <v>13</v>
      </c>
      <c r="C29" s="45" t="s">
        <v>70</v>
      </c>
      <c r="D29" s="2826" t="s">
        <v>29</v>
      </c>
      <c r="E29" s="164"/>
      <c r="F29" s="46" t="s">
        <v>16</v>
      </c>
      <c r="G29" s="47">
        <v>3</v>
      </c>
      <c r="H29" s="48" t="s">
        <v>27</v>
      </c>
      <c r="I29" s="373">
        <f>J29+L29</f>
        <v>638.5</v>
      </c>
      <c r="J29" s="369">
        <v>638.5</v>
      </c>
      <c r="K29" s="375"/>
      <c r="L29" s="376"/>
      <c r="M29" s="35">
        <v>638.5</v>
      </c>
      <c r="N29" s="36">
        <v>638.5</v>
      </c>
      <c r="O29" s="751" t="s">
        <v>176</v>
      </c>
      <c r="P29" s="256">
        <v>6300</v>
      </c>
      <c r="Q29" s="741">
        <v>6300</v>
      </c>
      <c r="R29" s="257">
        <v>6300</v>
      </c>
      <c r="S29" s="610"/>
    </row>
    <row r="30" spans="1:20" s="19" customFormat="1" ht="13.5" thickBot="1" x14ac:dyDescent="0.3">
      <c r="A30" s="2986"/>
      <c r="B30" s="2987"/>
      <c r="C30" s="49"/>
      <c r="D30" s="2827"/>
      <c r="E30" s="756"/>
      <c r="F30" s="50"/>
      <c r="G30" s="500"/>
      <c r="H30" s="477" t="s">
        <v>18</v>
      </c>
      <c r="I30" s="367">
        <f t="shared" ref="I30:N30" si="2">+I29</f>
        <v>638.5</v>
      </c>
      <c r="J30" s="362">
        <f t="shared" si="2"/>
        <v>638.5</v>
      </c>
      <c r="K30" s="361">
        <f t="shared" si="2"/>
        <v>0</v>
      </c>
      <c r="L30" s="368"/>
      <c r="M30" s="360">
        <f t="shared" si="2"/>
        <v>638.5</v>
      </c>
      <c r="N30" s="360">
        <f t="shared" si="2"/>
        <v>638.5</v>
      </c>
      <c r="O30" s="757"/>
      <c r="P30" s="753"/>
      <c r="Q30" s="754"/>
      <c r="R30" s="755"/>
    </row>
    <row r="31" spans="1:20" s="18" customFormat="1" ht="13.5" thickBot="1" x14ac:dyDescent="0.3">
      <c r="A31" s="23" t="s">
        <v>13</v>
      </c>
      <c r="B31" s="24" t="s">
        <v>13</v>
      </c>
      <c r="C31" s="2988" t="s">
        <v>30</v>
      </c>
      <c r="D31" s="2989"/>
      <c r="E31" s="2989"/>
      <c r="F31" s="2989"/>
      <c r="G31" s="2989"/>
      <c r="H31" s="2990"/>
      <c r="I31" s="52">
        <f>J31+L31</f>
        <v>75115</v>
      </c>
      <c r="J31" s="53">
        <f>J30+J28+J26+J24+J22+J20+J18+J16</f>
        <v>75115</v>
      </c>
      <c r="K31" s="54">
        <f>K30+K28+K26+K24+K22+K20+K18+K16</f>
        <v>1437.1999999999998</v>
      </c>
      <c r="L31" s="53"/>
      <c r="M31" s="55">
        <f>M30+M28+M26+M24+M22+M20+M18+M16</f>
        <v>82353.5</v>
      </c>
      <c r="N31" s="53">
        <f>N30+N28+N26+N24+N22+N20+N18+N16</f>
        <v>82353.5</v>
      </c>
      <c r="O31" s="2991"/>
      <c r="P31" s="2992"/>
      <c r="Q31" s="2992"/>
      <c r="R31" s="2993"/>
    </row>
    <row r="32" spans="1:20" s="18" customFormat="1" ht="13.5" thickBot="1" x14ac:dyDescent="0.3">
      <c r="A32" s="332" t="s">
        <v>13</v>
      </c>
      <c r="B32" s="565" t="s">
        <v>19</v>
      </c>
      <c r="C32" s="2984" t="s">
        <v>31</v>
      </c>
      <c r="D32" s="2984"/>
      <c r="E32" s="2984"/>
      <c r="F32" s="2984"/>
      <c r="G32" s="2984"/>
      <c r="H32" s="2984"/>
      <c r="I32" s="2984"/>
      <c r="J32" s="2984"/>
      <c r="K32" s="2984"/>
      <c r="L32" s="2984"/>
      <c r="M32" s="2984"/>
      <c r="N32" s="2984"/>
      <c r="O32" s="2984"/>
      <c r="P32" s="2984"/>
      <c r="Q32" s="2984"/>
      <c r="R32" s="2985"/>
    </row>
    <row r="33" spans="1:23" s="19" customFormat="1" ht="39" customHeight="1" x14ac:dyDescent="0.25">
      <c r="A33" s="836" t="s">
        <v>13</v>
      </c>
      <c r="B33" s="837" t="s">
        <v>19</v>
      </c>
      <c r="C33" s="848" t="s">
        <v>13</v>
      </c>
      <c r="D33" s="14" t="s">
        <v>56</v>
      </c>
      <c r="E33" s="330"/>
      <c r="F33" s="499" t="s">
        <v>16</v>
      </c>
      <c r="G33" s="47">
        <v>3</v>
      </c>
      <c r="H33" s="611" t="s">
        <v>27</v>
      </c>
      <c r="I33" s="612">
        <f>J33+L33</f>
        <v>7698.8</v>
      </c>
      <c r="J33" s="613">
        <v>7696.8</v>
      </c>
      <c r="K33" s="613">
        <v>5138.6000000000004</v>
      </c>
      <c r="L33" s="614">
        <v>2</v>
      </c>
      <c r="M33" s="618">
        <v>9854.7000000000007</v>
      </c>
      <c r="N33" s="615">
        <v>9887.5</v>
      </c>
      <c r="O33" s="715" t="s">
        <v>178</v>
      </c>
      <c r="P33" s="215">
        <v>230</v>
      </c>
      <c r="Q33" s="216">
        <v>230</v>
      </c>
      <c r="R33" s="644">
        <v>230</v>
      </c>
      <c r="S33" s="617"/>
      <c r="T33" s="617"/>
      <c r="U33" s="617"/>
      <c r="V33" s="617"/>
      <c r="W33" s="616"/>
    </row>
    <row r="34" spans="1:23" s="19" customFormat="1" ht="16.5" customHeight="1" x14ac:dyDescent="0.25">
      <c r="A34" s="826"/>
      <c r="B34" s="827"/>
      <c r="C34" s="166"/>
      <c r="D34" s="169" t="s">
        <v>177</v>
      </c>
      <c r="E34" s="173"/>
      <c r="F34" s="69"/>
      <c r="G34" s="51"/>
      <c r="H34" s="306" t="s">
        <v>32</v>
      </c>
      <c r="I34" s="619">
        <f>J34+L34</f>
        <v>1501.2</v>
      </c>
      <c r="J34" s="620">
        <v>1498.2</v>
      </c>
      <c r="K34" s="620">
        <v>416.3</v>
      </c>
      <c r="L34" s="621">
        <v>3</v>
      </c>
      <c r="M34" s="622">
        <f>1773.7+59.4</f>
        <v>1833.1000000000001</v>
      </c>
      <c r="N34" s="622">
        <v>1833.1</v>
      </c>
      <c r="O34" s="716" t="s">
        <v>179</v>
      </c>
      <c r="P34" s="640">
        <v>404</v>
      </c>
      <c r="Q34" s="857">
        <v>508</v>
      </c>
      <c r="R34" s="234">
        <v>508</v>
      </c>
      <c r="S34" s="617"/>
      <c r="T34" s="617"/>
      <c r="U34" s="617"/>
      <c r="V34" s="617"/>
      <c r="W34" s="616"/>
    </row>
    <row r="35" spans="1:23" s="19" customFormat="1" ht="25.5" customHeight="1" x14ac:dyDescent="0.25">
      <c r="A35" s="826"/>
      <c r="B35" s="827"/>
      <c r="C35" s="166"/>
      <c r="D35" s="169" t="s">
        <v>142</v>
      </c>
      <c r="E35" s="173"/>
      <c r="F35" s="69"/>
      <c r="G35" s="197"/>
      <c r="H35" s="203" t="s">
        <v>42</v>
      </c>
      <c r="I35" s="489">
        <f>J35+L35</f>
        <v>3.6</v>
      </c>
      <c r="J35" s="343">
        <v>3.6</v>
      </c>
      <c r="K35" s="623"/>
      <c r="L35" s="353"/>
      <c r="M35" s="307">
        <v>3.6</v>
      </c>
      <c r="N35" s="307">
        <v>3.6</v>
      </c>
      <c r="O35" s="58"/>
      <c r="P35" s="641"/>
      <c r="Q35" s="642"/>
      <c r="R35" s="643"/>
      <c r="T35" s="2776"/>
      <c r="U35" s="624"/>
      <c r="V35" s="624"/>
      <c r="W35" s="624"/>
    </row>
    <row r="36" spans="1:23" s="19" customFormat="1" ht="43.5" customHeight="1" x14ac:dyDescent="0.25">
      <c r="A36" s="826"/>
      <c r="B36" s="827"/>
      <c r="C36" s="166"/>
      <c r="D36" s="2814" t="s">
        <v>180</v>
      </c>
      <c r="E36" s="173"/>
      <c r="F36" s="69"/>
      <c r="G36" s="51"/>
      <c r="H36" s="203" t="s">
        <v>21</v>
      </c>
      <c r="I36" s="342">
        <f>J36+L36</f>
        <v>386.5</v>
      </c>
      <c r="J36" s="343">
        <v>351.5</v>
      </c>
      <c r="K36" s="343"/>
      <c r="L36" s="353">
        <v>35</v>
      </c>
      <c r="M36" s="57">
        <v>621.5</v>
      </c>
      <c r="N36" s="57">
        <v>621.5</v>
      </c>
      <c r="O36" s="58"/>
      <c r="P36" s="861"/>
      <c r="Q36" s="862"/>
      <c r="R36" s="863"/>
      <c r="T36" s="2776"/>
    </row>
    <row r="37" spans="1:23" s="19" customFormat="1" x14ac:dyDescent="0.25">
      <c r="A37" s="826"/>
      <c r="B37" s="827"/>
      <c r="C37" s="166"/>
      <c r="D37" s="2814"/>
      <c r="E37" s="173"/>
      <c r="F37" s="69"/>
      <c r="G37" s="51"/>
      <c r="H37" s="283" t="s">
        <v>17</v>
      </c>
      <c r="I37" s="627">
        <f>J37+L37</f>
        <v>1892.9</v>
      </c>
      <c r="J37" s="386">
        <f>1974.4-81.5</f>
        <v>1892.9</v>
      </c>
      <c r="K37" s="386">
        <f>1188-62.2</f>
        <v>1125.8</v>
      </c>
      <c r="L37" s="400"/>
      <c r="M37" s="628">
        <v>2871.4</v>
      </c>
      <c r="N37" s="628">
        <v>2871.4</v>
      </c>
      <c r="O37" s="58"/>
      <c r="P37" s="861"/>
      <c r="Q37" s="213"/>
      <c r="R37" s="61"/>
      <c r="T37" s="625"/>
      <c r="U37" s="626"/>
      <c r="V37" s="626"/>
      <c r="W37" s="626"/>
    </row>
    <row r="38" spans="1:23" s="19" customFormat="1" ht="25.5" x14ac:dyDescent="0.25">
      <c r="A38" s="826"/>
      <c r="B38" s="827"/>
      <c r="C38" s="166"/>
      <c r="D38" s="169" t="s">
        <v>181</v>
      </c>
      <c r="E38" s="173"/>
      <c r="F38" s="69"/>
      <c r="G38" s="51"/>
      <c r="H38" s="253"/>
      <c r="I38" s="357"/>
      <c r="J38" s="358"/>
      <c r="K38" s="358"/>
      <c r="L38" s="359"/>
      <c r="M38" s="62"/>
      <c r="N38" s="66"/>
      <c r="O38" s="58"/>
      <c r="P38" s="629"/>
      <c r="Q38" s="630"/>
      <c r="R38" s="631"/>
    </row>
    <row r="39" spans="1:23" s="19" customFormat="1" x14ac:dyDescent="0.25">
      <c r="A39" s="826"/>
      <c r="B39" s="827"/>
      <c r="C39" s="166"/>
      <c r="D39" s="2814" t="s">
        <v>182</v>
      </c>
      <c r="E39" s="171"/>
      <c r="F39" s="69"/>
      <c r="G39" s="51"/>
      <c r="H39" s="253"/>
      <c r="I39" s="357"/>
      <c r="J39" s="358"/>
      <c r="K39" s="358"/>
      <c r="L39" s="632"/>
      <c r="M39" s="262"/>
      <c r="N39" s="331"/>
      <c r="O39" s="58"/>
      <c r="P39" s="59"/>
      <c r="Q39" s="633"/>
      <c r="R39" s="863"/>
    </row>
    <row r="40" spans="1:23" s="19" customFormat="1" x14ac:dyDescent="0.25">
      <c r="A40" s="826"/>
      <c r="B40" s="827"/>
      <c r="C40" s="166"/>
      <c r="D40" s="2814"/>
      <c r="E40" s="171"/>
      <c r="F40" s="69"/>
      <c r="G40" s="51"/>
      <c r="H40" s="253"/>
      <c r="I40" s="357"/>
      <c r="J40" s="358"/>
      <c r="K40" s="358"/>
      <c r="L40" s="632"/>
      <c r="M40" s="66"/>
      <c r="N40" s="62"/>
      <c r="O40" s="58"/>
      <c r="P40" s="59"/>
      <c r="Q40" s="633"/>
      <c r="R40" s="863"/>
    </row>
    <row r="41" spans="1:23" s="19" customFormat="1" ht="25.5" x14ac:dyDescent="0.25">
      <c r="A41" s="826"/>
      <c r="B41" s="827"/>
      <c r="C41" s="166"/>
      <c r="D41" s="169" t="s">
        <v>183</v>
      </c>
      <c r="E41" s="171"/>
      <c r="F41" s="69"/>
      <c r="G41" s="51"/>
      <c r="H41" s="253"/>
      <c r="I41" s="357"/>
      <c r="J41" s="634"/>
      <c r="K41" s="358"/>
      <c r="L41" s="632"/>
      <c r="M41" s="276"/>
      <c r="N41" s="64"/>
      <c r="O41" s="273"/>
      <c r="P41" s="506"/>
      <c r="Q41" s="504"/>
      <c r="R41" s="281"/>
    </row>
    <row r="42" spans="1:23" s="19" customFormat="1" x14ac:dyDescent="0.25">
      <c r="A42" s="826"/>
      <c r="B42" s="827"/>
      <c r="C42" s="68"/>
      <c r="D42" s="2814" t="s">
        <v>184</v>
      </c>
      <c r="E42" s="599"/>
      <c r="F42" s="103"/>
      <c r="G42" s="51"/>
      <c r="H42" s="33"/>
      <c r="I42" s="357"/>
      <c r="J42" s="358"/>
      <c r="K42" s="358"/>
      <c r="L42" s="359"/>
      <c r="M42" s="262"/>
      <c r="N42" s="331"/>
      <c r="O42" s="508"/>
      <c r="P42" s="509"/>
      <c r="Q42" s="510"/>
      <c r="R42" s="511"/>
    </row>
    <row r="43" spans="1:23" s="19" customFormat="1" ht="15.75" customHeight="1" x14ac:dyDescent="0.25">
      <c r="A43" s="826"/>
      <c r="B43" s="827"/>
      <c r="C43" s="68"/>
      <c r="D43" s="2814"/>
      <c r="E43" s="599"/>
      <c r="F43" s="103"/>
      <c r="G43" s="51"/>
      <c r="H43" s="33"/>
      <c r="I43" s="357"/>
      <c r="J43" s="358"/>
      <c r="K43" s="358"/>
      <c r="L43" s="359"/>
      <c r="M43" s="262"/>
      <c r="N43" s="331"/>
      <c r="O43" s="858"/>
      <c r="P43" s="861"/>
      <c r="Q43" s="862"/>
      <c r="R43" s="863"/>
    </row>
    <row r="44" spans="1:23" s="19" customFormat="1" x14ac:dyDescent="0.25">
      <c r="A44" s="826"/>
      <c r="B44" s="827"/>
      <c r="C44" s="829"/>
      <c r="D44" s="2814" t="s">
        <v>185</v>
      </c>
      <c r="E44" s="600"/>
      <c r="F44" s="817"/>
      <c r="G44" s="4"/>
      <c r="H44" s="33"/>
      <c r="I44" s="590"/>
      <c r="J44" s="591"/>
      <c r="K44" s="591"/>
      <c r="L44" s="359"/>
      <c r="M44" s="635"/>
      <c r="N44" s="636"/>
      <c r="O44" s="508"/>
      <c r="P44" s="861"/>
      <c r="Q44" s="862"/>
      <c r="R44" s="863"/>
    </row>
    <row r="45" spans="1:23" s="19" customFormat="1" ht="14.25" customHeight="1" x14ac:dyDescent="0.25">
      <c r="A45" s="826"/>
      <c r="B45" s="827"/>
      <c r="C45" s="829"/>
      <c r="D45" s="2814"/>
      <c r="E45" s="600"/>
      <c r="F45" s="817"/>
      <c r="G45" s="4"/>
      <c r="H45" s="253"/>
      <c r="I45" s="590"/>
      <c r="J45" s="591"/>
      <c r="K45" s="591"/>
      <c r="L45" s="359"/>
      <c r="M45" s="66"/>
      <c r="N45" s="62"/>
      <c r="O45" s="858"/>
      <c r="P45" s="861"/>
      <c r="Q45" s="862"/>
      <c r="R45" s="863"/>
    </row>
    <row r="46" spans="1:23" s="67" customFormat="1" x14ac:dyDescent="0.25">
      <c r="A46" s="826"/>
      <c r="B46" s="827"/>
      <c r="C46" s="172"/>
      <c r="D46" s="2814" t="s">
        <v>186</v>
      </c>
      <c r="E46" s="601"/>
      <c r="F46" s="65"/>
      <c r="G46" s="51"/>
      <c r="H46" s="33"/>
      <c r="I46" s="637"/>
      <c r="J46" s="591"/>
      <c r="K46" s="591"/>
      <c r="L46" s="359"/>
      <c r="M46" s="66"/>
      <c r="N46" s="62"/>
      <c r="O46" s="508"/>
      <c r="P46" s="861"/>
      <c r="Q46" s="862"/>
      <c r="R46" s="863"/>
    </row>
    <row r="47" spans="1:23" s="67" customFormat="1" ht="14.25" customHeight="1" thickBot="1" x14ac:dyDescent="0.3">
      <c r="A47" s="851"/>
      <c r="B47" s="852"/>
      <c r="C47" s="772"/>
      <c r="D47" s="2908"/>
      <c r="E47" s="773"/>
      <c r="F47" s="774"/>
      <c r="G47" s="500"/>
      <c r="H47" s="775"/>
      <c r="I47" s="776"/>
      <c r="J47" s="777"/>
      <c r="K47" s="777"/>
      <c r="L47" s="778"/>
      <c r="M47" s="779"/>
      <c r="N47" s="780"/>
      <c r="O47" s="781"/>
      <c r="P47" s="753"/>
      <c r="Q47" s="754"/>
      <c r="R47" s="755"/>
    </row>
    <row r="48" spans="1:23" s="19" customFormat="1" x14ac:dyDescent="0.25">
      <c r="A48" s="836"/>
      <c r="B48" s="837"/>
      <c r="C48" s="848"/>
      <c r="D48" s="2847" t="s">
        <v>187</v>
      </c>
      <c r="E48" s="869"/>
      <c r="F48" s="499"/>
      <c r="G48" s="47"/>
      <c r="H48" s="26"/>
      <c r="I48" s="769"/>
      <c r="J48" s="339"/>
      <c r="K48" s="339"/>
      <c r="L48" s="870"/>
      <c r="M48" s="692"/>
      <c r="N48" s="693"/>
      <c r="O48" s="2979"/>
      <c r="P48" s="2981"/>
      <c r="Q48" s="2982"/>
      <c r="R48" s="2983"/>
    </row>
    <row r="49" spans="1:23" s="19" customFormat="1" x14ac:dyDescent="0.25">
      <c r="A49" s="826"/>
      <c r="B49" s="28"/>
      <c r="C49" s="166"/>
      <c r="D49" s="2814"/>
      <c r="E49" s="599"/>
      <c r="F49" s="69"/>
      <c r="G49" s="51"/>
      <c r="H49" s="33"/>
      <c r="I49" s="357"/>
      <c r="J49" s="639"/>
      <c r="K49" s="396"/>
      <c r="L49" s="431"/>
      <c r="M49" s="66"/>
      <c r="N49" s="62"/>
      <c r="O49" s="2980"/>
      <c r="P49" s="2972"/>
      <c r="Q49" s="2974"/>
      <c r="R49" s="2976"/>
    </row>
    <row r="50" spans="1:23" s="22" customFormat="1" ht="14.25" customHeight="1" x14ac:dyDescent="0.25">
      <c r="A50" s="859"/>
      <c r="B50" s="827"/>
      <c r="C50" s="204"/>
      <c r="D50" s="2814"/>
      <c r="E50" s="147"/>
      <c r="F50" s="817"/>
      <c r="G50" s="30"/>
      <c r="H50" s="33"/>
      <c r="I50" s="420"/>
      <c r="J50" s="487"/>
      <c r="K50" s="396"/>
      <c r="L50" s="431"/>
      <c r="M50" s="70"/>
      <c r="N50" s="337"/>
      <c r="O50" s="2980"/>
      <c r="P50" s="2972"/>
      <c r="Q50" s="2974"/>
      <c r="R50" s="2976"/>
    </row>
    <row r="51" spans="1:23" s="19" customFormat="1" x14ac:dyDescent="0.25">
      <c r="A51" s="826"/>
      <c r="B51" s="827"/>
      <c r="C51" s="166"/>
      <c r="D51" s="2814" t="s">
        <v>188</v>
      </c>
      <c r="E51" s="599"/>
      <c r="F51" s="69"/>
      <c r="G51" s="51"/>
      <c r="H51" s="33"/>
      <c r="I51" s="357"/>
      <c r="J51" s="358"/>
      <c r="K51" s="358"/>
      <c r="L51" s="359"/>
      <c r="M51" s="66"/>
      <c r="N51" s="62"/>
      <c r="O51" s="2978"/>
      <c r="P51" s="2972"/>
      <c r="Q51" s="2974"/>
      <c r="R51" s="2976"/>
    </row>
    <row r="52" spans="1:23" s="19" customFormat="1" x14ac:dyDescent="0.25">
      <c r="A52" s="826"/>
      <c r="B52" s="28"/>
      <c r="C52" s="166"/>
      <c r="D52" s="2814"/>
      <c r="E52" s="599"/>
      <c r="F52" s="69"/>
      <c r="G52" s="51"/>
      <c r="H52" s="33"/>
      <c r="I52" s="357"/>
      <c r="J52" s="396"/>
      <c r="K52" s="396"/>
      <c r="L52" s="431"/>
      <c r="M52" s="66"/>
      <c r="N52" s="62"/>
      <c r="O52" s="2978"/>
      <c r="P52" s="2972"/>
      <c r="Q52" s="2974"/>
      <c r="R52" s="2976"/>
    </row>
    <row r="53" spans="1:23" s="22" customFormat="1" x14ac:dyDescent="0.25">
      <c r="A53" s="826"/>
      <c r="B53" s="28"/>
      <c r="C53" s="29"/>
      <c r="D53" s="2814"/>
      <c r="E53" s="147"/>
      <c r="F53" s="817"/>
      <c r="G53" s="30"/>
      <c r="H53" s="33"/>
      <c r="I53" s="357"/>
      <c r="J53" s="396"/>
      <c r="K53" s="396"/>
      <c r="L53" s="431"/>
      <c r="M53" s="70"/>
      <c r="N53" s="337"/>
      <c r="O53" s="2978"/>
      <c r="P53" s="2972"/>
      <c r="Q53" s="2974"/>
      <c r="R53" s="2976"/>
    </row>
    <row r="54" spans="1:23" s="19" customFormat="1" ht="14.25" customHeight="1" x14ac:dyDescent="0.25">
      <c r="A54" s="826"/>
      <c r="B54" s="827"/>
      <c r="C54" s="166"/>
      <c r="D54" s="2814" t="s">
        <v>118</v>
      </c>
      <c r="E54" s="599"/>
      <c r="F54" s="69"/>
      <c r="G54" s="51"/>
      <c r="H54" s="33"/>
      <c r="I54" s="357"/>
      <c r="J54" s="358"/>
      <c r="K54" s="358"/>
      <c r="L54" s="359"/>
      <c r="M54" s="66"/>
      <c r="N54" s="62"/>
      <c r="O54" s="2970"/>
      <c r="P54" s="2972"/>
      <c r="Q54" s="2974"/>
      <c r="R54" s="2976"/>
    </row>
    <row r="55" spans="1:23" s="19" customFormat="1" ht="14.25" customHeight="1" x14ac:dyDescent="0.25">
      <c r="A55" s="826"/>
      <c r="B55" s="28"/>
      <c r="C55" s="166"/>
      <c r="D55" s="2814"/>
      <c r="E55" s="599"/>
      <c r="F55" s="69"/>
      <c r="G55" s="51"/>
      <c r="H55" s="33"/>
      <c r="I55" s="354"/>
      <c r="J55" s="468"/>
      <c r="K55" s="468"/>
      <c r="L55" s="638"/>
      <c r="M55" s="72"/>
      <c r="N55" s="335"/>
      <c r="O55" s="2970"/>
      <c r="P55" s="2972"/>
      <c r="Q55" s="2974"/>
      <c r="R55" s="2976"/>
    </row>
    <row r="56" spans="1:23" s="19" customFormat="1" ht="13.5" thickBot="1" x14ac:dyDescent="0.3">
      <c r="A56" s="826"/>
      <c r="B56" s="827"/>
      <c r="C56" s="829"/>
      <c r="D56" s="2908"/>
      <c r="E56" s="602"/>
      <c r="F56" s="69"/>
      <c r="G56" s="73"/>
      <c r="H56" s="470" t="s">
        <v>18</v>
      </c>
      <c r="I56" s="399">
        <f>SUM(I33:I55)</f>
        <v>11483</v>
      </c>
      <c r="J56" s="399">
        <f t="shared" ref="J56:N56" si="3">SUM(J33:J55)</f>
        <v>11443</v>
      </c>
      <c r="K56" s="399">
        <f t="shared" si="3"/>
        <v>6680.7000000000007</v>
      </c>
      <c r="L56" s="399">
        <f t="shared" si="3"/>
        <v>40</v>
      </c>
      <c r="M56" s="399">
        <f>SUM(M33:M55)</f>
        <v>15184.300000000001</v>
      </c>
      <c r="N56" s="399">
        <f t="shared" si="3"/>
        <v>15217.1</v>
      </c>
      <c r="O56" s="2971"/>
      <c r="P56" s="2973"/>
      <c r="Q56" s="2975"/>
      <c r="R56" s="2977"/>
    </row>
    <row r="57" spans="1:23" s="18" customFormat="1" ht="12.75" customHeight="1" x14ac:dyDescent="0.25">
      <c r="A57" s="2964" t="s">
        <v>13</v>
      </c>
      <c r="B57" s="2966" t="s">
        <v>19</v>
      </c>
      <c r="C57" s="2968" t="s">
        <v>19</v>
      </c>
      <c r="D57" s="2821" t="s">
        <v>54</v>
      </c>
      <c r="E57" s="2955"/>
      <c r="F57" s="2959">
        <v>10</v>
      </c>
      <c r="G57" s="2961" t="s">
        <v>26</v>
      </c>
      <c r="H57" s="74" t="s">
        <v>27</v>
      </c>
      <c r="I57" s="408">
        <f>J57+L57</f>
        <v>832.3</v>
      </c>
      <c r="J57" s="409">
        <v>832.3</v>
      </c>
      <c r="K57" s="409"/>
      <c r="L57" s="341"/>
      <c r="M57" s="75">
        <v>850</v>
      </c>
      <c r="N57" s="75">
        <v>850</v>
      </c>
      <c r="O57" s="2963" t="s">
        <v>218</v>
      </c>
      <c r="P57" s="218">
        <v>65</v>
      </c>
      <c r="Q57" s="219">
        <v>70</v>
      </c>
      <c r="R57" s="220">
        <v>70</v>
      </c>
    </row>
    <row r="58" spans="1:23" s="19" customFormat="1" ht="45.75" customHeight="1" thickBot="1" x14ac:dyDescent="0.3">
      <c r="A58" s="2965"/>
      <c r="B58" s="2967"/>
      <c r="C58" s="2969"/>
      <c r="D58" s="2806"/>
      <c r="E58" s="2956"/>
      <c r="F58" s="2960"/>
      <c r="G58" s="2962"/>
      <c r="H58" s="470" t="s">
        <v>18</v>
      </c>
      <c r="I58" s="367">
        <f>J58+L58</f>
        <v>832.3</v>
      </c>
      <c r="J58" s="362">
        <f>J57</f>
        <v>832.3</v>
      </c>
      <c r="K58" s="361"/>
      <c r="L58" s="368"/>
      <c r="M58" s="363">
        <f>SUM(M57)</f>
        <v>850</v>
      </c>
      <c r="N58" s="382">
        <f>SUM(N57)</f>
        <v>850</v>
      </c>
      <c r="O58" s="2942"/>
      <c r="P58" s="700"/>
      <c r="Q58" s="701"/>
      <c r="R58" s="702"/>
    </row>
    <row r="59" spans="1:23" s="18" customFormat="1" ht="76.5" x14ac:dyDescent="0.25">
      <c r="A59" s="840" t="s">
        <v>13</v>
      </c>
      <c r="B59" s="842" t="s">
        <v>19</v>
      </c>
      <c r="C59" s="844" t="s">
        <v>22</v>
      </c>
      <c r="D59" s="284" t="s">
        <v>55</v>
      </c>
      <c r="E59" s="206"/>
      <c r="F59" s="846">
        <v>10</v>
      </c>
      <c r="G59" s="839" t="s">
        <v>26</v>
      </c>
      <c r="H59" s="74" t="s">
        <v>27</v>
      </c>
      <c r="I59" s="410">
        <f>J59+L59</f>
        <v>932.2</v>
      </c>
      <c r="J59" s="411">
        <v>932.2</v>
      </c>
      <c r="K59" s="411"/>
      <c r="L59" s="410"/>
      <c r="M59" s="76">
        <v>792.2</v>
      </c>
      <c r="N59" s="77">
        <v>792.2</v>
      </c>
      <c r="O59" s="838" t="s">
        <v>193</v>
      </c>
      <c r="P59" s="218">
        <v>89</v>
      </c>
      <c r="Q59" s="898">
        <v>71</v>
      </c>
      <c r="R59" s="221">
        <v>71</v>
      </c>
      <c r="S59" s="645"/>
      <c r="T59" s="646"/>
      <c r="U59" s="647"/>
      <c r="V59" s="647"/>
      <c r="W59" s="647"/>
    </row>
    <row r="60" spans="1:23" s="18" customFormat="1" ht="51" customHeight="1" x14ac:dyDescent="0.25">
      <c r="A60" s="78"/>
      <c r="B60" s="79"/>
      <c r="C60" s="29"/>
      <c r="D60" s="505" t="s">
        <v>189</v>
      </c>
      <c r="E60" s="176"/>
      <c r="F60" s="80"/>
      <c r="G60" s="81"/>
      <c r="H60" s="312" t="s">
        <v>42</v>
      </c>
      <c r="I60" s="446">
        <f t="shared" ref="I60" si="4">J60+L60</f>
        <v>206.1</v>
      </c>
      <c r="J60" s="415">
        <v>206.1</v>
      </c>
      <c r="K60" s="415"/>
      <c r="L60" s="414"/>
      <c r="M60" s="120">
        <v>206.1</v>
      </c>
      <c r="N60" s="205">
        <v>206.1</v>
      </c>
      <c r="O60" s="707" t="s">
        <v>194</v>
      </c>
      <c r="P60" s="651">
        <v>208</v>
      </c>
      <c r="Q60" s="652">
        <v>208</v>
      </c>
      <c r="R60" s="653">
        <v>208</v>
      </c>
      <c r="T60" s="648"/>
      <c r="U60" s="647"/>
      <c r="V60" s="647"/>
      <c r="W60" s="647"/>
    </row>
    <row r="61" spans="1:23" s="18" customFormat="1" ht="38.25" x14ac:dyDescent="0.25">
      <c r="A61" s="78"/>
      <c r="B61" s="79"/>
      <c r="C61" s="650"/>
      <c r="D61" s="505" t="s">
        <v>190</v>
      </c>
      <c r="E61" s="176"/>
      <c r="F61" s="80"/>
      <c r="G61" s="81"/>
      <c r="H61" s="501"/>
      <c r="I61" s="502"/>
      <c r="J61" s="453"/>
      <c r="K61" s="453"/>
      <c r="L61" s="502"/>
      <c r="M61" s="7"/>
      <c r="N61" s="8"/>
      <c r="O61" s="503"/>
      <c r="P61" s="506"/>
      <c r="Q61" s="504"/>
      <c r="R61" s="281"/>
      <c r="T61" s="649"/>
      <c r="U61" s="165"/>
      <c r="V61" s="165"/>
      <c r="W61" s="165"/>
    </row>
    <row r="62" spans="1:23" s="18" customFormat="1" ht="51.75" thickBot="1" x14ac:dyDescent="0.3">
      <c r="A62" s="841"/>
      <c r="B62" s="843"/>
      <c r="C62" s="845"/>
      <c r="D62" s="782" t="s">
        <v>191</v>
      </c>
      <c r="E62" s="177"/>
      <c r="F62" s="847"/>
      <c r="G62" s="175"/>
      <c r="H62" s="783"/>
      <c r="I62" s="784"/>
      <c r="J62" s="785"/>
      <c r="K62" s="785"/>
      <c r="L62" s="784"/>
      <c r="M62" s="786"/>
      <c r="N62" s="787"/>
      <c r="O62" s="42"/>
      <c r="P62" s="788"/>
      <c r="Q62" s="820"/>
      <c r="R62" s="854"/>
      <c r="T62" s="2775"/>
      <c r="U62" s="165"/>
      <c r="V62" s="165"/>
      <c r="W62" s="165"/>
    </row>
    <row r="63" spans="1:23" s="18" customFormat="1" ht="63.75" x14ac:dyDescent="0.25">
      <c r="A63" s="840"/>
      <c r="B63" s="842"/>
      <c r="C63" s="844"/>
      <c r="D63" s="329" t="s">
        <v>192</v>
      </c>
      <c r="E63" s="206"/>
      <c r="F63" s="846"/>
      <c r="G63" s="839"/>
      <c r="H63" s="74"/>
      <c r="I63" s="410"/>
      <c r="J63" s="411"/>
      <c r="K63" s="411"/>
      <c r="L63" s="410"/>
      <c r="M63" s="76"/>
      <c r="N63" s="77"/>
      <c r="O63" s="41"/>
      <c r="P63" s="871"/>
      <c r="Q63" s="819"/>
      <c r="R63" s="872"/>
      <c r="T63" s="2775"/>
      <c r="U63" s="165"/>
      <c r="V63" s="165"/>
      <c r="W63" s="165"/>
    </row>
    <row r="64" spans="1:23" s="18" customFormat="1" ht="68.25" customHeight="1" x14ac:dyDescent="0.25">
      <c r="A64" s="78"/>
      <c r="B64" s="79"/>
      <c r="C64" s="29"/>
      <c r="D64" s="2805" t="s">
        <v>156</v>
      </c>
      <c r="E64" s="176"/>
      <c r="F64" s="80"/>
      <c r="G64" s="81"/>
      <c r="H64" s="609"/>
      <c r="I64" s="534"/>
      <c r="J64" s="453"/>
      <c r="K64" s="453"/>
      <c r="L64" s="502"/>
      <c r="M64" s="7"/>
      <c r="N64" s="8"/>
      <c r="O64" s="503"/>
      <c r="P64" s="280"/>
      <c r="Q64" s="504"/>
      <c r="R64" s="654"/>
      <c r="T64" s="2775"/>
      <c r="U64" s="165"/>
      <c r="V64" s="165"/>
      <c r="W64" s="165"/>
    </row>
    <row r="65" spans="1:18" s="19" customFormat="1" ht="13.5" thickBot="1" x14ac:dyDescent="0.3">
      <c r="A65" s="9"/>
      <c r="B65" s="10"/>
      <c r="C65" s="11"/>
      <c r="D65" s="2806"/>
      <c r="E65" s="177"/>
      <c r="F65" s="12"/>
      <c r="G65" s="175"/>
      <c r="H65" s="470" t="s">
        <v>18</v>
      </c>
      <c r="I65" s="367">
        <f>J65+L65</f>
        <v>1138.3</v>
      </c>
      <c r="J65" s="362">
        <f>SUM(J59:J64)</f>
        <v>1138.3</v>
      </c>
      <c r="K65" s="361"/>
      <c r="L65" s="368"/>
      <c r="M65" s="382">
        <f>SUM(M59:M64)</f>
        <v>998.30000000000007</v>
      </c>
      <c r="N65" s="433">
        <f>SUM(N59:N64)</f>
        <v>998.30000000000007</v>
      </c>
      <c r="O65" s="42"/>
      <c r="P65" s="222"/>
      <c r="Q65" s="223"/>
      <c r="R65" s="224"/>
    </row>
    <row r="66" spans="1:18" s="18" customFormat="1" ht="26.25" customHeight="1" x14ac:dyDescent="0.25">
      <c r="A66" s="2949" t="s">
        <v>13</v>
      </c>
      <c r="B66" s="2951" t="s">
        <v>19</v>
      </c>
      <c r="C66" s="2953" t="s">
        <v>24</v>
      </c>
      <c r="D66" s="2879" t="s">
        <v>33</v>
      </c>
      <c r="E66" s="2955"/>
      <c r="F66" s="2957">
        <v>10</v>
      </c>
      <c r="G66" s="2940" t="s">
        <v>26</v>
      </c>
      <c r="H66" s="74" t="s">
        <v>27</v>
      </c>
      <c r="I66" s="408">
        <f>J66+K66+L66</f>
        <v>80</v>
      </c>
      <c r="J66" s="409">
        <v>80</v>
      </c>
      <c r="K66" s="409"/>
      <c r="L66" s="416"/>
      <c r="M66" s="27">
        <v>85</v>
      </c>
      <c r="N66" s="82">
        <v>85</v>
      </c>
      <c r="O66" s="2932" t="s">
        <v>168</v>
      </c>
      <c r="P66" s="2943">
        <v>22</v>
      </c>
      <c r="Q66" s="2945">
        <v>22</v>
      </c>
      <c r="R66" s="2947">
        <v>22</v>
      </c>
    </row>
    <row r="67" spans="1:18" s="18" customFormat="1" ht="13.5" thickBot="1" x14ac:dyDescent="0.3">
      <c r="A67" s="2950"/>
      <c r="B67" s="2952"/>
      <c r="C67" s="2954"/>
      <c r="D67" s="2799"/>
      <c r="E67" s="2956"/>
      <c r="F67" s="2958"/>
      <c r="G67" s="2941"/>
      <c r="H67" s="477" t="s">
        <v>18</v>
      </c>
      <c r="I67" s="417">
        <f t="shared" ref="I67:I74" si="5">J67+L67</f>
        <v>80</v>
      </c>
      <c r="J67" s="418">
        <f>SUM(J66)</f>
        <v>80</v>
      </c>
      <c r="K67" s="418"/>
      <c r="L67" s="419"/>
      <c r="M67" s="403">
        <f>SUM(M66)</f>
        <v>85</v>
      </c>
      <c r="N67" s="402">
        <f>SUM(N66)</f>
        <v>85</v>
      </c>
      <c r="O67" s="2942"/>
      <c r="P67" s="2944"/>
      <c r="Q67" s="2946"/>
      <c r="R67" s="2948"/>
    </row>
    <row r="68" spans="1:18" s="18" customFormat="1" ht="12.75" customHeight="1" x14ac:dyDescent="0.25">
      <c r="A68" s="2928" t="s">
        <v>13</v>
      </c>
      <c r="B68" s="2929" t="s">
        <v>19</v>
      </c>
      <c r="C68" s="555" t="s">
        <v>28</v>
      </c>
      <c r="D68" s="2937" t="s">
        <v>34</v>
      </c>
      <c r="E68" s="178"/>
      <c r="F68" s="569">
        <v>10</v>
      </c>
      <c r="G68" s="83" t="s">
        <v>35</v>
      </c>
      <c r="H68" s="84" t="s">
        <v>27</v>
      </c>
      <c r="I68" s="480">
        <f t="shared" si="5"/>
        <v>100</v>
      </c>
      <c r="J68" s="481">
        <v>70</v>
      </c>
      <c r="K68" s="481"/>
      <c r="L68" s="482">
        <v>30</v>
      </c>
      <c r="M68" s="16">
        <v>100</v>
      </c>
      <c r="N68" s="16">
        <v>100</v>
      </c>
      <c r="O68" s="2932" t="s">
        <v>58</v>
      </c>
      <c r="P68" s="218">
        <v>14</v>
      </c>
      <c r="Q68" s="219">
        <v>14</v>
      </c>
      <c r="R68" s="221">
        <v>14</v>
      </c>
    </row>
    <row r="69" spans="1:18" s="18" customFormat="1" x14ac:dyDescent="0.25">
      <c r="A69" s="2871"/>
      <c r="B69" s="2874"/>
      <c r="C69" s="556"/>
      <c r="D69" s="2938"/>
      <c r="E69" s="179"/>
      <c r="F69" s="85"/>
      <c r="G69" s="86"/>
      <c r="H69" s="87" t="s">
        <v>21</v>
      </c>
      <c r="I69" s="420">
        <f t="shared" si="5"/>
        <v>400</v>
      </c>
      <c r="J69" s="421">
        <v>280</v>
      </c>
      <c r="K69" s="421"/>
      <c r="L69" s="346">
        <v>120</v>
      </c>
      <c r="M69" s="285">
        <v>400</v>
      </c>
      <c r="N69" s="285">
        <v>400</v>
      </c>
      <c r="O69" s="2933"/>
      <c r="P69" s="225"/>
      <c r="Q69" s="226"/>
      <c r="R69" s="227"/>
    </row>
    <row r="70" spans="1:18" s="18" customFormat="1" ht="13.5" thickBot="1" x14ac:dyDescent="0.3">
      <c r="A70" s="553"/>
      <c r="B70" s="554"/>
      <c r="C70" s="556"/>
      <c r="D70" s="2939"/>
      <c r="E70" s="179"/>
      <c r="F70" s="85"/>
      <c r="G70" s="86"/>
      <c r="H70" s="477" t="s">
        <v>18</v>
      </c>
      <c r="I70" s="417">
        <f t="shared" si="5"/>
        <v>500</v>
      </c>
      <c r="J70" s="418">
        <f>SUM(J68:J69)</f>
        <v>350</v>
      </c>
      <c r="K70" s="418"/>
      <c r="L70" s="419">
        <f>SUM(L68:L69)</f>
        <v>150</v>
      </c>
      <c r="M70" s="403">
        <f>SUM(M68:M69)</f>
        <v>500</v>
      </c>
      <c r="N70" s="402">
        <f>SUM(N68:N69)</f>
        <v>500</v>
      </c>
      <c r="O70" s="248"/>
      <c r="P70" s="225"/>
      <c r="Q70" s="226"/>
      <c r="R70" s="227"/>
    </row>
    <row r="71" spans="1:18" s="18" customFormat="1" ht="12.75" customHeight="1" x14ac:dyDescent="0.25">
      <c r="A71" s="2928" t="s">
        <v>13</v>
      </c>
      <c r="B71" s="2929" t="s">
        <v>19</v>
      </c>
      <c r="C71" s="555" t="s">
        <v>36</v>
      </c>
      <c r="D71" s="2821" t="s">
        <v>37</v>
      </c>
      <c r="E71" s="178"/>
      <c r="F71" s="569">
        <v>10</v>
      </c>
      <c r="G71" s="566" t="s">
        <v>26</v>
      </c>
      <c r="H71" s="90" t="s">
        <v>27</v>
      </c>
      <c r="I71" s="423">
        <f t="shared" si="5"/>
        <v>69.2</v>
      </c>
      <c r="J71" s="424">
        <v>69.2</v>
      </c>
      <c r="K71" s="424"/>
      <c r="L71" s="425"/>
      <c r="M71" s="34">
        <v>69.2</v>
      </c>
      <c r="N71" s="91">
        <v>69.2</v>
      </c>
      <c r="O71" s="2932" t="s">
        <v>82</v>
      </c>
      <c r="P71" s="218">
        <v>20</v>
      </c>
      <c r="Q71" s="219">
        <v>20</v>
      </c>
      <c r="R71" s="221">
        <v>20</v>
      </c>
    </row>
    <row r="72" spans="1:18" s="18" customFormat="1" x14ac:dyDescent="0.2">
      <c r="A72" s="2871"/>
      <c r="B72" s="2874"/>
      <c r="C72" s="556"/>
      <c r="D72" s="2805"/>
      <c r="E72" s="180"/>
      <c r="F72" s="92"/>
      <c r="G72" s="93"/>
      <c r="H72" s="33" t="s">
        <v>21</v>
      </c>
      <c r="I72" s="426">
        <f t="shared" si="5"/>
        <v>692</v>
      </c>
      <c r="J72" s="427">
        <v>692</v>
      </c>
      <c r="K72" s="427"/>
      <c r="L72" s="428"/>
      <c r="M72" s="32">
        <v>692</v>
      </c>
      <c r="N72" s="94">
        <v>692</v>
      </c>
      <c r="O72" s="2933"/>
      <c r="P72" s="225"/>
      <c r="Q72" s="226"/>
      <c r="R72" s="227"/>
    </row>
    <row r="73" spans="1:18" s="18" customFormat="1" x14ac:dyDescent="0.2">
      <c r="A73" s="553"/>
      <c r="B73" s="554"/>
      <c r="C73" s="556"/>
      <c r="D73" s="2805"/>
      <c r="E73" s="180"/>
      <c r="F73" s="92"/>
      <c r="G73" s="93"/>
      <c r="H73" s="31" t="s">
        <v>21</v>
      </c>
      <c r="I73" s="426">
        <f t="shared" si="5"/>
        <v>38.1</v>
      </c>
      <c r="J73" s="427">
        <v>38.1</v>
      </c>
      <c r="K73" s="427"/>
      <c r="L73" s="428"/>
      <c r="M73" s="88">
        <v>38.1</v>
      </c>
      <c r="N73" s="89">
        <v>38.1</v>
      </c>
      <c r="O73" s="248"/>
      <c r="P73" s="225"/>
      <c r="Q73" s="226"/>
      <c r="R73" s="227"/>
    </row>
    <row r="74" spans="1:18" s="18" customFormat="1" ht="13.5" thickBot="1" x14ac:dyDescent="0.25">
      <c r="A74" s="576"/>
      <c r="B74" s="577"/>
      <c r="C74" s="557"/>
      <c r="D74" s="2806"/>
      <c r="E74" s="181"/>
      <c r="F74" s="96"/>
      <c r="G74" s="182"/>
      <c r="H74" s="483" t="s">
        <v>18</v>
      </c>
      <c r="I74" s="417">
        <f t="shared" si="5"/>
        <v>799.30000000000007</v>
      </c>
      <c r="J74" s="418">
        <f>SUM(J71:J73)</f>
        <v>799.30000000000007</v>
      </c>
      <c r="K74" s="418"/>
      <c r="L74" s="419"/>
      <c r="M74" s="403">
        <f>SUM(M71:M73)</f>
        <v>799.30000000000007</v>
      </c>
      <c r="N74" s="402">
        <f>SUM(N71:N73)</f>
        <v>799.30000000000007</v>
      </c>
      <c r="O74" s="249"/>
      <c r="P74" s="228"/>
      <c r="Q74" s="229"/>
      <c r="R74" s="230"/>
    </row>
    <row r="75" spans="1:18" s="18" customFormat="1" ht="12.75" customHeight="1" x14ac:dyDescent="0.25">
      <c r="A75" s="2928" t="s">
        <v>13</v>
      </c>
      <c r="B75" s="2929" t="s">
        <v>19</v>
      </c>
      <c r="C75" s="555" t="s">
        <v>38</v>
      </c>
      <c r="D75" s="2822" t="s">
        <v>99</v>
      </c>
      <c r="E75" s="178"/>
      <c r="F75" s="569">
        <v>10</v>
      </c>
      <c r="G75" s="15" t="s">
        <v>71</v>
      </c>
      <c r="H75" s="74" t="s">
        <v>21</v>
      </c>
      <c r="I75" s="408">
        <f t="shared" ref="I75" si="6">J75+L75</f>
        <v>500</v>
      </c>
      <c r="J75" s="409">
        <v>200</v>
      </c>
      <c r="K75" s="409"/>
      <c r="L75" s="341">
        <v>300</v>
      </c>
      <c r="M75" s="27">
        <v>500</v>
      </c>
      <c r="N75" s="82">
        <v>500</v>
      </c>
      <c r="O75" s="2932" t="s">
        <v>82</v>
      </c>
      <c r="P75" s="218"/>
      <c r="Q75" s="219"/>
      <c r="R75" s="221"/>
    </row>
    <row r="76" spans="1:18" s="18" customFormat="1" x14ac:dyDescent="0.2">
      <c r="A76" s="2871"/>
      <c r="B76" s="2874"/>
      <c r="C76" s="556"/>
      <c r="D76" s="2930"/>
      <c r="E76" s="180"/>
      <c r="F76" s="92"/>
      <c r="G76" s="95">
        <v>3</v>
      </c>
      <c r="H76" s="33"/>
      <c r="I76" s="420"/>
      <c r="J76" s="421"/>
      <c r="K76" s="421"/>
      <c r="L76" s="422"/>
      <c r="M76" s="34"/>
      <c r="N76" s="91"/>
      <c r="O76" s="2933"/>
      <c r="P76" s="225"/>
      <c r="Q76" s="226"/>
      <c r="R76" s="227"/>
    </row>
    <row r="77" spans="1:18" s="18" customFormat="1" ht="13.5" thickBot="1" x14ac:dyDescent="0.25">
      <c r="A77" s="553"/>
      <c r="B77" s="554"/>
      <c r="C77" s="557"/>
      <c r="D77" s="2931"/>
      <c r="E77" s="180"/>
      <c r="F77" s="96"/>
      <c r="G77" s="183">
        <v>6</v>
      </c>
      <c r="H77" s="483" t="s">
        <v>18</v>
      </c>
      <c r="I77" s="429">
        <f>J77+L77</f>
        <v>500</v>
      </c>
      <c r="J77" s="418">
        <f>SUM(J75:J76)</f>
        <v>200</v>
      </c>
      <c r="K77" s="430"/>
      <c r="L77" s="419">
        <f>L75</f>
        <v>300</v>
      </c>
      <c r="M77" s="403">
        <f>SUM(M75:M76)</f>
        <v>500</v>
      </c>
      <c r="N77" s="402">
        <f>SUM(N75:N76)</f>
        <v>500</v>
      </c>
      <c r="O77" s="248"/>
      <c r="P77" s="225"/>
      <c r="Q77" s="226"/>
      <c r="R77" s="227"/>
    </row>
    <row r="78" spans="1:18" s="18" customFormat="1" ht="12.75" customHeight="1" x14ac:dyDescent="0.25">
      <c r="A78" s="2928" t="s">
        <v>13</v>
      </c>
      <c r="B78" s="2929" t="s">
        <v>19</v>
      </c>
      <c r="C78" s="828" t="s">
        <v>70</v>
      </c>
      <c r="D78" s="2821" t="s">
        <v>152</v>
      </c>
      <c r="E78" s="789"/>
      <c r="F78" s="831" t="s">
        <v>16</v>
      </c>
      <c r="G78" s="794" t="s">
        <v>26</v>
      </c>
      <c r="H78" s="26" t="s">
        <v>17</v>
      </c>
      <c r="I78" s="350">
        <v>60.8</v>
      </c>
      <c r="J78" s="351">
        <v>60.8</v>
      </c>
      <c r="K78" s="351"/>
      <c r="L78" s="352"/>
      <c r="M78" s="97"/>
      <c r="N78" s="98"/>
      <c r="O78" s="2918" t="s">
        <v>150</v>
      </c>
      <c r="P78" s="243">
        <v>8</v>
      </c>
      <c r="Q78" s="244"/>
      <c r="R78" s="245"/>
    </row>
    <row r="79" spans="1:18" s="18" customFormat="1" ht="27" customHeight="1" x14ac:dyDescent="0.25">
      <c r="A79" s="2871"/>
      <c r="B79" s="2874"/>
      <c r="C79" s="829"/>
      <c r="D79" s="2805"/>
      <c r="E79" s="790"/>
      <c r="F79" s="817"/>
      <c r="G79" s="792"/>
      <c r="H79" s="199" t="s">
        <v>41</v>
      </c>
      <c r="I79" s="489">
        <v>484.5</v>
      </c>
      <c r="J79" s="355">
        <v>484.5</v>
      </c>
      <c r="K79" s="355"/>
      <c r="L79" s="431"/>
      <c r="M79" s="200">
        <v>337.5</v>
      </c>
      <c r="N79" s="70"/>
      <c r="O79" s="2919"/>
      <c r="P79" s="269">
        <v>50</v>
      </c>
      <c r="Q79" s="825">
        <v>50</v>
      </c>
      <c r="R79" s="823"/>
    </row>
    <row r="80" spans="1:18" s="18" customFormat="1" ht="64.5" thickBot="1" x14ac:dyDescent="0.3">
      <c r="A80" s="851"/>
      <c r="B80" s="852"/>
      <c r="C80" s="830"/>
      <c r="D80" s="2806"/>
      <c r="E80" s="791"/>
      <c r="F80" s="818"/>
      <c r="G80" s="793"/>
      <c r="H80" s="795" t="s">
        <v>17</v>
      </c>
      <c r="I80" s="796">
        <f>121.7+190.9</f>
        <v>312.60000000000002</v>
      </c>
      <c r="J80" s="765">
        <f>121.7+190.9</f>
        <v>312.60000000000002</v>
      </c>
      <c r="K80" s="797">
        <f>92.9+135.6</f>
        <v>228.5</v>
      </c>
      <c r="L80" s="798"/>
      <c r="M80" s="799">
        <v>364.8</v>
      </c>
      <c r="N80" s="800"/>
      <c r="O80" s="801" t="s">
        <v>213</v>
      </c>
      <c r="P80" s="766">
        <v>25</v>
      </c>
      <c r="Q80" s="864">
        <v>25</v>
      </c>
      <c r="R80" s="835"/>
    </row>
    <row r="81" spans="1:19" s="18" customFormat="1" x14ac:dyDescent="0.25">
      <c r="A81" s="836"/>
      <c r="B81" s="837"/>
      <c r="C81" s="828"/>
      <c r="D81" s="873"/>
      <c r="E81" s="789"/>
      <c r="F81" s="831"/>
      <c r="G81" s="874"/>
      <c r="H81" s="38" t="s">
        <v>17</v>
      </c>
      <c r="I81" s="364">
        <v>243.2</v>
      </c>
      <c r="J81" s="351">
        <v>243.2</v>
      </c>
      <c r="K81" s="351">
        <v>185.7</v>
      </c>
      <c r="L81" s="352"/>
      <c r="M81" s="35">
        <v>364.8</v>
      </c>
      <c r="N81" s="875"/>
      <c r="O81" s="2920" t="s">
        <v>214</v>
      </c>
      <c r="P81" s="860">
        <v>17</v>
      </c>
      <c r="Q81" s="819">
        <v>25</v>
      </c>
      <c r="R81" s="853"/>
      <c r="S81" s="6"/>
    </row>
    <row r="82" spans="1:19" s="18" customFormat="1" ht="51.75" customHeight="1" thickBot="1" x14ac:dyDescent="0.3">
      <c r="A82" s="826"/>
      <c r="B82" s="827"/>
      <c r="C82" s="830"/>
      <c r="D82" s="782"/>
      <c r="E82" s="791"/>
      <c r="F82" s="818"/>
      <c r="G82" s="793"/>
      <c r="H82" s="470" t="s">
        <v>18</v>
      </c>
      <c r="I82" s="360">
        <f>L82+J82</f>
        <v>1101.0999999999999</v>
      </c>
      <c r="J82" s="363">
        <f>SUM(J78:J81)</f>
        <v>1101.0999999999999</v>
      </c>
      <c r="K82" s="363">
        <f>SUM(K78:K81)</f>
        <v>414.2</v>
      </c>
      <c r="L82" s="433"/>
      <c r="M82" s="361">
        <f>SUM(M78:M81)</f>
        <v>1067.0999999999999</v>
      </c>
      <c r="N82" s="382">
        <f>SUM(N78:N79)</f>
        <v>0</v>
      </c>
      <c r="O82" s="2823"/>
      <c r="P82" s="753"/>
      <c r="Q82" s="754"/>
      <c r="R82" s="755"/>
    </row>
    <row r="83" spans="1:19" s="18" customFormat="1" ht="26.25" customHeight="1" x14ac:dyDescent="0.25">
      <c r="A83" s="836" t="s">
        <v>13</v>
      </c>
      <c r="B83" s="837" t="s">
        <v>19</v>
      </c>
      <c r="C83" s="828" t="s">
        <v>84</v>
      </c>
      <c r="D83" s="2826" t="s">
        <v>155</v>
      </c>
      <c r="E83" s="2922"/>
      <c r="F83" s="2884" t="s">
        <v>16</v>
      </c>
      <c r="G83" s="2925" t="s">
        <v>26</v>
      </c>
      <c r="H83" s="26" t="s">
        <v>41</v>
      </c>
      <c r="I83" s="480">
        <f>J83+L83</f>
        <v>2007.9</v>
      </c>
      <c r="J83" s="481">
        <v>51</v>
      </c>
      <c r="K83" s="351">
        <v>13.3</v>
      </c>
      <c r="L83" s="352">
        <v>1956.9</v>
      </c>
      <c r="M83" s="97"/>
      <c r="N83" s="497"/>
      <c r="O83" s="708" t="s">
        <v>215</v>
      </c>
      <c r="P83" s="494">
        <v>948.45</v>
      </c>
      <c r="Q83" s="495"/>
      <c r="R83" s="496"/>
    </row>
    <row r="84" spans="1:19" s="18" customFormat="1" x14ac:dyDescent="0.25">
      <c r="A84" s="826"/>
      <c r="B84" s="827"/>
      <c r="C84" s="829"/>
      <c r="D84" s="2921"/>
      <c r="E84" s="2923"/>
      <c r="F84" s="2796"/>
      <c r="G84" s="2807"/>
      <c r="H84" s="31" t="s">
        <v>21</v>
      </c>
      <c r="I84" s="420">
        <f>J84+L84</f>
        <v>354.3</v>
      </c>
      <c r="J84" s="487">
        <v>11</v>
      </c>
      <c r="K84" s="396">
        <v>2.4</v>
      </c>
      <c r="L84" s="431">
        <v>343.3</v>
      </c>
      <c r="M84" s="63"/>
      <c r="N84" s="492"/>
      <c r="O84" s="2926" t="s">
        <v>157</v>
      </c>
      <c r="P84" s="2912"/>
      <c r="Q84" s="2914">
        <v>20</v>
      </c>
      <c r="R84" s="2916">
        <v>20</v>
      </c>
    </row>
    <row r="85" spans="1:19" s="18" customFormat="1" ht="13.5" thickBot="1" x14ac:dyDescent="0.3">
      <c r="A85" s="826"/>
      <c r="B85" s="827"/>
      <c r="C85" s="830"/>
      <c r="D85" s="2827"/>
      <c r="E85" s="2924"/>
      <c r="F85" s="2797"/>
      <c r="G85" s="2808"/>
      <c r="H85" s="470" t="s">
        <v>18</v>
      </c>
      <c r="I85" s="434">
        <f>L85+J85</f>
        <v>2362.2000000000003</v>
      </c>
      <c r="J85" s="435">
        <f>SUM(J83:J84)</f>
        <v>62</v>
      </c>
      <c r="K85" s="435">
        <f>SUM(K83:K84)</f>
        <v>15.700000000000001</v>
      </c>
      <c r="L85" s="436">
        <f>SUM(L83:L84)</f>
        <v>2300.2000000000003</v>
      </c>
      <c r="M85" s="437">
        <f>SUM(M83:M83)</f>
        <v>0</v>
      </c>
      <c r="N85" s="493">
        <f>SUM(N83:N83)</f>
        <v>0</v>
      </c>
      <c r="O85" s="2927"/>
      <c r="P85" s="2913"/>
      <c r="Q85" s="2915"/>
      <c r="R85" s="2917"/>
    </row>
    <row r="86" spans="1:19" s="18" customFormat="1" ht="13.5" thickBot="1" x14ac:dyDescent="0.3">
      <c r="A86" s="23" t="s">
        <v>13</v>
      </c>
      <c r="B86" s="24" t="s">
        <v>19</v>
      </c>
      <c r="C86" s="2800" t="s">
        <v>30</v>
      </c>
      <c r="D86" s="2800"/>
      <c r="E86" s="2800"/>
      <c r="F86" s="2800"/>
      <c r="G86" s="2800"/>
      <c r="H86" s="2812"/>
      <c r="I86" s="100">
        <f>I85+I82+I77+I74+I70+I67+I65+I58+I56</f>
        <v>18796.2</v>
      </c>
      <c r="J86" s="764">
        <f t="shared" ref="J86:N86" si="7">J85+J82+J77+J74+J70+J67+J65+J58+J56</f>
        <v>16006</v>
      </c>
      <c r="K86" s="763">
        <f t="shared" si="7"/>
        <v>7110.6</v>
      </c>
      <c r="L86" s="762">
        <f t="shared" si="7"/>
        <v>2790.2000000000003</v>
      </c>
      <c r="M86" s="100">
        <f>M85+M82+M77+M74+M70+M67+M65+M58+M56</f>
        <v>19984</v>
      </c>
      <c r="N86" s="100">
        <f t="shared" si="7"/>
        <v>18949.7</v>
      </c>
      <c r="O86" s="2934"/>
      <c r="P86" s="2935"/>
      <c r="Q86" s="2935"/>
      <c r="R86" s="2936"/>
    </row>
    <row r="87" spans="1:19" s="18" customFormat="1" ht="13.5" thickBot="1" x14ac:dyDescent="0.3">
      <c r="A87" s="101" t="s">
        <v>13</v>
      </c>
      <c r="B87" s="24" t="s">
        <v>22</v>
      </c>
      <c r="C87" s="2909" t="s">
        <v>206</v>
      </c>
      <c r="D87" s="2909"/>
      <c r="E87" s="2910"/>
      <c r="F87" s="2910"/>
      <c r="G87" s="2910"/>
      <c r="H87" s="2910"/>
      <c r="I87" s="2910"/>
      <c r="J87" s="2910"/>
      <c r="K87" s="2910"/>
      <c r="L87" s="2910"/>
      <c r="M87" s="2910"/>
      <c r="N87" s="2910"/>
      <c r="O87" s="2910"/>
      <c r="P87" s="2910"/>
      <c r="Q87" s="2910"/>
      <c r="R87" s="2911"/>
    </row>
    <row r="88" spans="1:19" s="19" customFormat="1" ht="39.75" customHeight="1" x14ac:dyDescent="0.25">
      <c r="A88" s="118" t="s">
        <v>13</v>
      </c>
      <c r="B88" s="119" t="s">
        <v>22</v>
      </c>
      <c r="C88" s="665" t="s">
        <v>13</v>
      </c>
      <c r="D88" s="14" t="s">
        <v>40</v>
      </c>
      <c r="E88" s="660" t="s">
        <v>94</v>
      </c>
      <c r="F88" s="661" t="s">
        <v>16</v>
      </c>
      <c r="G88" s="662">
        <v>5</v>
      </c>
      <c r="H88" s="102"/>
      <c r="I88" s="658"/>
      <c r="J88" s="411"/>
      <c r="K88" s="410"/>
      <c r="L88" s="718"/>
      <c r="M88" s="657"/>
      <c r="N88" s="656"/>
      <c r="O88" s="832"/>
      <c r="P88" s="231"/>
      <c r="Q88" s="216"/>
      <c r="R88" s="232"/>
    </row>
    <row r="89" spans="1:19" s="19" customFormat="1" ht="15.75" customHeight="1" x14ac:dyDescent="0.25">
      <c r="A89" s="116"/>
      <c r="B89" s="117"/>
      <c r="C89" s="666"/>
      <c r="D89" s="2813" t="s">
        <v>195</v>
      </c>
      <c r="E89" s="512"/>
      <c r="F89" s="103"/>
      <c r="G89" s="513"/>
      <c r="H89" s="104" t="s">
        <v>52</v>
      </c>
      <c r="I89" s="438">
        <f t="shared" ref="I89:I92" si="8">J89+L89</f>
        <v>274.5</v>
      </c>
      <c r="J89" s="413"/>
      <c r="K89" s="413"/>
      <c r="L89" s="439">
        <v>274.5</v>
      </c>
      <c r="M89" s="105">
        <v>75.3</v>
      </c>
      <c r="N89" s="106"/>
      <c r="O89" s="2883" t="s">
        <v>165</v>
      </c>
      <c r="P89" s="233">
        <v>79</v>
      </c>
      <c r="Q89" s="857">
        <v>100</v>
      </c>
      <c r="R89" s="234"/>
    </row>
    <row r="90" spans="1:19" s="19" customFormat="1" ht="15.75" customHeight="1" x14ac:dyDescent="0.25">
      <c r="A90" s="116"/>
      <c r="B90" s="117"/>
      <c r="C90" s="666"/>
      <c r="D90" s="2814"/>
      <c r="E90" s="512"/>
      <c r="F90" s="103"/>
      <c r="G90" s="513"/>
      <c r="H90" s="104" t="s">
        <v>27</v>
      </c>
      <c r="I90" s="438">
        <f t="shared" si="8"/>
        <v>2</v>
      </c>
      <c r="J90" s="529">
        <v>2</v>
      </c>
      <c r="K90" s="529">
        <v>1.4</v>
      </c>
      <c r="L90" s="439"/>
      <c r="M90" s="7">
        <v>1</v>
      </c>
      <c r="N90" s="8"/>
      <c r="O90" s="2850"/>
      <c r="P90" s="235"/>
      <c r="Q90" s="821"/>
      <c r="R90" s="236"/>
    </row>
    <row r="91" spans="1:19" s="19" customFormat="1" ht="15.75" customHeight="1" x14ac:dyDescent="0.25">
      <c r="A91" s="116"/>
      <c r="B91" s="117"/>
      <c r="C91" s="666"/>
      <c r="D91" s="2814"/>
      <c r="E91" s="512"/>
      <c r="F91" s="103"/>
      <c r="G91" s="513"/>
      <c r="H91" s="109" t="s">
        <v>41</v>
      </c>
      <c r="I91" s="440">
        <f t="shared" si="8"/>
        <v>1601.7</v>
      </c>
      <c r="J91" s="441">
        <v>9.8000000000000007</v>
      </c>
      <c r="K91" s="441">
        <v>7.5</v>
      </c>
      <c r="L91" s="442">
        <v>1591.9</v>
      </c>
      <c r="M91" s="105">
        <v>434.9</v>
      </c>
      <c r="N91" s="106"/>
      <c r="O91" s="2850"/>
      <c r="P91" s="235"/>
      <c r="Q91" s="821"/>
      <c r="R91" s="236"/>
    </row>
    <row r="92" spans="1:19" s="19" customFormat="1" ht="15.75" customHeight="1" x14ac:dyDescent="0.25">
      <c r="A92" s="116"/>
      <c r="B92" s="117"/>
      <c r="C92" s="666"/>
      <c r="D92" s="2848"/>
      <c r="E92" s="512"/>
      <c r="F92" s="103"/>
      <c r="G92" s="513"/>
      <c r="H92" s="719" t="s">
        <v>18</v>
      </c>
      <c r="I92" s="720">
        <f t="shared" si="8"/>
        <v>1878.2</v>
      </c>
      <c r="J92" s="721">
        <f>SUM(J89:J91)</f>
        <v>11.8</v>
      </c>
      <c r="K92" s="721">
        <f>SUM(K89:K91)</f>
        <v>8.9</v>
      </c>
      <c r="L92" s="722">
        <f>SUM(L89:L91)</f>
        <v>1866.4</v>
      </c>
      <c r="M92" s="456">
        <f>SUM(M89:M91)</f>
        <v>511.2</v>
      </c>
      <c r="N92" s="457"/>
      <c r="O92" s="2851"/>
      <c r="P92" s="237"/>
      <c r="Q92" s="238"/>
      <c r="R92" s="239"/>
    </row>
    <row r="93" spans="1:19" s="19" customFormat="1" ht="15.75" customHeight="1" x14ac:dyDescent="0.25">
      <c r="A93" s="116"/>
      <c r="B93" s="117"/>
      <c r="C93" s="666"/>
      <c r="D93" s="2813" t="s">
        <v>196</v>
      </c>
      <c r="E93" s="514"/>
      <c r="F93" s="69"/>
      <c r="G93" s="108"/>
      <c r="H93" s="107" t="s">
        <v>52</v>
      </c>
      <c r="I93" s="446">
        <f>J93+L93</f>
        <v>189</v>
      </c>
      <c r="J93" s="447"/>
      <c r="K93" s="447"/>
      <c r="L93" s="448">
        <v>189</v>
      </c>
      <c r="M93" s="105">
        <v>88.3</v>
      </c>
      <c r="N93" s="106"/>
      <c r="O93" s="2883" t="s">
        <v>166</v>
      </c>
      <c r="P93" s="233">
        <v>78</v>
      </c>
      <c r="Q93" s="857">
        <v>100</v>
      </c>
      <c r="R93" s="234"/>
    </row>
    <row r="94" spans="1:19" s="19" customFormat="1" ht="15.75" customHeight="1" x14ac:dyDescent="0.25">
      <c r="A94" s="116"/>
      <c r="B94" s="117"/>
      <c r="C94" s="666"/>
      <c r="D94" s="2814"/>
      <c r="E94" s="514"/>
      <c r="F94" s="69"/>
      <c r="G94" s="108"/>
      <c r="H94" s="104" t="s">
        <v>27</v>
      </c>
      <c r="I94" s="531">
        <f t="shared" ref="I94:I100" si="9">J94+L94</f>
        <v>1.9</v>
      </c>
      <c r="J94" s="529">
        <v>1.9</v>
      </c>
      <c r="K94" s="529">
        <v>1.3</v>
      </c>
      <c r="L94" s="439"/>
      <c r="M94" s="7">
        <v>0.9</v>
      </c>
      <c r="N94" s="8"/>
      <c r="O94" s="2850"/>
      <c r="P94" s="235"/>
      <c r="Q94" s="821"/>
      <c r="R94" s="236"/>
    </row>
    <row r="95" spans="1:19" s="19" customFormat="1" ht="15.75" customHeight="1" x14ac:dyDescent="0.25">
      <c r="A95" s="116"/>
      <c r="B95" s="117"/>
      <c r="C95" s="666"/>
      <c r="D95" s="2814"/>
      <c r="E95" s="514"/>
      <c r="F95" s="69"/>
      <c r="G95" s="108"/>
      <c r="H95" s="110" t="s">
        <v>41</v>
      </c>
      <c r="I95" s="532">
        <f t="shared" si="9"/>
        <v>1068.8</v>
      </c>
      <c r="J95" s="533">
        <v>9.3000000000000007</v>
      </c>
      <c r="K95" s="533">
        <v>7.1</v>
      </c>
      <c r="L95" s="449">
        <v>1059.5</v>
      </c>
      <c r="M95" s="105">
        <v>540</v>
      </c>
      <c r="N95" s="106"/>
      <c r="O95" s="2850"/>
      <c r="P95" s="235"/>
      <c r="Q95" s="821"/>
      <c r="R95" s="236"/>
    </row>
    <row r="96" spans="1:19" s="19" customFormat="1" ht="15.75" customHeight="1" x14ac:dyDescent="0.25">
      <c r="A96" s="116"/>
      <c r="B96" s="117"/>
      <c r="C96" s="770"/>
      <c r="D96" s="2814"/>
      <c r="E96" s="514"/>
      <c r="F96" s="69"/>
      <c r="G96" s="108"/>
      <c r="H96" s="704" t="s">
        <v>18</v>
      </c>
      <c r="I96" s="663">
        <f t="shared" si="9"/>
        <v>1259.7</v>
      </c>
      <c r="J96" s="672">
        <f>SUM(J93:J95)</f>
        <v>11.200000000000001</v>
      </c>
      <c r="K96" s="672">
        <f>SUM(K93:K95)</f>
        <v>8.4</v>
      </c>
      <c r="L96" s="664">
        <f>SUM(L93:L95)</f>
        <v>1248.5</v>
      </c>
      <c r="M96" s="454">
        <f>SUM(M93:M95)</f>
        <v>629.20000000000005</v>
      </c>
      <c r="N96" s="455">
        <f>SUM(N93:N95)</f>
        <v>0</v>
      </c>
      <c r="O96" s="2850"/>
      <c r="P96" s="235"/>
      <c r="Q96" s="821"/>
      <c r="R96" s="236"/>
    </row>
    <row r="97" spans="1:24" s="19" customFormat="1" ht="14.25" customHeight="1" x14ac:dyDescent="0.25">
      <c r="A97" s="116"/>
      <c r="B97" s="117"/>
      <c r="C97" s="666"/>
      <c r="D97" s="2813" t="s">
        <v>197</v>
      </c>
      <c r="E97" s="514"/>
      <c r="F97" s="69"/>
      <c r="G97" s="108"/>
      <c r="H97" s="107" t="s">
        <v>52</v>
      </c>
      <c r="I97" s="446">
        <f t="shared" si="9"/>
        <v>259.89999999999998</v>
      </c>
      <c r="J97" s="447"/>
      <c r="K97" s="447"/>
      <c r="L97" s="448">
        <v>259.89999999999998</v>
      </c>
      <c r="M97" s="105"/>
      <c r="N97" s="106"/>
      <c r="O97" s="2883" t="s">
        <v>124</v>
      </c>
      <c r="P97" s="233">
        <v>100</v>
      </c>
      <c r="Q97" s="857"/>
      <c r="R97" s="234"/>
    </row>
    <row r="98" spans="1:24" s="19" customFormat="1" ht="14.25" customHeight="1" x14ac:dyDescent="0.25">
      <c r="A98" s="116"/>
      <c r="B98" s="117"/>
      <c r="C98" s="666"/>
      <c r="D98" s="2814"/>
      <c r="E98" s="514"/>
      <c r="F98" s="69"/>
      <c r="G98" s="108"/>
      <c r="H98" s="104" t="s">
        <v>27</v>
      </c>
      <c r="I98" s="531">
        <f t="shared" si="9"/>
        <v>7</v>
      </c>
      <c r="J98" s="529">
        <v>7</v>
      </c>
      <c r="K98" s="529">
        <v>1.4</v>
      </c>
      <c r="L98" s="439"/>
      <c r="M98" s="7"/>
      <c r="N98" s="8"/>
      <c r="O98" s="2850"/>
      <c r="P98" s="235"/>
      <c r="Q98" s="821"/>
      <c r="R98" s="236"/>
    </row>
    <row r="99" spans="1:24" s="19" customFormat="1" ht="14.25" customHeight="1" x14ac:dyDescent="0.25">
      <c r="A99" s="116"/>
      <c r="B99" s="117"/>
      <c r="C99" s="666"/>
      <c r="D99" s="2814"/>
      <c r="E99" s="514"/>
      <c r="F99" s="69"/>
      <c r="G99" s="108"/>
      <c r="H99" s="104" t="s">
        <v>41</v>
      </c>
      <c r="I99" s="531">
        <f t="shared" si="9"/>
        <v>1455.3</v>
      </c>
      <c r="J99" s="529">
        <v>39.700000000000003</v>
      </c>
      <c r="K99" s="529">
        <v>7.7</v>
      </c>
      <c r="L99" s="439">
        <v>1415.6</v>
      </c>
      <c r="M99" s="105"/>
      <c r="N99" s="106"/>
      <c r="O99" s="2850"/>
      <c r="P99" s="240"/>
      <c r="Q99" s="821"/>
      <c r="R99" s="236"/>
    </row>
    <row r="100" spans="1:24" s="19" customFormat="1" ht="14.25" customHeight="1" x14ac:dyDescent="0.25">
      <c r="A100" s="116"/>
      <c r="B100" s="117"/>
      <c r="C100" s="666"/>
      <c r="D100" s="2814"/>
      <c r="E100" s="515"/>
      <c r="F100" s="304"/>
      <c r="G100" s="516"/>
      <c r="H100" s="484" t="s">
        <v>18</v>
      </c>
      <c r="I100" s="450">
        <f t="shared" si="9"/>
        <v>1722.2</v>
      </c>
      <c r="J100" s="451">
        <f>SUM(J97:J99)</f>
        <v>46.7</v>
      </c>
      <c r="K100" s="451">
        <f>SUM(K97:K99)</f>
        <v>9.1</v>
      </c>
      <c r="L100" s="452">
        <f>SUM(L97:L99)</f>
        <v>1675.5</v>
      </c>
      <c r="M100" s="456">
        <f>SUM(M97:M99)</f>
        <v>0</v>
      </c>
      <c r="N100" s="457">
        <f>SUM(N97:N99)</f>
        <v>0</v>
      </c>
      <c r="O100" s="2850"/>
      <c r="P100" s="771"/>
      <c r="Q100" s="821"/>
      <c r="R100" s="236"/>
    </row>
    <row r="101" spans="1:24" s="19" customFormat="1" ht="14.25" customHeight="1" thickBot="1" x14ac:dyDescent="0.3">
      <c r="A101" s="116"/>
      <c r="B101" s="117"/>
      <c r="C101" s="666"/>
      <c r="D101" s="2908"/>
      <c r="E101" s="2905" t="s">
        <v>227</v>
      </c>
      <c r="F101" s="2906"/>
      <c r="G101" s="2906"/>
      <c r="H101" s="2907"/>
      <c r="I101" s="663">
        <f>I100+I96+I92</f>
        <v>4860.1000000000004</v>
      </c>
      <c r="J101" s="868">
        <f t="shared" ref="J101:N101" si="10">J100+J96+J92</f>
        <v>69.7</v>
      </c>
      <c r="K101" s="868">
        <f t="shared" si="10"/>
        <v>26.4</v>
      </c>
      <c r="L101" s="867">
        <f t="shared" si="10"/>
        <v>4790.3999999999996</v>
      </c>
      <c r="M101" s="663">
        <f>M100+M96+M92</f>
        <v>1140.4000000000001</v>
      </c>
      <c r="N101" s="663">
        <f t="shared" si="10"/>
        <v>0</v>
      </c>
      <c r="O101" s="833"/>
      <c r="P101" s="758"/>
      <c r="Q101" s="759"/>
      <c r="R101" s="760"/>
    </row>
    <row r="102" spans="1:24" s="19" customFormat="1" ht="41.25" customHeight="1" thickBot="1" x14ac:dyDescent="0.3">
      <c r="A102" s="802" t="s">
        <v>13</v>
      </c>
      <c r="B102" s="803" t="s">
        <v>22</v>
      </c>
      <c r="C102" s="865" t="s">
        <v>19</v>
      </c>
      <c r="D102" s="705" t="s">
        <v>43</v>
      </c>
      <c r="E102" s="703"/>
      <c r="F102" s="804"/>
      <c r="G102" s="805"/>
      <c r="H102" s="806"/>
      <c r="I102" s="807"/>
      <c r="J102" s="808"/>
      <c r="K102" s="809"/>
      <c r="L102" s="810"/>
      <c r="M102" s="811"/>
      <c r="N102" s="811"/>
      <c r="O102" s="812" t="s">
        <v>198</v>
      </c>
      <c r="P102" s="813">
        <v>2</v>
      </c>
      <c r="Q102" s="814"/>
      <c r="R102" s="815"/>
      <c r="T102" s="2776"/>
      <c r="U102" s="624"/>
      <c r="V102" s="624"/>
      <c r="W102" s="624"/>
    </row>
    <row r="103" spans="1:24" s="19" customFormat="1" ht="26.25" customHeight="1" x14ac:dyDescent="0.25">
      <c r="A103" s="118"/>
      <c r="B103" s="119"/>
      <c r="C103" s="665"/>
      <c r="D103" s="2847" t="s">
        <v>207</v>
      </c>
      <c r="E103" s="660" t="s">
        <v>59</v>
      </c>
      <c r="F103" s="499" t="s">
        <v>16</v>
      </c>
      <c r="G103" s="662">
        <v>5</v>
      </c>
      <c r="H103" s="876" t="s">
        <v>27</v>
      </c>
      <c r="I103" s="877">
        <f>J103+L103</f>
        <v>1002.6</v>
      </c>
      <c r="J103" s="659"/>
      <c r="K103" s="659"/>
      <c r="L103" s="878">
        <v>1002.6</v>
      </c>
      <c r="M103" s="879">
        <v>214.5</v>
      </c>
      <c r="N103" s="880"/>
      <c r="O103" s="2849" t="s">
        <v>226</v>
      </c>
      <c r="P103" s="2852">
        <v>95</v>
      </c>
      <c r="Q103" s="2854">
        <v>100</v>
      </c>
      <c r="R103" s="2856"/>
      <c r="T103" s="2776"/>
      <c r="U103" s="624"/>
      <c r="V103" s="624"/>
      <c r="W103" s="624"/>
    </row>
    <row r="104" spans="1:24" s="19" customFormat="1" ht="26.25" customHeight="1" x14ac:dyDescent="0.25">
      <c r="A104" s="116"/>
      <c r="B104" s="117"/>
      <c r="C104" s="666"/>
      <c r="D104" s="2814"/>
      <c r="E104" s="184"/>
      <c r="F104" s="186"/>
      <c r="G104" s="185"/>
      <c r="H104" s="104"/>
      <c r="I104" s="438"/>
      <c r="J104" s="413"/>
      <c r="K104" s="413"/>
      <c r="L104" s="529"/>
      <c r="M104" s="535"/>
      <c r="N104" s="106"/>
      <c r="O104" s="2850"/>
      <c r="P104" s="2853"/>
      <c r="Q104" s="2855"/>
      <c r="R104" s="2857"/>
      <c r="T104" s="669"/>
      <c r="U104" s="624"/>
      <c r="V104" s="624"/>
      <c r="W104" s="624"/>
    </row>
    <row r="105" spans="1:24" s="19" customFormat="1" ht="26.25" customHeight="1" x14ac:dyDescent="0.25">
      <c r="A105" s="116"/>
      <c r="B105" s="117"/>
      <c r="C105" s="666"/>
      <c r="D105" s="2814"/>
      <c r="E105" s="184"/>
      <c r="F105" s="186"/>
      <c r="G105" s="185"/>
      <c r="H105" s="107" t="s">
        <v>41</v>
      </c>
      <c r="I105" s="459">
        <f t="shared" ref="I105:I106" si="11">J105+L105</f>
        <v>511.3</v>
      </c>
      <c r="J105" s="447">
        <v>18.8</v>
      </c>
      <c r="K105" s="447">
        <v>14.4</v>
      </c>
      <c r="L105" s="447">
        <v>492.5</v>
      </c>
      <c r="M105" s="535">
        <v>60.7</v>
      </c>
      <c r="N105" s="106"/>
      <c r="O105" s="2850"/>
      <c r="P105" s="2853"/>
      <c r="Q105" s="821"/>
      <c r="R105" s="236"/>
      <c r="U105" s="670"/>
      <c r="V105" s="670"/>
      <c r="W105" s="670"/>
    </row>
    <row r="106" spans="1:24" s="19" customFormat="1" ht="26.25" customHeight="1" x14ac:dyDescent="0.25">
      <c r="A106" s="116"/>
      <c r="B106" s="117"/>
      <c r="C106" s="666"/>
      <c r="D106" s="2814"/>
      <c r="E106" s="184"/>
      <c r="F106" s="186"/>
      <c r="G106" s="185"/>
      <c r="H106" s="107" t="s">
        <v>21</v>
      </c>
      <c r="I106" s="459">
        <f t="shared" si="11"/>
        <v>90.2</v>
      </c>
      <c r="J106" s="447">
        <v>3.3</v>
      </c>
      <c r="K106" s="447">
        <v>2.5</v>
      </c>
      <c r="L106" s="447">
        <v>86.9</v>
      </c>
      <c r="M106" s="538">
        <v>10.7</v>
      </c>
      <c r="N106" s="8"/>
      <c r="O106" s="2850"/>
      <c r="P106" s="235"/>
      <c r="Q106" s="821"/>
      <c r="R106" s="236"/>
      <c r="U106" s="670"/>
      <c r="V106" s="670"/>
      <c r="W106" s="670"/>
    </row>
    <row r="107" spans="1:24" s="19" customFormat="1" ht="24.75" customHeight="1" x14ac:dyDescent="0.2">
      <c r="A107" s="116"/>
      <c r="B107" s="117"/>
      <c r="C107" s="666"/>
      <c r="D107" s="2848"/>
      <c r="E107" s="184"/>
      <c r="F107" s="186"/>
      <c r="G107" s="185"/>
      <c r="H107" s="719" t="s">
        <v>18</v>
      </c>
      <c r="I107" s="720">
        <f>J107+L107</f>
        <v>1604.1</v>
      </c>
      <c r="J107" s="721">
        <f>SUM(J103:J106)</f>
        <v>22.1</v>
      </c>
      <c r="K107" s="721">
        <f>SUM(K103:K106)</f>
        <v>16.899999999999999</v>
      </c>
      <c r="L107" s="721">
        <f>SUM(L103:L106)</f>
        <v>1582</v>
      </c>
      <c r="M107" s="723">
        <f>SUM(M103:M106)</f>
        <v>285.89999999999998</v>
      </c>
      <c r="N107" s="724"/>
      <c r="O107" s="2851"/>
      <c r="P107" s="725"/>
      <c r="Q107" s="726"/>
      <c r="R107" s="727"/>
      <c r="T107" s="649"/>
      <c r="U107" s="671"/>
      <c r="V107" s="671"/>
      <c r="W107" s="671"/>
      <c r="X107" s="17"/>
    </row>
    <row r="108" spans="1:24" s="19" customFormat="1" ht="12.75" customHeight="1" x14ac:dyDescent="0.25">
      <c r="A108" s="116"/>
      <c r="B108" s="117"/>
      <c r="C108" s="666"/>
      <c r="D108" s="2890" t="s">
        <v>208</v>
      </c>
      <c r="E108" s="184"/>
      <c r="F108" s="186"/>
      <c r="G108" s="185"/>
      <c r="H108" s="681" t="s">
        <v>27</v>
      </c>
      <c r="I108" s="440">
        <f>J108+L108</f>
        <v>50</v>
      </c>
      <c r="J108" s="453"/>
      <c r="K108" s="453"/>
      <c r="L108" s="441">
        <v>50</v>
      </c>
      <c r="M108" s="7"/>
      <c r="N108" s="8"/>
      <c r="O108" s="2850" t="s">
        <v>164</v>
      </c>
      <c r="P108" s="235">
        <v>1</v>
      </c>
      <c r="Q108" s="821"/>
      <c r="R108" s="236"/>
    </row>
    <row r="109" spans="1:24" s="19" customFormat="1" ht="14.25" customHeight="1" x14ac:dyDescent="0.25">
      <c r="A109" s="116"/>
      <c r="B109" s="117"/>
      <c r="C109" s="666"/>
      <c r="D109" s="2891"/>
      <c r="E109" s="189"/>
      <c r="G109" s="190"/>
      <c r="H109" s="681"/>
      <c r="I109" s="440"/>
      <c r="J109" s="441"/>
      <c r="K109" s="441"/>
      <c r="L109" s="441"/>
      <c r="M109" s="111"/>
      <c r="N109" s="112"/>
      <c r="O109" s="2850"/>
      <c r="P109" s="235"/>
      <c r="Q109" s="821"/>
      <c r="R109" s="236"/>
    </row>
    <row r="110" spans="1:24" s="19" customFormat="1" ht="12.75" customHeight="1" x14ac:dyDescent="0.25">
      <c r="A110" s="116"/>
      <c r="B110" s="117"/>
      <c r="C110" s="666"/>
      <c r="D110" s="2892"/>
      <c r="E110" s="189"/>
      <c r="F110" s="186"/>
      <c r="G110" s="190"/>
      <c r="H110" s="719" t="s">
        <v>18</v>
      </c>
      <c r="I110" s="720">
        <f>J110+L110</f>
        <v>50</v>
      </c>
      <c r="J110" s="721"/>
      <c r="K110" s="721"/>
      <c r="L110" s="721">
        <f>SUM(L108:L109)</f>
        <v>50</v>
      </c>
      <c r="M110" s="723">
        <f>SUM(M108:M109)</f>
        <v>0</v>
      </c>
      <c r="N110" s="724">
        <f>SUM(N108:N109)</f>
        <v>0</v>
      </c>
      <c r="O110" s="2850"/>
      <c r="P110" s="240"/>
      <c r="Q110" s="241"/>
      <c r="R110" s="242"/>
    </row>
    <row r="111" spans="1:24" s="19" customFormat="1" ht="18" customHeight="1" x14ac:dyDescent="0.25">
      <c r="A111" s="116"/>
      <c r="B111" s="117"/>
      <c r="C111" s="666"/>
      <c r="D111" s="2891" t="s">
        <v>209</v>
      </c>
      <c r="E111" s="184"/>
      <c r="F111" s="69"/>
      <c r="G111" s="682"/>
      <c r="H111" s="187" t="s">
        <v>42</v>
      </c>
      <c r="I111" s="438">
        <f>J111+L111</f>
        <v>100</v>
      </c>
      <c r="J111" s="413"/>
      <c r="K111" s="413"/>
      <c r="L111" s="529">
        <v>100</v>
      </c>
      <c r="M111" s="105"/>
      <c r="N111" s="106"/>
      <c r="O111" s="2883" t="s">
        <v>169</v>
      </c>
      <c r="P111" s="233">
        <v>1</v>
      </c>
      <c r="Q111" s="857"/>
      <c r="R111" s="234"/>
    </row>
    <row r="112" spans="1:24" s="19" customFormat="1" ht="18" customHeight="1" x14ac:dyDescent="0.25">
      <c r="A112" s="116"/>
      <c r="B112" s="117"/>
      <c r="C112" s="666"/>
      <c r="D112" s="2891"/>
      <c r="E112" s="189"/>
      <c r="G112" s="498"/>
      <c r="H112" s="188" t="s">
        <v>27</v>
      </c>
      <c r="I112" s="459"/>
      <c r="J112" s="447"/>
      <c r="K112" s="447"/>
      <c r="L112" s="447"/>
      <c r="M112" s="105"/>
      <c r="N112" s="106"/>
      <c r="O112" s="2850"/>
      <c r="P112" s="235"/>
      <c r="Q112" s="821"/>
      <c r="R112" s="236"/>
    </row>
    <row r="113" spans="1:20" s="19" customFormat="1" ht="18" customHeight="1" x14ac:dyDescent="0.25">
      <c r="A113" s="116"/>
      <c r="B113" s="117"/>
      <c r="C113" s="666"/>
      <c r="D113" s="2891"/>
      <c r="E113" s="728"/>
      <c r="F113" s="729"/>
      <c r="G113" s="730"/>
      <c r="H113" s="485" t="s">
        <v>18</v>
      </c>
      <c r="I113" s="443">
        <f>J113+L113</f>
        <v>100</v>
      </c>
      <c r="J113" s="444"/>
      <c r="K113" s="444"/>
      <c r="L113" s="444">
        <f>SUM(L111:L112)</f>
        <v>100</v>
      </c>
      <c r="M113" s="458">
        <f>SUM(M111:M112)</f>
        <v>0</v>
      </c>
      <c r="N113" s="461">
        <f>SUM(N111:N112)</f>
        <v>0</v>
      </c>
      <c r="O113" s="2851"/>
      <c r="P113" s="725"/>
      <c r="Q113" s="726"/>
      <c r="R113" s="727"/>
    </row>
    <row r="114" spans="1:20" ht="12.75" customHeight="1" x14ac:dyDescent="0.2">
      <c r="A114" s="116"/>
      <c r="B114" s="117"/>
      <c r="C114" s="666"/>
      <c r="D114" s="2893" t="s">
        <v>210</v>
      </c>
      <c r="E114" s="324"/>
      <c r="F114" s="517" t="s">
        <v>16</v>
      </c>
      <c r="G114" s="2895" t="s">
        <v>35</v>
      </c>
      <c r="H114" s="677" t="s">
        <v>27</v>
      </c>
      <c r="I114" s="385">
        <f>J114+L114</f>
        <v>37.299999999999997</v>
      </c>
      <c r="J114" s="386">
        <v>37.299999999999997</v>
      </c>
      <c r="K114" s="386"/>
      <c r="L114" s="391"/>
      <c r="M114" s="678"/>
      <c r="N114" s="678"/>
      <c r="O114" s="2897"/>
      <c r="P114" s="2860"/>
      <c r="Q114" s="2862"/>
      <c r="R114" s="2858"/>
      <c r="T114" s="113"/>
    </row>
    <row r="115" spans="1:20" ht="28.5" customHeight="1" x14ac:dyDescent="0.2">
      <c r="A115" s="116"/>
      <c r="B115" s="117"/>
      <c r="C115" s="666"/>
      <c r="D115" s="2894"/>
      <c r="E115" s="191"/>
      <c r="F115" s="518"/>
      <c r="G115" s="2896"/>
      <c r="H115" s="673"/>
      <c r="I115" s="674"/>
      <c r="J115" s="675"/>
      <c r="K115" s="675"/>
      <c r="L115" s="735"/>
      <c r="M115" s="676"/>
      <c r="N115" s="676"/>
      <c r="O115" s="2897"/>
      <c r="P115" s="2861"/>
      <c r="Q115" s="2863"/>
      <c r="R115" s="2859"/>
      <c r="T115" s="113"/>
    </row>
    <row r="116" spans="1:20" ht="12.75" customHeight="1" x14ac:dyDescent="0.2">
      <c r="A116" s="116"/>
      <c r="B116" s="117"/>
      <c r="C116" s="666"/>
      <c r="D116" s="2893" t="s">
        <v>144</v>
      </c>
      <c r="E116" s="191"/>
      <c r="F116" s="518"/>
      <c r="G116" s="856"/>
      <c r="H116" s="679"/>
      <c r="I116" s="357"/>
      <c r="J116" s="358"/>
      <c r="K116" s="358"/>
      <c r="L116" s="632"/>
      <c r="M116" s="680"/>
      <c r="N116" s="680"/>
      <c r="O116" s="834"/>
      <c r="P116" s="706"/>
      <c r="Q116" s="824"/>
      <c r="R116" s="822"/>
    </row>
    <row r="117" spans="1:20" ht="15.75" customHeight="1" x14ac:dyDescent="0.2">
      <c r="A117" s="116"/>
      <c r="B117" s="117"/>
      <c r="C117" s="666"/>
      <c r="D117" s="2901"/>
      <c r="E117" s="191"/>
      <c r="F117" s="518"/>
      <c r="G117" s="856"/>
      <c r="H117" s="485" t="s">
        <v>18</v>
      </c>
      <c r="I117" s="732">
        <f>J117+L117</f>
        <v>37.299999999999997</v>
      </c>
      <c r="J117" s="733">
        <f>SUM(J114:J116)</f>
        <v>37.299999999999997</v>
      </c>
      <c r="K117" s="733"/>
      <c r="L117" s="738"/>
      <c r="M117" s="740"/>
      <c r="N117" s="740"/>
      <c r="O117" s="834"/>
      <c r="P117" s="731"/>
      <c r="Q117" s="849"/>
      <c r="R117" s="850"/>
    </row>
    <row r="118" spans="1:20" ht="17.25" customHeight="1" x14ac:dyDescent="0.2">
      <c r="A118" s="116"/>
      <c r="B118" s="117"/>
      <c r="C118" s="666"/>
      <c r="D118" s="2893" t="s">
        <v>211</v>
      </c>
      <c r="E118" s="324"/>
      <c r="F118" s="816" t="s">
        <v>16</v>
      </c>
      <c r="G118" s="325" t="s">
        <v>26</v>
      </c>
      <c r="H118" s="677" t="s">
        <v>27</v>
      </c>
      <c r="I118" s="385"/>
      <c r="J118" s="386"/>
      <c r="K118" s="386"/>
      <c r="L118" s="391"/>
      <c r="M118" s="739">
        <v>15.5</v>
      </c>
      <c r="N118" s="282">
        <v>9.8000000000000007</v>
      </c>
      <c r="O118" s="834"/>
      <c r="P118" s="706"/>
      <c r="Q118" s="824"/>
      <c r="R118" s="822"/>
      <c r="S118" s="196"/>
    </row>
    <row r="119" spans="1:20" ht="15" customHeight="1" x14ac:dyDescent="0.2">
      <c r="A119" s="116"/>
      <c r="B119" s="117"/>
      <c r="C119" s="666"/>
      <c r="D119" s="2805"/>
      <c r="E119" s="191"/>
      <c r="F119" s="817"/>
      <c r="G119" s="856"/>
      <c r="H119" s="667" t="s">
        <v>18</v>
      </c>
      <c r="I119" s="378"/>
      <c r="J119" s="393"/>
      <c r="K119" s="379"/>
      <c r="L119" s="394"/>
      <c r="M119" s="404">
        <f>M118</f>
        <v>15.5</v>
      </c>
      <c r="N119" s="383">
        <f>SUM(N102:N118)</f>
        <v>9.8000000000000007</v>
      </c>
      <c r="O119" s="855"/>
      <c r="P119" s="706"/>
      <c r="Q119" s="824"/>
      <c r="R119" s="822"/>
    </row>
    <row r="120" spans="1:20" ht="15" customHeight="1" thickBot="1" x14ac:dyDescent="0.25">
      <c r="A120" s="116"/>
      <c r="B120" s="734"/>
      <c r="C120" s="866"/>
      <c r="D120" s="2806"/>
      <c r="E120" s="2902" t="s">
        <v>227</v>
      </c>
      <c r="F120" s="2903"/>
      <c r="G120" s="2903"/>
      <c r="H120" s="2904"/>
      <c r="I120" s="367">
        <f>I119+I117+I113+I110+I107</f>
        <v>1791.3999999999999</v>
      </c>
      <c r="J120" s="362">
        <f t="shared" ref="J120:N120" si="12">J119+J117+J113+J110+J107</f>
        <v>59.4</v>
      </c>
      <c r="K120" s="361">
        <f t="shared" si="12"/>
        <v>16.899999999999999</v>
      </c>
      <c r="L120" s="368">
        <f t="shared" si="12"/>
        <v>1732</v>
      </c>
      <c r="M120" s="367">
        <f>M119+M117+M113+M110+M107</f>
        <v>301.39999999999998</v>
      </c>
      <c r="N120" s="367">
        <f t="shared" si="12"/>
        <v>9.8000000000000007</v>
      </c>
      <c r="O120" s="736"/>
      <c r="P120" s="737"/>
      <c r="Q120" s="737"/>
      <c r="R120" s="217"/>
    </row>
    <row r="121" spans="1:20" s="18" customFormat="1" ht="13.5" thickBot="1" x14ac:dyDescent="0.3">
      <c r="A121" s="23" t="s">
        <v>13</v>
      </c>
      <c r="B121" s="114" t="s">
        <v>22</v>
      </c>
      <c r="C121" s="2811" t="s">
        <v>30</v>
      </c>
      <c r="D121" s="2800"/>
      <c r="E121" s="2800"/>
      <c r="F121" s="2800"/>
      <c r="G121" s="2800"/>
      <c r="H121" s="2812"/>
      <c r="I121" s="255">
        <f>I120+I101</f>
        <v>6651.5</v>
      </c>
      <c r="J121" s="122">
        <f t="shared" ref="J121:N121" si="13">J120+J101</f>
        <v>129.1</v>
      </c>
      <c r="K121" s="123">
        <f t="shared" si="13"/>
        <v>43.3</v>
      </c>
      <c r="L121" s="668">
        <f t="shared" si="13"/>
        <v>6522.4</v>
      </c>
      <c r="M121" s="255">
        <f>M120+M101</f>
        <v>1441.8000000000002</v>
      </c>
      <c r="N121" s="255">
        <f t="shared" si="13"/>
        <v>9.8000000000000007</v>
      </c>
      <c r="O121" s="2801"/>
      <c r="P121" s="2802"/>
      <c r="Q121" s="2802"/>
      <c r="R121" s="2803"/>
    </row>
    <row r="122" spans="1:20" ht="13.5" thickBot="1" x14ac:dyDescent="0.25">
      <c r="A122" s="23" t="s">
        <v>13</v>
      </c>
      <c r="B122" s="114" t="s">
        <v>24</v>
      </c>
      <c r="C122" s="2898" t="s">
        <v>96</v>
      </c>
      <c r="D122" s="2899"/>
      <c r="E122" s="2899"/>
      <c r="F122" s="2899"/>
      <c r="G122" s="2899"/>
      <c r="H122" s="2899"/>
      <c r="I122" s="2899"/>
      <c r="J122" s="2899"/>
      <c r="K122" s="2899"/>
      <c r="L122" s="2899"/>
      <c r="M122" s="2899"/>
      <c r="N122" s="2899"/>
      <c r="O122" s="2899"/>
      <c r="P122" s="2899"/>
      <c r="Q122" s="2899"/>
      <c r="R122" s="2900"/>
    </row>
    <row r="123" spans="1:20" x14ac:dyDescent="0.2">
      <c r="A123" s="2870" t="s">
        <v>13</v>
      </c>
      <c r="B123" s="2873" t="s">
        <v>24</v>
      </c>
      <c r="C123" s="2876" t="s">
        <v>13</v>
      </c>
      <c r="D123" s="2879" t="s">
        <v>151</v>
      </c>
      <c r="E123" s="2880"/>
      <c r="F123" s="2884" t="s">
        <v>36</v>
      </c>
      <c r="G123" s="2885" t="s">
        <v>53</v>
      </c>
      <c r="H123" s="102" t="s">
        <v>27</v>
      </c>
      <c r="I123" s="440"/>
      <c r="J123" s="453"/>
      <c r="K123" s="453"/>
      <c r="L123" s="441"/>
      <c r="M123" s="76"/>
      <c r="N123" s="115"/>
      <c r="O123" s="2888" t="s">
        <v>145</v>
      </c>
      <c r="P123" s="578">
        <v>12</v>
      </c>
      <c r="Q123" s="579">
        <v>12</v>
      </c>
      <c r="R123" s="580">
        <v>12</v>
      </c>
    </row>
    <row r="124" spans="1:20" x14ac:dyDescent="0.2">
      <c r="A124" s="2871"/>
      <c r="B124" s="2874"/>
      <c r="C124" s="2877"/>
      <c r="D124" s="2798"/>
      <c r="E124" s="2881"/>
      <c r="F124" s="2796"/>
      <c r="G124" s="2886"/>
      <c r="H124" s="604" t="s">
        <v>27</v>
      </c>
      <c r="I124" s="438">
        <f>J124+L124</f>
        <v>300</v>
      </c>
      <c r="J124" s="412"/>
      <c r="K124" s="413"/>
      <c r="L124" s="412">
        <v>300</v>
      </c>
      <c r="M124" s="105">
        <v>300</v>
      </c>
      <c r="N124" s="106">
        <v>300</v>
      </c>
      <c r="O124" s="2850"/>
      <c r="P124" s="286"/>
      <c r="Q124" s="561"/>
      <c r="R124" s="217"/>
    </row>
    <row r="125" spans="1:20" x14ac:dyDescent="0.2">
      <c r="A125" s="2871"/>
      <c r="B125" s="2874"/>
      <c r="C125" s="2877"/>
      <c r="D125" s="2798"/>
      <c r="E125" s="2881"/>
      <c r="F125" s="2796"/>
      <c r="G125" s="2886"/>
      <c r="H125" s="104" t="s">
        <v>148</v>
      </c>
      <c r="I125" s="438"/>
      <c r="J125" s="412"/>
      <c r="K125" s="413"/>
      <c r="L125" s="412"/>
      <c r="M125" s="105"/>
      <c r="N125" s="106"/>
      <c r="O125" s="2850"/>
      <c r="P125" s="286"/>
      <c r="Q125" s="561"/>
      <c r="R125" s="217"/>
    </row>
    <row r="126" spans="1:20" x14ac:dyDescent="0.2">
      <c r="A126" s="2871"/>
      <c r="B126" s="2874"/>
      <c r="C126" s="2877"/>
      <c r="D126" s="2798"/>
      <c r="E126" s="2881"/>
      <c r="F126" s="2796"/>
      <c r="G126" s="2886"/>
      <c r="H126" s="104" t="s">
        <v>21</v>
      </c>
      <c r="I126" s="438">
        <f>J126+L126</f>
        <v>1300</v>
      </c>
      <c r="J126" s="412"/>
      <c r="K126" s="413"/>
      <c r="L126" s="412">
        <v>1300</v>
      </c>
      <c r="M126" s="105">
        <v>1300</v>
      </c>
      <c r="N126" s="106">
        <v>1300</v>
      </c>
      <c r="O126" s="2850"/>
      <c r="P126" s="287"/>
      <c r="Q126" s="288"/>
      <c r="R126" s="289"/>
    </row>
    <row r="127" spans="1:20" ht="13.5" thickBot="1" x14ac:dyDescent="0.25">
      <c r="A127" s="2872"/>
      <c r="B127" s="2875"/>
      <c r="C127" s="2878"/>
      <c r="D127" s="2799"/>
      <c r="E127" s="2882"/>
      <c r="F127" s="2797"/>
      <c r="G127" s="2887"/>
      <c r="H127" s="486" t="s">
        <v>18</v>
      </c>
      <c r="I127" s="347">
        <f>SUM(I123:I126)</f>
        <v>1600</v>
      </c>
      <c r="J127" s="392"/>
      <c r="K127" s="348"/>
      <c r="L127" s="392">
        <f>SUM(L123:L126)</f>
        <v>1600</v>
      </c>
      <c r="M127" s="381">
        <f>SUM(M123:M126)</f>
        <v>1600</v>
      </c>
      <c r="N127" s="384">
        <f>SUM(N123:N126)</f>
        <v>1600</v>
      </c>
      <c r="O127" s="2889"/>
      <c r="P127" s="290"/>
      <c r="Q127" s="291"/>
      <c r="R127" s="292"/>
    </row>
    <row r="128" spans="1:20" ht="51" x14ac:dyDescent="0.2">
      <c r="A128" s="118" t="s">
        <v>13</v>
      </c>
      <c r="B128" s="119" t="s">
        <v>24</v>
      </c>
      <c r="C128" s="558" t="s">
        <v>19</v>
      </c>
      <c r="D128" s="305" t="s">
        <v>97</v>
      </c>
      <c r="E128" s="695"/>
      <c r="F128" s="192"/>
      <c r="G128" s="559" t="s">
        <v>26</v>
      </c>
      <c r="H128" s="26" t="s">
        <v>32</v>
      </c>
      <c r="I128" s="690">
        <f>J128+L128</f>
        <v>2500</v>
      </c>
      <c r="J128" s="339">
        <v>2500</v>
      </c>
      <c r="K128" s="339"/>
      <c r="L128" s="691"/>
      <c r="M128" s="692">
        <v>2500</v>
      </c>
      <c r="N128" s="693">
        <v>2500</v>
      </c>
      <c r="O128" s="694"/>
      <c r="P128" s="578"/>
      <c r="Q128" s="579"/>
      <c r="R128" s="580"/>
    </row>
    <row r="129" spans="1:20" ht="30" customHeight="1" x14ac:dyDescent="0.2">
      <c r="A129" s="116"/>
      <c r="B129" s="117"/>
      <c r="C129" s="549"/>
      <c r="D129" s="551" t="s">
        <v>199</v>
      </c>
      <c r="E129" s="696"/>
      <c r="F129" s="547" t="s">
        <v>13</v>
      </c>
      <c r="G129" s="563"/>
      <c r="H129" s="33" t="s">
        <v>21</v>
      </c>
      <c r="I129" s="396">
        <f t="shared" ref="I129" si="14">J129+L129</f>
        <v>19</v>
      </c>
      <c r="J129" s="396">
        <v>19</v>
      </c>
      <c r="K129" s="396"/>
      <c r="L129" s="688"/>
      <c r="M129" s="262">
        <v>19</v>
      </c>
      <c r="N129" s="262">
        <v>19</v>
      </c>
      <c r="O129" s="709" t="s">
        <v>221</v>
      </c>
      <c r="P129" s="560">
        <v>40</v>
      </c>
      <c r="Q129" s="561">
        <v>30</v>
      </c>
      <c r="R129" s="562">
        <v>30</v>
      </c>
      <c r="S129" s="196"/>
      <c r="T129" s="113"/>
    </row>
    <row r="130" spans="1:20" ht="38.25" x14ac:dyDescent="0.2">
      <c r="A130" s="116"/>
      <c r="B130" s="117"/>
      <c r="C130" s="549"/>
      <c r="D130" s="683" t="s">
        <v>200</v>
      </c>
      <c r="E130" s="696"/>
      <c r="F130" s="519" t="s">
        <v>36</v>
      </c>
      <c r="G130" s="563"/>
      <c r="H130" s="71"/>
      <c r="I130" s="468"/>
      <c r="J130" s="684"/>
      <c r="K130" s="684"/>
      <c r="L130" s="685"/>
      <c r="M130" s="72"/>
      <c r="N130" s="72"/>
      <c r="O130" s="710" t="s">
        <v>204</v>
      </c>
      <c r="P130" s="689">
        <v>40</v>
      </c>
      <c r="Q130" s="572">
        <v>30</v>
      </c>
      <c r="R130" s="574">
        <v>30</v>
      </c>
      <c r="S130" s="196"/>
    </row>
    <row r="131" spans="1:20" ht="51" x14ac:dyDescent="0.2">
      <c r="A131" s="116"/>
      <c r="B131" s="117"/>
      <c r="C131" s="549"/>
      <c r="D131" s="550" t="s">
        <v>201</v>
      </c>
      <c r="E131" s="696"/>
      <c r="F131" s="552"/>
      <c r="G131" s="563"/>
      <c r="H131" s="33"/>
      <c r="I131" s="396"/>
      <c r="J131" s="396"/>
      <c r="K131" s="396"/>
      <c r="L131" s="688"/>
      <c r="M131" s="262"/>
      <c r="N131" s="262"/>
      <c r="O131" s="711" t="s">
        <v>170</v>
      </c>
      <c r="P131" s="269">
        <v>95</v>
      </c>
      <c r="Q131" s="571">
        <v>100</v>
      </c>
      <c r="R131" s="573">
        <v>100</v>
      </c>
    </row>
    <row r="132" spans="1:20" ht="38.25" x14ac:dyDescent="0.2">
      <c r="A132" s="116"/>
      <c r="B132" s="117"/>
      <c r="C132" s="549"/>
      <c r="D132" s="551" t="s">
        <v>202</v>
      </c>
      <c r="E132" s="696"/>
      <c r="F132" s="547"/>
      <c r="G132" s="563"/>
      <c r="H132" s="33"/>
      <c r="I132" s="396"/>
      <c r="J132" s="686"/>
      <c r="K132" s="686"/>
      <c r="L132" s="687"/>
      <c r="M132" s="66"/>
      <c r="N132" s="66"/>
      <c r="O132" s="268" t="s">
        <v>216</v>
      </c>
      <c r="P132" s="560">
        <v>60</v>
      </c>
      <c r="Q132" s="561">
        <v>60</v>
      </c>
      <c r="R132" s="562">
        <v>60</v>
      </c>
    </row>
    <row r="133" spans="1:20" ht="27" customHeight="1" x14ac:dyDescent="0.2">
      <c r="A133" s="116"/>
      <c r="B133" s="117"/>
      <c r="C133" s="2804"/>
      <c r="D133" s="551" t="s">
        <v>203</v>
      </c>
      <c r="E133" s="696"/>
      <c r="F133" s="547"/>
      <c r="G133" s="563"/>
      <c r="H133" s="33"/>
      <c r="I133" s="396"/>
      <c r="J133" s="686"/>
      <c r="K133" s="686"/>
      <c r="L133" s="687"/>
      <c r="M133" s="66"/>
      <c r="N133" s="66"/>
      <c r="O133" s="712" t="s">
        <v>125</v>
      </c>
      <c r="P133" s="560">
        <v>84</v>
      </c>
      <c r="Q133" s="561">
        <v>85</v>
      </c>
      <c r="R133" s="562">
        <v>85</v>
      </c>
      <c r="T133" s="113"/>
    </row>
    <row r="134" spans="1:20" ht="19.5" customHeight="1" x14ac:dyDescent="0.2">
      <c r="A134" s="116"/>
      <c r="B134" s="117"/>
      <c r="C134" s="2804"/>
      <c r="D134" s="2805" t="s">
        <v>78</v>
      </c>
      <c r="E134" s="696"/>
      <c r="F134" s="2796"/>
      <c r="G134" s="2807"/>
      <c r="H134" s="33"/>
      <c r="I134" s="396"/>
      <c r="J134" s="358"/>
      <c r="K134" s="358"/>
      <c r="L134" s="632"/>
      <c r="M134" s="262"/>
      <c r="N134" s="262"/>
      <c r="O134" s="2809" t="s">
        <v>217</v>
      </c>
      <c r="P134" s="560">
        <v>12</v>
      </c>
      <c r="Q134" s="561">
        <v>12</v>
      </c>
      <c r="R134" s="562">
        <v>12</v>
      </c>
    </row>
    <row r="135" spans="1:20" ht="20.25" customHeight="1" thickBot="1" x14ac:dyDescent="0.25">
      <c r="A135" s="575"/>
      <c r="B135" s="554"/>
      <c r="C135" s="2804"/>
      <c r="D135" s="2806"/>
      <c r="E135" s="697"/>
      <c r="F135" s="2797"/>
      <c r="G135" s="2808"/>
      <c r="H135" s="470" t="s">
        <v>18</v>
      </c>
      <c r="I135" s="363">
        <f>J135+L135</f>
        <v>2519</v>
      </c>
      <c r="J135" s="363">
        <f>SUM(J128:J134)</f>
        <v>2519</v>
      </c>
      <c r="K135" s="363"/>
      <c r="L135" s="361"/>
      <c r="M135" s="382">
        <f>SUM(M128:M134)</f>
        <v>2519</v>
      </c>
      <c r="N135" s="433">
        <f>SUM(N128:N134)</f>
        <v>2519</v>
      </c>
      <c r="O135" s="2810"/>
      <c r="P135" s="296"/>
      <c r="Q135" s="297"/>
      <c r="R135" s="298"/>
    </row>
    <row r="136" spans="1:20" ht="40.5" customHeight="1" thickBot="1" x14ac:dyDescent="0.25">
      <c r="A136" s="802" t="s">
        <v>13</v>
      </c>
      <c r="B136" s="803" t="s">
        <v>24</v>
      </c>
      <c r="C136" s="884" t="s">
        <v>22</v>
      </c>
      <c r="D136" s="885" t="s">
        <v>80</v>
      </c>
      <c r="E136" s="886"/>
      <c r="F136" s="887" t="s">
        <v>36</v>
      </c>
      <c r="G136" s="888"/>
      <c r="H136" s="889"/>
      <c r="I136" s="890"/>
      <c r="J136" s="891"/>
      <c r="K136" s="891"/>
      <c r="L136" s="892"/>
      <c r="M136" s="893"/>
      <c r="N136" s="893"/>
      <c r="O136" s="894"/>
      <c r="P136" s="895"/>
      <c r="Q136" s="896"/>
      <c r="R136" s="897"/>
    </row>
    <row r="137" spans="1:20" ht="78.75" customHeight="1" x14ac:dyDescent="0.2">
      <c r="A137" s="116"/>
      <c r="B137" s="117"/>
      <c r="C137" s="881"/>
      <c r="D137" s="883" t="s">
        <v>212</v>
      </c>
      <c r="E137" s="195"/>
      <c r="F137" s="2796" t="s">
        <v>36</v>
      </c>
      <c r="G137" s="13" t="s">
        <v>95</v>
      </c>
      <c r="H137" s="33" t="s">
        <v>27</v>
      </c>
      <c r="I137" s="354"/>
      <c r="J137" s="358"/>
      <c r="K137" s="358"/>
      <c r="L137" s="359"/>
      <c r="M137" s="200">
        <v>87.1</v>
      </c>
      <c r="N137" s="200"/>
      <c r="O137" s="303" t="s">
        <v>164</v>
      </c>
      <c r="P137" s="689"/>
      <c r="Q137" s="824">
        <v>1</v>
      </c>
      <c r="R137" s="822"/>
    </row>
    <row r="138" spans="1:20" ht="17.25" customHeight="1" x14ac:dyDescent="0.2">
      <c r="A138" s="207"/>
      <c r="B138" s="117"/>
      <c r="C138" s="881"/>
      <c r="D138" s="2798" t="s">
        <v>81</v>
      </c>
      <c r="E138" s="195"/>
      <c r="F138" s="2796"/>
      <c r="G138" s="313" t="s">
        <v>53</v>
      </c>
      <c r="H138" s="99" t="s">
        <v>21</v>
      </c>
      <c r="I138" s="385">
        <f>J138+L138</f>
        <v>619</v>
      </c>
      <c r="J138" s="400">
        <v>19</v>
      </c>
      <c r="K138" s="400"/>
      <c r="L138" s="466">
        <v>600</v>
      </c>
      <c r="M138" s="262"/>
      <c r="N138" s="262"/>
      <c r="O138" s="603" t="s">
        <v>172</v>
      </c>
      <c r="P138" s="605">
        <v>3</v>
      </c>
      <c r="Q138" s="606">
        <v>3</v>
      </c>
      <c r="R138" s="607">
        <v>3</v>
      </c>
    </row>
    <row r="139" spans="1:20" ht="14.25" customHeight="1" thickBot="1" x14ac:dyDescent="0.25">
      <c r="A139" s="333"/>
      <c r="B139" s="745"/>
      <c r="C139" s="882"/>
      <c r="D139" s="2799"/>
      <c r="E139" s="761"/>
      <c r="F139" s="2797"/>
      <c r="G139" s="254"/>
      <c r="H139" s="470" t="s">
        <v>18</v>
      </c>
      <c r="I139" s="360">
        <f t="shared" ref="I139:N139" si="15">SUM(I137:I138)</f>
        <v>619</v>
      </c>
      <c r="J139" s="361">
        <f t="shared" si="15"/>
        <v>19</v>
      </c>
      <c r="K139" s="362">
        <f t="shared" si="15"/>
        <v>0</v>
      </c>
      <c r="L139" s="363">
        <f t="shared" si="15"/>
        <v>600</v>
      </c>
      <c r="M139" s="360">
        <f>SUM(M137:M138)</f>
        <v>87.1</v>
      </c>
      <c r="N139" s="360">
        <f t="shared" si="15"/>
        <v>0</v>
      </c>
      <c r="O139" s="42"/>
      <c r="P139" s="296"/>
      <c r="Q139" s="297"/>
      <c r="R139" s="298"/>
    </row>
    <row r="140" spans="1:20" s="18" customFormat="1" ht="13.5" thickBot="1" x14ac:dyDescent="0.3">
      <c r="A140" s="23" t="s">
        <v>13</v>
      </c>
      <c r="B140" s="24" t="s">
        <v>24</v>
      </c>
      <c r="C140" s="2800" t="s">
        <v>30</v>
      </c>
      <c r="D140" s="2800"/>
      <c r="E140" s="2800"/>
      <c r="F140" s="2800"/>
      <c r="G140" s="2800"/>
      <c r="H140" s="2800"/>
      <c r="I140" s="121">
        <f t="shared" ref="I140:N140" si="16">I135+I127+I139</f>
        <v>4738</v>
      </c>
      <c r="J140" s="123">
        <f t="shared" si="16"/>
        <v>2538</v>
      </c>
      <c r="K140" s="122">
        <f t="shared" si="16"/>
        <v>0</v>
      </c>
      <c r="L140" s="123">
        <f t="shared" si="16"/>
        <v>2200</v>
      </c>
      <c r="M140" s="255">
        <f t="shared" si="16"/>
        <v>4206.1000000000004</v>
      </c>
      <c r="N140" s="255">
        <f t="shared" si="16"/>
        <v>4119</v>
      </c>
      <c r="O140" s="2801"/>
      <c r="P140" s="2802"/>
      <c r="Q140" s="2802"/>
      <c r="R140" s="2803"/>
    </row>
    <row r="141" spans="1:20" ht="14.25" customHeight="1" thickBot="1" x14ac:dyDescent="0.25">
      <c r="A141" s="576" t="s">
        <v>13</v>
      </c>
      <c r="B141" s="124"/>
      <c r="C141" s="2787" t="s">
        <v>44</v>
      </c>
      <c r="D141" s="2787"/>
      <c r="E141" s="2787"/>
      <c r="F141" s="2787"/>
      <c r="G141" s="2787"/>
      <c r="H141" s="2787"/>
      <c r="I141" s="125">
        <f>J141+L141</f>
        <v>105300.70000000001</v>
      </c>
      <c r="J141" s="127">
        <f>J140+J121+J86+J31</f>
        <v>93788.1</v>
      </c>
      <c r="K141" s="126">
        <f>K140+K121+K86+K31</f>
        <v>8591.1</v>
      </c>
      <c r="L141" s="301">
        <f>L140+L121+L86+L31</f>
        <v>11512.6</v>
      </c>
      <c r="M141" s="127">
        <f>M140+M121+M86+M31</f>
        <v>107985.4</v>
      </c>
      <c r="N141" s="128">
        <f>N140+N121+N86+N31</f>
        <v>105432</v>
      </c>
      <c r="O141" s="2788"/>
      <c r="P141" s="2789"/>
      <c r="Q141" s="2789"/>
      <c r="R141" s="2790"/>
    </row>
    <row r="142" spans="1:20" s="18" customFormat="1" ht="13.5" customHeight="1" thickBot="1" x14ac:dyDescent="0.3">
      <c r="A142" s="129" t="s">
        <v>45</v>
      </c>
      <c r="B142" s="2791" t="s">
        <v>46</v>
      </c>
      <c r="C142" s="2792"/>
      <c r="D142" s="2792"/>
      <c r="E142" s="2792"/>
      <c r="F142" s="2792"/>
      <c r="G142" s="2792"/>
      <c r="H142" s="2792"/>
      <c r="I142" s="130">
        <f>J142+L142</f>
        <v>105300.70000000001</v>
      </c>
      <c r="J142" s="132">
        <f>J141</f>
        <v>93788.1</v>
      </c>
      <c r="K142" s="131">
        <f>K141</f>
        <v>8591.1</v>
      </c>
      <c r="L142" s="302">
        <f>L141</f>
        <v>11512.6</v>
      </c>
      <c r="M142" s="132">
        <f>M141</f>
        <v>107985.4</v>
      </c>
      <c r="N142" s="133">
        <f>N141</f>
        <v>105432</v>
      </c>
      <c r="O142" s="2793"/>
      <c r="P142" s="2794"/>
      <c r="Q142" s="2794"/>
      <c r="R142" s="2795"/>
      <c r="S142" s="6"/>
    </row>
    <row r="143" spans="1:20" s="113" customFormat="1" ht="24" customHeight="1" thickBot="1" x14ac:dyDescent="0.25">
      <c r="B143" s="134"/>
      <c r="C143" s="134"/>
      <c r="D143" s="2842" t="s">
        <v>47</v>
      </c>
      <c r="E143" s="2842"/>
      <c r="F143" s="2842"/>
      <c r="G143" s="2842"/>
      <c r="H143" s="2842"/>
      <c r="I143" s="2842"/>
      <c r="J143" s="2842"/>
      <c r="K143" s="2842"/>
      <c r="L143" s="2842"/>
      <c r="M143" s="2842"/>
      <c r="N143" s="2842"/>
      <c r="O143" s="246"/>
      <c r="P143" s="246"/>
      <c r="Q143" s="246"/>
      <c r="R143" s="246"/>
    </row>
    <row r="144" spans="1:20" s="18" customFormat="1" ht="32.25" customHeight="1" thickBot="1" x14ac:dyDescent="0.3">
      <c r="A144" s="2783" t="s">
        <v>48</v>
      </c>
      <c r="B144" s="2784"/>
      <c r="C144" s="2784"/>
      <c r="D144" s="2784"/>
      <c r="E144" s="2784"/>
      <c r="F144" s="2784"/>
      <c r="G144" s="2784"/>
      <c r="H144" s="2785"/>
      <c r="I144" s="2784" t="s">
        <v>127</v>
      </c>
      <c r="J144" s="2784"/>
      <c r="K144" s="2784"/>
      <c r="L144" s="2785"/>
      <c r="M144" s="698" t="s">
        <v>234</v>
      </c>
      <c r="N144" s="698" t="s">
        <v>235</v>
      </c>
      <c r="O144" s="545"/>
      <c r="P144" s="2786"/>
      <c r="Q144" s="2786"/>
      <c r="R144" s="2786"/>
    </row>
    <row r="145" spans="1:18" s="18" customFormat="1" ht="13.5" customHeight="1" thickBot="1" x14ac:dyDescent="0.3">
      <c r="A145" s="2772" t="s">
        <v>49</v>
      </c>
      <c r="B145" s="2773"/>
      <c r="C145" s="2773"/>
      <c r="D145" s="2773"/>
      <c r="E145" s="2773"/>
      <c r="F145" s="2773"/>
      <c r="G145" s="2773"/>
      <c r="H145" s="2774"/>
      <c r="I145" s="2838">
        <f>SUM(I146:L149)</f>
        <v>50571.8</v>
      </c>
      <c r="J145" s="2838"/>
      <c r="K145" s="2838"/>
      <c r="L145" s="2839"/>
      <c r="M145" s="543">
        <f>SUM(M146:M149)</f>
        <v>59930.3</v>
      </c>
      <c r="N145" s="135">
        <f>SUM(N146:N149)</f>
        <v>58760.700000000004</v>
      </c>
      <c r="O145" s="540"/>
      <c r="P145" s="2830"/>
      <c r="Q145" s="2830"/>
      <c r="R145" s="2830"/>
    </row>
    <row r="146" spans="1:18" s="18" customFormat="1" ht="12.75" customHeight="1" x14ac:dyDescent="0.25">
      <c r="A146" s="2780" t="s">
        <v>100</v>
      </c>
      <c r="B146" s="2781"/>
      <c r="C146" s="2781"/>
      <c r="D146" s="2781"/>
      <c r="E146" s="2781"/>
      <c r="F146" s="2781"/>
      <c r="G146" s="2781"/>
      <c r="H146" s="2782"/>
      <c r="I146" s="2840">
        <f>SUMIF(H12:H140,"SB",I12:I140)</f>
        <v>28751.5</v>
      </c>
      <c r="J146" s="2840"/>
      <c r="K146" s="2840"/>
      <c r="L146" s="2841"/>
      <c r="M146" s="544">
        <f>SUMIF(H12:H138,H27,M12:M138)</f>
        <v>30686.100000000002</v>
      </c>
      <c r="N146" s="209">
        <f>SUMIF(H12:H138,"sb",N12:N138)</f>
        <v>30409.7</v>
      </c>
      <c r="O146" s="542"/>
      <c r="P146" s="2833"/>
      <c r="Q146" s="2833"/>
      <c r="R146" s="2833"/>
    </row>
    <row r="147" spans="1:18" s="18" customFormat="1" ht="12.75" customHeight="1" x14ac:dyDescent="0.25">
      <c r="A147" s="2777" t="s">
        <v>101</v>
      </c>
      <c r="B147" s="2778"/>
      <c r="C147" s="2778"/>
      <c r="D147" s="2778"/>
      <c r="E147" s="2778"/>
      <c r="F147" s="2778"/>
      <c r="G147" s="2778"/>
      <c r="H147" s="2779"/>
      <c r="I147" s="2837">
        <f>SUMIF(H12:H140,"SB(sP)",I12:I140)</f>
        <v>4001.2</v>
      </c>
      <c r="J147" s="2819"/>
      <c r="K147" s="2819"/>
      <c r="L147" s="2820"/>
      <c r="M147" s="138">
        <f>SUMIF(H12:H135,"sb(sp)",M12:M135)</f>
        <v>4333.1000000000004</v>
      </c>
      <c r="N147" s="138">
        <f>SUMIF(H12:H138,"sb(sp)",N12:N138)</f>
        <v>4333.1000000000004</v>
      </c>
      <c r="O147" s="542"/>
      <c r="P147" s="2833"/>
      <c r="Q147" s="2833"/>
      <c r="R147" s="2833"/>
    </row>
    <row r="148" spans="1:18" s="18" customFormat="1" ht="15" customHeight="1" x14ac:dyDescent="0.25">
      <c r="A148" s="2777" t="s">
        <v>102</v>
      </c>
      <c r="B148" s="2778"/>
      <c r="C148" s="2778"/>
      <c r="D148" s="2778"/>
      <c r="E148" s="2778"/>
      <c r="F148" s="2778"/>
      <c r="G148" s="2778"/>
      <c r="H148" s="2779"/>
      <c r="I148" s="2819">
        <f>SUMIF(H12:H140,"sb(vb)",I12:I140)</f>
        <v>17095.7</v>
      </c>
      <c r="J148" s="2819"/>
      <c r="K148" s="2819"/>
      <c r="L148" s="2820"/>
      <c r="M148" s="541">
        <f>SUMIF(H12:H138,"sb(vb)",M12:M138)</f>
        <v>24747.5</v>
      </c>
      <c r="N148" s="138">
        <f>SUMIF(H12:H138,H12,N12:N138)</f>
        <v>24017.9</v>
      </c>
      <c r="O148" s="542"/>
      <c r="P148" s="2833"/>
      <c r="Q148" s="2833"/>
      <c r="R148" s="2833"/>
    </row>
    <row r="149" spans="1:18" s="18" customFormat="1" ht="12.75" customHeight="1" thickBot="1" x14ac:dyDescent="0.3">
      <c r="A149" s="2834" t="s">
        <v>103</v>
      </c>
      <c r="B149" s="2835"/>
      <c r="C149" s="2835"/>
      <c r="D149" s="2835"/>
      <c r="E149" s="2835"/>
      <c r="F149" s="2835"/>
      <c r="G149" s="2835"/>
      <c r="H149" s="2836"/>
      <c r="I149" s="2831">
        <f>SUMIF(H12:H140,"sb(p)",I12:I140)</f>
        <v>723.4</v>
      </c>
      <c r="J149" s="2831"/>
      <c r="K149" s="2831"/>
      <c r="L149" s="2832"/>
      <c r="M149" s="139">
        <f>SUMIF(H12:H135,"sb(p)",M12:M135)</f>
        <v>163.6</v>
      </c>
      <c r="N149" s="140">
        <f>SUMIF(H12:H138,#REF!,N12:N138)</f>
        <v>0</v>
      </c>
      <c r="O149" s="542"/>
      <c r="P149" s="2833"/>
      <c r="Q149" s="2833"/>
      <c r="R149" s="2833"/>
    </row>
    <row r="150" spans="1:18" s="18" customFormat="1" ht="13.5" customHeight="1" thickBot="1" x14ac:dyDescent="0.3">
      <c r="A150" s="2772" t="s">
        <v>50</v>
      </c>
      <c r="B150" s="2773"/>
      <c r="C150" s="2773"/>
      <c r="D150" s="2773"/>
      <c r="E150" s="2773"/>
      <c r="F150" s="2773"/>
      <c r="G150" s="2773"/>
      <c r="H150" s="2774"/>
      <c r="I150" s="2838">
        <f>SUM(I151:L153)</f>
        <v>54728.899999999994</v>
      </c>
      <c r="J150" s="2838"/>
      <c r="K150" s="2838"/>
      <c r="L150" s="2839"/>
      <c r="M150" s="543">
        <f>SUM(M151:M153)</f>
        <v>48055.099999999991</v>
      </c>
      <c r="N150" s="135">
        <f>N151+N152+N153</f>
        <v>46671.299999999996</v>
      </c>
      <c r="O150" s="540"/>
      <c r="P150" s="2830"/>
      <c r="Q150" s="2830"/>
      <c r="R150" s="2830"/>
    </row>
    <row r="151" spans="1:18" s="18" customFormat="1" ht="12.75" customHeight="1" x14ac:dyDescent="0.25">
      <c r="A151" s="2864" t="s">
        <v>104</v>
      </c>
      <c r="B151" s="2865"/>
      <c r="C151" s="2865"/>
      <c r="D151" s="2865"/>
      <c r="E151" s="2865"/>
      <c r="F151" s="2865"/>
      <c r="G151" s="2865"/>
      <c r="H151" s="2866"/>
      <c r="I151" s="2845">
        <f>SUMIF(H32:H140,"es",I32:I140)</f>
        <v>7129.5000000000009</v>
      </c>
      <c r="J151" s="2845"/>
      <c r="K151" s="2845"/>
      <c r="L151" s="2846"/>
      <c r="M151" s="136">
        <f>SUMIF(H12:H135,"es",M12:M135)</f>
        <v>1373.1000000000001</v>
      </c>
      <c r="N151" s="137">
        <f>SUMIF(H12:H135,"es",N12:N135)</f>
        <v>0</v>
      </c>
      <c r="O151" s="542"/>
      <c r="P151" s="2833"/>
      <c r="Q151" s="2833"/>
      <c r="R151" s="2833"/>
    </row>
    <row r="152" spans="1:18" s="18" customFormat="1" ht="12.75" customHeight="1" x14ac:dyDescent="0.25">
      <c r="A152" s="2777" t="s">
        <v>105</v>
      </c>
      <c r="B152" s="2778"/>
      <c r="C152" s="2778"/>
      <c r="D152" s="2778"/>
      <c r="E152" s="2778"/>
      <c r="F152" s="2778"/>
      <c r="G152" s="2778"/>
      <c r="H152" s="2779"/>
      <c r="I152" s="2819">
        <f>SUMIF(H12:H140,"lrvb",I12:I140)</f>
        <v>47289.7</v>
      </c>
      <c r="J152" s="2819"/>
      <c r="K152" s="2819"/>
      <c r="L152" s="2820"/>
      <c r="M152" s="541">
        <f>SUMIF(H12:H135,"lrvb",M12:M135)</f>
        <v>46472.299999999996</v>
      </c>
      <c r="N152" s="138">
        <f>SUMIF(H12:H135,H126,N12:N135)</f>
        <v>46461.599999999999</v>
      </c>
      <c r="O152" s="56"/>
      <c r="P152" s="2833"/>
      <c r="Q152" s="2833"/>
      <c r="R152" s="2833"/>
    </row>
    <row r="153" spans="1:18" s="18" customFormat="1" ht="13.5" customHeight="1" thickBot="1" x14ac:dyDescent="0.3">
      <c r="A153" s="2867" t="s">
        <v>126</v>
      </c>
      <c r="B153" s="2868"/>
      <c r="C153" s="2868"/>
      <c r="D153" s="2868"/>
      <c r="E153" s="2868"/>
      <c r="F153" s="2868"/>
      <c r="G153" s="2868"/>
      <c r="H153" s="2869"/>
      <c r="I153" s="2843">
        <f>SUMIF(H32:H140,"kt",I32:I140)</f>
        <v>309.7</v>
      </c>
      <c r="J153" s="2843"/>
      <c r="K153" s="2843"/>
      <c r="L153" s="2844"/>
      <c r="M153" s="136">
        <f>SUMIF(H12:H135,"kt",M12:M135)</f>
        <v>209.7</v>
      </c>
      <c r="N153" s="137">
        <f>SUMIF(H12:H135,"kt",N12:N135)</f>
        <v>209.7</v>
      </c>
      <c r="O153" s="56"/>
      <c r="P153" s="2833"/>
      <c r="Q153" s="2833"/>
      <c r="R153" s="2833"/>
    </row>
    <row r="154" spans="1:18" s="18" customFormat="1" ht="13.5" customHeight="1" thickBot="1" x14ac:dyDescent="0.3">
      <c r="A154" s="2816" t="s">
        <v>51</v>
      </c>
      <c r="B154" s="2817"/>
      <c r="C154" s="2817"/>
      <c r="D154" s="2817"/>
      <c r="E154" s="2817"/>
      <c r="F154" s="2817"/>
      <c r="G154" s="2817"/>
      <c r="H154" s="2818"/>
      <c r="I154" s="2828">
        <f>I150+I145</f>
        <v>105300.7</v>
      </c>
      <c r="J154" s="2828"/>
      <c r="K154" s="2828"/>
      <c r="L154" s="2829"/>
      <c r="M154" s="539">
        <f>M145+M150</f>
        <v>107985.4</v>
      </c>
      <c r="N154" s="467">
        <f>N145+N150</f>
        <v>105432</v>
      </c>
      <c r="O154" s="250"/>
      <c r="P154" s="2830"/>
      <c r="Q154" s="2830"/>
      <c r="R154" s="2830"/>
    </row>
    <row r="155" spans="1:18" x14ac:dyDescent="0.2">
      <c r="B155" s="141"/>
      <c r="C155" s="141"/>
      <c r="D155" s="141"/>
      <c r="E155" s="141"/>
      <c r="F155" s="141"/>
      <c r="J155" s="2815"/>
      <c r="K155" s="2815"/>
      <c r="M155" s="196"/>
      <c r="N155" s="196"/>
    </row>
    <row r="156" spans="1:18" x14ac:dyDescent="0.2">
      <c r="I156" s="196"/>
      <c r="J156" s="338"/>
      <c r="K156" s="196"/>
      <c r="M156" s="196"/>
      <c r="N156" s="196"/>
    </row>
    <row r="158" spans="1:18" x14ac:dyDescent="0.2">
      <c r="J158" s="196"/>
    </row>
    <row r="160" spans="1:18" x14ac:dyDescent="0.2">
      <c r="E160" s="17"/>
      <c r="F160" s="17"/>
      <c r="G160" s="142"/>
      <c r="O160" s="143"/>
      <c r="P160" s="143"/>
      <c r="Q160" s="143"/>
      <c r="R160" s="143"/>
    </row>
  </sheetData>
  <mergeCells count="225">
    <mergeCell ref="R15:R16"/>
    <mergeCell ref="O13:O14"/>
    <mergeCell ref="O15:O16"/>
    <mergeCell ref="P15:P16"/>
    <mergeCell ref="Q15:Q16"/>
    <mergeCell ref="O6:O7"/>
    <mergeCell ref="P6:R6"/>
    <mergeCell ref="A8:R8"/>
    <mergeCell ref="A9:R9"/>
    <mergeCell ref="B10:R10"/>
    <mergeCell ref="C11:R11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F7"/>
    <mergeCell ref="M5:M7"/>
    <mergeCell ref="N5:N7"/>
    <mergeCell ref="O5:R5"/>
    <mergeCell ref="I6:I7"/>
    <mergeCell ref="G5:G7"/>
    <mergeCell ref="H5:H7"/>
    <mergeCell ref="I5:L5"/>
    <mergeCell ref="J6:K6"/>
    <mergeCell ref="L6:L7"/>
    <mergeCell ref="D21:D22"/>
    <mergeCell ref="O21:O22"/>
    <mergeCell ref="P21:P22"/>
    <mergeCell ref="Q21:Q22"/>
    <mergeCell ref="R21:R22"/>
    <mergeCell ref="D19:D20"/>
    <mergeCell ref="O19:O20"/>
    <mergeCell ref="P19:P20"/>
    <mergeCell ref="Q19:Q20"/>
    <mergeCell ref="R19:R20"/>
    <mergeCell ref="G23:G24"/>
    <mergeCell ref="D25:D26"/>
    <mergeCell ref="O25:O26"/>
    <mergeCell ref="P25:P26"/>
    <mergeCell ref="A23:A24"/>
    <mergeCell ref="B23:B24"/>
    <mergeCell ref="C23:C24"/>
    <mergeCell ref="D23:D24"/>
    <mergeCell ref="E23:E24"/>
    <mergeCell ref="F23:F24"/>
    <mergeCell ref="C32:R32"/>
    <mergeCell ref="A29:A30"/>
    <mergeCell ref="B29:B30"/>
    <mergeCell ref="D29:D30"/>
    <mergeCell ref="C31:H31"/>
    <mergeCell ref="O31:R31"/>
    <mergeCell ref="Q25:Q26"/>
    <mergeCell ref="R25:R26"/>
    <mergeCell ref="A27:A28"/>
    <mergeCell ref="B27:B28"/>
    <mergeCell ref="C27:C28"/>
    <mergeCell ref="O27:O28"/>
    <mergeCell ref="P27:P28"/>
    <mergeCell ref="Q27:Q28"/>
    <mergeCell ref="R27:R28"/>
    <mergeCell ref="D48:D50"/>
    <mergeCell ref="O48:O50"/>
    <mergeCell ref="P48:P50"/>
    <mergeCell ref="Q48:Q50"/>
    <mergeCell ref="R48:R50"/>
    <mergeCell ref="D44:D45"/>
    <mergeCell ref="D46:D47"/>
    <mergeCell ref="D42:D43"/>
    <mergeCell ref="D39:D40"/>
    <mergeCell ref="O54:O56"/>
    <mergeCell ref="P54:P56"/>
    <mergeCell ref="Q54:Q56"/>
    <mergeCell ref="R54:R56"/>
    <mergeCell ref="D54:D56"/>
    <mergeCell ref="D51:D53"/>
    <mergeCell ref="O51:O53"/>
    <mergeCell ref="P51:P53"/>
    <mergeCell ref="Q51:Q53"/>
    <mergeCell ref="R51:R53"/>
    <mergeCell ref="F57:F58"/>
    <mergeCell ref="G57:G58"/>
    <mergeCell ref="O57:O58"/>
    <mergeCell ref="D64:D65"/>
    <mergeCell ref="A57:A58"/>
    <mergeCell ref="B57:B58"/>
    <mergeCell ref="C57:C58"/>
    <mergeCell ref="D57:D58"/>
    <mergeCell ref="E57:E58"/>
    <mergeCell ref="P66:P67"/>
    <mergeCell ref="Q66:Q67"/>
    <mergeCell ref="R66:R67"/>
    <mergeCell ref="A66:A67"/>
    <mergeCell ref="B66:B67"/>
    <mergeCell ref="C66:C67"/>
    <mergeCell ref="D66:D67"/>
    <mergeCell ref="E66:E67"/>
    <mergeCell ref="F66:F67"/>
    <mergeCell ref="A68:A69"/>
    <mergeCell ref="B68:B69"/>
    <mergeCell ref="D68:D70"/>
    <mergeCell ref="O68:O69"/>
    <mergeCell ref="A71:A72"/>
    <mergeCell ref="B71:B72"/>
    <mergeCell ref="D71:D74"/>
    <mergeCell ref="O71:O72"/>
    <mergeCell ref="G66:G67"/>
    <mergeCell ref="O66:O67"/>
    <mergeCell ref="A75:A76"/>
    <mergeCell ref="B75:B76"/>
    <mergeCell ref="D75:D77"/>
    <mergeCell ref="O75:O76"/>
    <mergeCell ref="A78:A79"/>
    <mergeCell ref="B78:B79"/>
    <mergeCell ref="D78:D80"/>
    <mergeCell ref="C86:H86"/>
    <mergeCell ref="O86:R86"/>
    <mergeCell ref="C87:R87"/>
    <mergeCell ref="D89:D92"/>
    <mergeCell ref="O89:O92"/>
    <mergeCell ref="P84:P85"/>
    <mergeCell ref="Q84:Q85"/>
    <mergeCell ref="R84:R85"/>
    <mergeCell ref="O78:O79"/>
    <mergeCell ref="O81:O82"/>
    <mergeCell ref="D83:D85"/>
    <mergeCell ref="E83:E85"/>
    <mergeCell ref="F83:F85"/>
    <mergeCell ref="G83:G85"/>
    <mergeCell ref="O84:O85"/>
    <mergeCell ref="O93:O96"/>
    <mergeCell ref="O97:O100"/>
    <mergeCell ref="F123:F127"/>
    <mergeCell ref="G123:G127"/>
    <mergeCell ref="O123:O127"/>
    <mergeCell ref="D108:D110"/>
    <mergeCell ref="O108:O110"/>
    <mergeCell ref="D111:D113"/>
    <mergeCell ref="O111:O113"/>
    <mergeCell ref="D114:D115"/>
    <mergeCell ref="G114:G115"/>
    <mergeCell ref="O114:O115"/>
    <mergeCell ref="O121:R121"/>
    <mergeCell ref="C122:R122"/>
    <mergeCell ref="D116:D117"/>
    <mergeCell ref="E120:H120"/>
    <mergeCell ref="D118:D120"/>
    <mergeCell ref="E101:H101"/>
    <mergeCell ref="D97:D101"/>
    <mergeCell ref="P152:R152"/>
    <mergeCell ref="I153:L153"/>
    <mergeCell ref="P153:R153"/>
    <mergeCell ref="I150:L150"/>
    <mergeCell ref="P150:R150"/>
    <mergeCell ref="I151:L151"/>
    <mergeCell ref="P151:R151"/>
    <mergeCell ref="D103:D107"/>
    <mergeCell ref="O103:O107"/>
    <mergeCell ref="P103:P105"/>
    <mergeCell ref="Q103:Q104"/>
    <mergeCell ref="R103:R104"/>
    <mergeCell ref="R114:R115"/>
    <mergeCell ref="P114:P115"/>
    <mergeCell ref="Q114:Q115"/>
    <mergeCell ref="A151:H151"/>
    <mergeCell ref="A152:H152"/>
    <mergeCell ref="A153:H153"/>
    <mergeCell ref="A123:A127"/>
    <mergeCell ref="B123:B127"/>
    <mergeCell ref="C123:C127"/>
    <mergeCell ref="D123:D127"/>
    <mergeCell ref="E123:E127"/>
    <mergeCell ref="I144:L144"/>
    <mergeCell ref="J155:K155"/>
    <mergeCell ref="A154:H154"/>
    <mergeCell ref="I152:L152"/>
    <mergeCell ref="D17:D18"/>
    <mergeCell ref="O17:O18"/>
    <mergeCell ref="Q17:Q18"/>
    <mergeCell ref="D27:D28"/>
    <mergeCell ref="D12:D16"/>
    <mergeCell ref="T35:T36"/>
    <mergeCell ref="D36:D37"/>
    <mergeCell ref="I154:L154"/>
    <mergeCell ref="P154:R154"/>
    <mergeCell ref="I149:L149"/>
    <mergeCell ref="P149:R149"/>
    <mergeCell ref="A149:H149"/>
    <mergeCell ref="P147:R147"/>
    <mergeCell ref="I148:L148"/>
    <mergeCell ref="P148:R148"/>
    <mergeCell ref="I147:L147"/>
    <mergeCell ref="I145:L145"/>
    <mergeCell ref="P145:R145"/>
    <mergeCell ref="I146:L146"/>
    <mergeCell ref="P146:R146"/>
    <mergeCell ref="D143:N143"/>
    <mergeCell ref="A150:H150"/>
    <mergeCell ref="T62:T64"/>
    <mergeCell ref="T102:T103"/>
    <mergeCell ref="A148:H148"/>
    <mergeCell ref="A147:H147"/>
    <mergeCell ref="A146:H146"/>
    <mergeCell ref="A144:H144"/>
    <mergeCell ref="P144:R144"/>
    <mergeCell ref="C141:H141"/>
    <mergeCell ref="O141:R141"/>
    <mergeCell ref="B142:H142"/>
    <mergeCell ref="O142:R142"/>
    <mergeCell ref="F137:F139"/>
    <mergeCell ref="D138:D139"/>
    <mergeCell ref="C140:H140"/>
    <mergeCell ref="O140:R140"/>
    <mergeCell ref="C133:C135"/>
    <mergeCell ref="D134:D135"/>
    <mergeCell ref="F134:F135"/>
    <mergeCell ref="G134:G135"/>
    <mergeCell ref="O134:O135"/>
    <mergeCell ref="C121:H121"/>
    <mergeCell ref="A145:H145"/>
    <mergeCell ref="D93:D96"/>
  </mergeCells>
  <printOptions horizontalCentered="1"/>
  <pageMargins left="0" right="0" top="0.39370078740157483" bottom="0.19685039370078741" header="0.31496062992125984" footer="0.31496062992125984"/>
  <pageSetup paperSize="9" orientation="landscape" r:id="rId1"/>
  <rowBreaks count="5" manualBreakCount="5">
    <brk id="26" max="17" man="1"/>
    <brk id="47" max="17" man="1"/>
    <brk id="62" max="17" man="1"/>
    <brk id="102" max="17" man="1"/>
    <brk id="12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sqref="A1:B1"/>
    </sheetView>
  </sheetViews>
  <sheetFormatPr defaultRowHeight="15.75" x14ac:dyDescent="0.25"/>
  <cols>
    <col min="1" max="1" width="22.7109375" style="1" customWidth="1"/>
    <col min="2" max="2" width="60.7109375" style="1" customWidth="1"/>
    <col min="3" max="16384" width="9.140625" style="1"/>
  </cols>
  <sheetData>
    <row r="1" spans="1:2" x14ac:dyDescent="0.25">
      <c r="A1" s="3080" t="s">
        <v>85</v>
      </c>
      <c r="B1" s="3080"/>
    </row>
    <row r="2" spans="1:2" ht="31.5" x14ac:dyDescent="0.25">
      <c r="A2" s="2" t="s">
        <v>6</v>
      </c>
      <c r="B2" s="3" t="s">
        <v>86</v>
      </c>
    </row>
    <row r="3" spans="1:2" x14ac:dyDescent="0.25">
      <c r="A3" s="2">
        <v>1</v>
      </c>
      <c r="B3" s="3" t="s">
        <v>87</v>
      </c>
    </row>
    <row r="4" spans="1:2" x14ac:dyDescent="0.25">
      <c r="A4" s="2">
        <v>2</v>
      </c>
      <c r="B4" s="3" t="s">
        <v>88</v>
      </c>
    </row>
    <row r="5" spans="1:2" x14ac:dyDescent="0.25">
      <c r="A5" s="2">
        <v>3</v>
      </c>
      <c r="B5" s="3" t="s">
        <v>89</v>
      </c>
    </row>
    <row r="6" spans="1:2" x14ac:dyDescent="0.25">
      <c r="A6" s="2">
        <v>4</v>
      </c>
      <c r="B6" s="3" t="s">
        <v>90</v>
      </c>
    </row>
    <row r="7" spans="1:2" x14ac:dyDescent="0.25">
      <c r="A7" s="2">
        <v>5</v>
      </c>
      <c r="B7" s="3" t="s">
        <v>91</v>
      </c>
    </row>
    <row r="8" spans="1:2" x14ac:dyDescent="0.25">
      <c r="A8" s="2">
        <v>6</v>
      </c>
      <c r="B8" s="3" t="s">
        <v>92</v>
      </c>
    </row>
    <row r="9" spans="1:2" ht="15.75" customHeight="1" x14ac:dyDescent="0.25"/>
    <row r="10" spans="1:2" ht="15.75" customHeight="1" x14ac:dyDescent="0.25">
      <c r="A10" s="3081" t="s">
        <v>93</v>
      </c>
      <c r="B10" s="3081"/>
    </row>
  </sheetData>
  <mergeCells count="2">
    <mergeCell ref="A1:B1"/>
    <mergeCell ref="A10:B10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60"/>
  <sheetViews>
    <sheetView zoomScale="110" zoomScaleNormal="110" workbookViewId="0">
      <selection activeCell="O21" sqref="O21"/>
    </sheetView>
  </sheetViews>
  <sheetFormatPr defaultRowHeight="12.75" x14ac:dyDescent="0.2"/>
  <cols>
    <col min="1" max="2" width="2.7109375" style="17" customWidth="1"/>
    <col min="3" max="3" width="2.85546875" style="17" customWidth="1"/>
    <col min="4" max="4" width="29.7109375" style="17" customWidth="1"/>
    <col min="5" max="5" width="3.7109375" style="142" customWidth="1"/>
    <col min="6" max="6" width="2.85546875" style="142" customWidth="1"/>
    <col min="7" max="7" width="2.7109375" style="145" customWidth="1"/>
    <col min="8" max="8" width="7.5703125" style="17" customWidth="1"/>
    <col min="9" max="10" width="8.42578125" style="17" customWidth="1"/>
    <col min="11" max="11" width="6.140625" style="17" customWidth="1"/>
    <col min="12" max="12" width="7.42578125" style="17" customWidth="1"/>
    <col min="13" max="14" width="8.42578125" style="17" customWidth="1"/>
    <col min="15" max="15" width="6.140625" style="17" customWidth="1"/>
    <col min="16" max="16" width="7.42578125" style="17" customWidth="1"/>
    <col min="17" max="18" width="8.42578125" style="17" customWidth="1"/>
    <col min="19" max="19" width="6.140625" style="17" customWidth="1"/>
    <col min="20" max="20" width="7.42578125" style="17" customWidth="1"/>
    <col min="21" max="21" width="9.140625" style="17"/>
    <col min="22" max="22" width="35" style="17" customWidth="1"/>
    <col min="23" max="16384" width="9.140625" style="17"/>
  </cols>
  <sheetData>
    <row r="1" spans="1:22" ht="15.75" x14ac:dyDescent="0.25">
      <c r="A1" s="3016" t="s">
        <v>228</v>
      </c>
      <c r="B1" s="3016"/>
      <c r="C1" s="3016"/>
      <c r="D1" s="3016"/>
      <c r="E1" s="3016"/>
      <c r="F1" s="3016"/>
      <c r="G1" s="3016"/>
      <c r="H1" s="3016"/>
      <c r="I1" s="3016"/>
      <c r="J1" s="3016"/>
      <c r="K1" s="3016"/>
      <c r="L1" s="3016"/>
      <c r="M1" s="3016"/>
      <c r="N1" s="3016"/>
      <c r="O1" s="3016"/>
      <c r="P1" s="3016"/>
      <c r="Q1" s="3016"/>
      <c r="R1" s="3016"/>
      <c r="S1" s="3016"/>
      <c r="T1" s="3016"/>
    </row>
    <row r="2" spans="1:22" s="18" customFormat="1" ht="12.75" customHeight="1" x14ac:dyDescent="0.25">
      <c r="A2" s="3017" t="s">
        <v>83</v>
      </c>
      <c r="B2" s="3017"/>
      <c r="C2" s="3017"/>
      <c r="D2" s="3017"/>
      <c r="E2" s="3017"/>
      <c r="F2" s="3017"/>
      <c r="G2" s="3017"/>
      <c r="H2" s="3017"/>
      <c r="I2" s="3017"/>
      <c r="J2" s="3017"/>
      <c r="K2" s="3017"/>
      <c r="L2" s="3017"/>
      <c r="M2" s="3017"/>
      <c r="N2" s="3017"/>
      <c r="O2" s="3017"/>
      <c r="P2" s="3017"/>
      <c r="Q2" s="3017"/>
      <c r="R2" s="3017"/>
      <c r="S2" s="3017"/>
      <c r="T2" s="3017"/>
    </row>
    <row r="3" spans="1:22" s="18" customFormat="1" ht="12.75" customHeight="1" x14ac:dyDescent="0.25">
      <c r="A3" s="3018" t="s">
        <v>230</v>
      </c>
      <c r="B3" s="3018"/>
      <c r="C3" s="3018"/>
      <c r="D3" s="3018"/>
      <c r="E3" s="3018"/>
      <c r="F3" s="3018"/>
      <c r="G3" s="3018"/>
      <c r="H3" s="3018"/>
      <c r="I3" s="3018"/>
      <c r="J3" s="3018"/>
      <c r="K3" s="3018"/>
      <c r="L3" s="3018"/>
      <c r="M3" s="3018"/>
      <c r="N3" s="3018"/>
      <c r="O3" s="3018"/>
      <c r="P3" s="3018"/>
      <c r="Q3" s="3018"/>
      <c r="R3" s="3018"/>
      <c r="S3" s="3018"/>
      <c r="T3" s="3018"/>
    </row>
    <row r="4" spans="1:22" s="18" customFormat="1" ht="15.75" customHeight="1" thickBot="1" x14ac:dyDescent="0.3">
      <c r="A4" s="3019" t="s">
        <v>0</v>
      </c>
      <c r="B4" s="3019"/>
      <c r="C4" s="3019"/>
      <c r="D4" s="3019"/>
      <c r="E4" s="3019"/>
      <c r="F4" s="3019"/>
      <c r="G4" s="3019"/>
      <c r="H4" s="3019"/>
      <c r="I4" s="3019"/>
      <c r="J4" s="3019"/>
      <c r="K4" s="3019"/>
      <c r="L4" s="3019"/>
      <c r="M4" s="3019"/>
      <c r="N4" s="3019"/>
      <c r="O4" s="3019"/>
      <c r="P4" s="3019"/>
      <c r="Q4" s="3019"/>
      <c r="R4" s="3019"/>
      <c r="S4" s="3019"/>
      <c r="T4" s="3019"/>
    </row>
    <row r="5" spans="1:22" s="19" customFormat="1" ht="30.75" customHeight="1" x14ac:dyDescent="0.25">
      <c r="A5" s="3020" t="s">
        <v>1</v>
      </c>
      <c r="B5" s="3023" t="s">
        <v>2</v>
      </c>
      <c r="C5" s="3026" t="s">
        <v>3</v>
      </c>
      <c r="D5" s="3029" t="s">
        <v>4</v>
      </c>
      <c r="E5" s="3032" t="s">
        <v>5</v>
      </c>
      <c r="F5" s="3023" t="s">
        <v>229</v>
      </c>
      <c r="G5" s="3043" t="s">
        <v>6</v>
      </c>
      <c r="H5" s="3046" t="s">
        <v>7</v>
      </c>
      <c r="I5" s="3049" t="s">
        <v>127</v>
      </c>
      <c r="J5" s="3050"/>
      <c r="K5" s="3050"/>
      <c r="L5" s="3051"/>
      <c r="M5" s="3049" t="s">
        <v>236</v>
      </c>
      <c r="N5" s="3050"/>
      <c r="O5" s="3050"/>
      <c r="P5" s="3051"/>
      <c r="Q5" s="3049" t="s">
        <v>237</v>
      </c>
      <c r="R5" s="3050"/>
      <c r="S5" s="3050"/>
      <c r="T5" s="3051"/>
    </row>
    <row r="6" spans="1:22" s="19" customFormat="1" x14ac:dyDescent="0.25">
      <c r="A6" s="3021"/>
      <c r="B6" s="3024"/>
      <c r="C6" s="3027"/>
      <c r="D6" s="3030"/>
      <c r="E6" s="3033"/>
      <c r="F6" s="3024"/>
      <c r="G6" s="3044"/>
      <c r="H6" s="3047"/>
      <c r="I6" s="3041" t="s">
        <v>8</v>
      </c>
      <c r="J6" s="3052" t="s">
        <v>9</v>
      </c>
      <c r="K6" s="3053"/>
      <c r="L6" s="3054" t="s">
        <v>10</v>
      </c>
      <c r="M6" s="3041" t="s">
        <v>8</v>
      </c>
      <c r="N6" s="3052" t="s">
        <v>9</v>
      </c>
      <c r="O6" s="3053"/>
      <c r="P6" s="3054" t="s">
        <v>10</v>
      </c>
      <c r="Q6" s="3041" t="s">
        <v>8</v>
      </c>
      <c r="R6" s="3052" t="s">
        <v>9</v>
      </c>
      <c r="S6" s="3053"/>
      <c r="T6" s="3054" t="s">
        <v>10</v>
      </c>
    </row>
    <row r="7" spans="1:22" s="19" customFormat="1" ht="84" customHeight="1" thickBot="1" x14ac:dyDescent="0.3">
      <c r="A7" s="3022"/>
      <c r="B7" s="3025"/>
      <c r="C7" s="3028"/>
      <c r="D7" s="3031"/>
      <c r="E7" s="3034"/>
      <c r="F7" s="3025"/>
      <c r="G7" s="3045"/>
      <c r="H7" s="3048"/>
      <c r="I7" s="3042"/>
      <c r="J7" s="20" t="s">
        <v>8</v>
      </c>
      <c r="K7" s="20" t="s">
        <v>11</v>
      </c>
      <c r="L7" s="3055"/>
      <c r="M7" s="3042"/>
      <c r="N7" s="20" t="s">
        <v>8</v>
      </c>
      <c r="O7" s="20" t="s">
        <v>11</v>
      </c>
      <c r="P7" s="3055"/>
      <c r="Q7" s="3042"/>
      <c r="R7" s="20" t="s">
        <v>8</v>
      </c>
      <c r="S7" s="20" t="s">
        <v>11</v>
      </c>
      <c r="T7" s="3055"/>
    </row>
    <row r="8" spans="1:22" s="18" customFormat="1" ht="12.75" customHeight="1" thickBot="1" x14ac:dyDescent="0.3">
      <c r="A8" s="3085" t="s">
        <v>205</v>
      </c>
      <c r="B8" s="3086"/>
      <c r="C8" s="3086"/>
      <c r="D8" s="3086"/>
      <c r="E8" s="3086"/>
      <c r="F8" s="3086"/>
      <c r="G8" s="3086"/>
      <c r="H8" s="3086"/>
      <c r="I8" s="3086"/>
      <c r="J8" s="3086"/>
      <c r="K8" s="3086"/>
      <c r="L8" s="3086"/>
      <c r="M8" s="3086"/>
      <c r="N8" s="3086"/>
      <c r="O8" s="3086"/>
      <c r="P8" s="3086"/>
      <c r="Q8" s="3086"/>
      <c r="R8" s="3086"/>
      <c r="S8" s="3086"/>
      <c r="T8" s="3087"/>
    </row>
    <row r="9" spans="1:22" s="18" customFormat="1" ht="13.5" customHeight="1" thickBot="1" x14ac:dyDescent="0.3">
      <c r="A9" s="3088" t="s">
        <v>12</v>
      </c>
      <c r="B9" s="3089"/>
      <c r="C9" s="3089"/>
      <c r="D9" s="3089"/>
      <c r="E9" s="3089"/>
      <c r="F9" s="3089"/>
      <c r="G9" s="3089"/>
      <c r="H9" s="3089"/>
      <c r="I9" s="3089"/>
      <c r="J9" s="3089"/>
      <c r="K9" s="3089"/>
      <c r="L9" s="3089"/>
      <c r="M9" s="3089"/>
      <c r="N9" s="3089"/>
      <c r="O9" s="3089"/>
      <c r="P9" s="3089"/>
      <c r="Q9" s="3089"/>
      <c r="R9" s="3089"/>
      <c r="S9" s="3089"/>
      <c r="T9" s="3090"/>
    </row>
    <row r="10" spans="1:22" s="22" customFormat="1" ht="18" customHeight="1" thickBot="1" x14ac:dyDescent="0.3">
      <c r="A10" s="919" t="s">
        <v>13</v>
      </c>
      <c r="B10" s="3091" t="s">
        <v>14</v>
      </c>
      <c r="C10" s="3092"/>
      <c r="D10" s="3092"/>
      <c r="E10" s="3092"/>
      <c r="F10" s="3092"/>
      <c r="G10" s="3092"/>
      <c r="H10" s="3092"/>
      <c r="I10" s="3092"/>
      <c r="J10" s="3092"/>
      <c r="K10" s="3092"/>
      <c r="L10" s="3092"/>
      <c r="M10" s="3092"/>
      <c r="N10" s="3092"/>
      <c r="O10" s="3092"/>
      <c r="P10" s="3092"/>
      <c r="Q10" s="3092"/>
      <c r="R10" s="3092"/>
      <c r="S10" s="3092"/>
      <c r="T10" s="3093"/>
    </row>
    <row r="11" spans="1:22" s="22" customFormat="1" ht="13.5" customHeight="1" thickBot="1" x14ac:dyDescent="0.3">
      <c r="A11" s="902" t="s">
        <v>13</v>
      </c>
      <c r="B11" s="37" t="s">
        <v>13</v>
      </c>
      <c r="C11" s="3094" t="s">
        <v>15</v>
      </c>
      <c r="D11" s="3077"/>
      <c r="E11" s="3077"/>
      <c r="F11" s="3077"/>
      <c r="G11" s="3077"/>
      <c r="H11" s="3077"/>
      <c r="I11" s="3077"/>
      <c r="J11" s="3077"/>
      <c r="K11" s="3077"/>
      <c r="L11" s="3077"/>
      <c r="M11" s="3077"/>
      <c r="N11" s="3077"/>
      <c r="O11" s="3077"/>
      <c r="P11" s="3077"/>
      <c r="Q11" s="3077"/>
      <c r="R11" s="3077"/>
      <c r="S11" s="3077"/>
      <c r="T11" s="3095"/>
    </row>
    <row r="12" spans="1:22" s="22" customFormat="1" ht="25.5" x14ac:dyDescent="0.25">
      <c r="A12" s="901" t="s">
        <v>13</v>
      </c>
      <c r="B12" s="25" t="s">
        <v>13</v>
      </c>
      <c r="C12" s="905" t="s">
        <v>13</v>
      </c>
      <c r="D12" s="2821" t="s">
        <v>63</v>
      </c>
      <c r="E12" s="146"/>
      <c r="F12" s="908" t="s">
        <v>16</v>
      </c>
      <c r="G12" s="899" t="s">
        <v>26</v>
      </c>
      <c r="H12" s="26" t="s">
        <v>17</v>
      </c>
      <c r="I12" s="408">
        <f>J12+L12</f>
        <v>7208</v>
      </c>
      <c r="J12" s="409">
        <v>7208</v>
      </c>
      <c r="K12" s="340"/>
      <c r="L12" s="341"/>
      <c r="M12" s="320">
        <f>N12+P12</f>
        <v>7208</v>
      </c>
      <c r="N12" s="321">
        <v>7208</v>
      </c>
      <c r="O12" s="939"/>
      <c r="P12" s="993"/>
      <c r="Q12" s="320">
        <f>R12+T12</f>
        <v>7208</v>
      </c>
      <c r="R12" s="321">
        <v>7208</v>
      </c>
      <c r="S12" s="939"/>
      <c r="T12" s="940"/>
      <c r="U12" s="608"/>
      <c r="V12" s="19"/>
    </row>
    <row r="13" spans="1:22" s="22" customFormat="1" ht="12.75" customHeight="1" x14ac:dyDescent="0.25">
      <c r="A13" s="910"/>
      <c r="B13" s="28"/>
      <c r="C13" s="29"/>
      <c r="D13" s="2805"/>
      <c r="E13" s="147"/>
      <c r="F13" s="925"/>
      <c r="G13" s="30"/>
      <c r="H13" s="31" t="s">
        <v>27</v>
      </c>
      <c r="I13" s="488">
        <v>16606.7</v>
      </c>
      <c r="J13" s="343">
        <v>16606.7</v>
      </c>
      <c r="K13" s="344"/>
      <c r="L13" s="345"/>
      <c r="M13" s="523">
        <v>16606.7</v>
      </c>
      <c r="N13" s="326">
        <v>16606.7</v>
      </c>
      <c r="O13" s="941"/>
      <c r="P13" s="1066"/>
      <c r="Q13" s="523">
        <v>16606.7</v>
      </c>
      <c r="R13" s="326">
        <v>16606.7</v>
      </c>
      <c r="S13" s="941"/>
      <c r="T13" s="942"/>
      <c r="U13" s="19"/>
      <c r="V13" s="19"/>
    </row>
    <row r="14" spans="1:22" s="22" customFormat="1" x14ac:dyDescent="0.25">
      <c r="A14" s="910"/>
      <c r="B14" s="28"/>
      <c r="C14" s="29"/>
      <c r="D14" s="2805"/>
      <c r="E14" s="147"/>
      <c r="F14" s="925"/>
      <c r="G14" s="30"/>
      <c r="H14" s="31"/>
      <c r="I14" s="488"/>
      <c r="J14" s="343"/>
      <c r="K14" s="344"/>
      <c r="L14" s="345"/>
      <c r="M14" s="523"/>
      <c r="N14" s="326"/>
      <c r="O14" s="941"/>
      <c r="P14" s="1066"/>
      <c r="Q14" s="523"/>
      <c r="R14" s="326"/>
      <c r="S14" s="941"/>
      <c r="T14" s="942"/>
      <c r="U14" s="19"/>
      <c r="V14" s="19"/>
    </row>
    <row r="15" spans="1:22" s="22" customFormat="1" ht="12.75" customHeight="1" x14ac:dyDescent="0.25">
      <c r="A15" s="910"/>
      <c r="B15" s="28"/>
      <c r="C15" s="29"/>
      <c r="D15" s="2805"/>
      <c r="E15" s="147"/>
      <c r="F15" s="925"/>
      <c r="G15" s="30"/>
      <c r="H15" s="33"/>
      <c r="I15" s="342"/>
      <c r="J15" s="343"/>
      <c r="K15" s="344"/>
      <c r="L15" s="346"/>
      <c r="M15" s="943"/>
      <c r="N15" s="326"/>
      <c r="O15" s="941"/>
      <c r="P15" s="1001"/>
      <c r="Q15" s="943"/>
      <c r="R15" s="326"/>
      <c r="S15" s="941"/>
      <c r="T15" s="319"/>
      <c r="U15" s="19"/>
      <c r="V15" s="19"/>
    </row>
    <row r="16" spans="1:22" s="22" customFormat="1" ht="13.5" thickBot="1" x14ac:dyDescent="0.3">
      <c r="A16" s="910"/>
      <c r="B16" s="28"/>
      <c r="C16" s="29"/>
      <c r="D16" s="2806"/>
      <c r="E16" s="147"/>
      <c r="F16" s="925"/>
      <c r="G16" s="30"/>
      <c r="H16" s="470" t="s">
        <v>18</v>
      </c>
      <c r="I16" s="347">
        <f>J16+L16</f>
        <v>23814.7</v>
      </c>
      <c r="J16" s="348">
        <f>SUM(J12:J15)</f>
        <v>23814.7</v>
      </c>
      <c r="K16" s="348"/>
      <c r="L16" s="349"/>
      <c r="M16" s="347">
        <f>N16+P16</f>
        <v>23814.7</v>
      </c>
      <c r="N16" s="348">
        <f>SUM(N12:N15)</f>
        <v>23814.7</v>
      </c>
      <c r="O16" s="348"/>
      <c r="P16" s="380"/>
      <c r="Q16" s="347">
        <f>R16+T16</f>
        <v>23814.7</v>
      </c>
      <c r="R16" s="348">
        <f>SUM(R12:R15)</f>
        <v>23814.7</v>
      </c>
      <c r="S16" s="348"/>
      <c r="T16" s="349"/>
      <c r="U16" s="19"/>
      <c r="V16" s="19"/>
    </row>
    <row r="17" spans="1:22" s="22" customFormat="1" ht="25.5" customHeight="1" x14ac:dyDescent="0.25">
      <c r="A17" s="901" t="s">
        <v>13</v>
      </c>
      <c r="B17" s="25" t="s">
        <v>13</v>
      </c>
      <c r="C17" s="905" t="s">
        <v>19</v>
      </c>
      <c r="D17" s="2821" t="s">
        <v>64</v>
      </c>
      <c r="E17" s="146"/>
      <c r="F17" s="908" t="s">
        <v>16</v>
      </c>
      <c r="G17" s="899" t="s">
        <v>26</v>
      </c>
      <c r="H17" s="5" t="s">
        <v>17</v>
      </c>
      <c r="I17" s="350">
        <f>J17</f>
        <v>3629.1</v>
      </c>
      <c r="J17" s="351">
        <v>3629.1</v>
      </c>
      <c r="K17" s="351">
        <v>1032.8</v>
      </c>
      <c r="L17" s="352"/>
      <c r="M17" s="944">
        <f>N17</f>
        <v>3629.1</v>
      </c>
      <c r="N17" s="309">
        <v>3629.1</v>
      </c>
      <c r="O17" s="309">
        <v>1032.8</v>
      </c>
      <c r="P17" s="1067"/>
      <c r="Q17" s="944">
        <f>R17</f>
        <v>3629.1</v>
      </c>
      <c r="R17" s="309">
        <v>3629.1</v>
      </c>
      <c r="S17" s="309">
        <v>1032.8</v>
      </c>
      <c r="T17" s="945"/>
      <c r="U17" s="19"/>
      <c r="V17" s="608"/>
    </row>
    <row r="18" spans="1:22" s="22" customFormat="1" ht="13.5" thickBot="1" x14ac:dyDescent="0.3">
      <c r="A18" s="910"/>
      <c r="B18" s="28"/>
      <c r="C18" s="29"/>
      <c r="D18" s="2806"/>
      <c r="E18" s="147"/>
      <c r="F18" s="925"/>
      <c r="G18" s="30"/>
      <c r="H18" s="471" t="s">
        <v>18</v>
      </c>
      <c r="I18" s="360">
        <f>L18+J18</f>
        <v>3629.1</v>
      </c>
      <c r="J18" s="361">
        <f>SUM(J17:J17)</f>
        <v>3629.1</v>
      </c>
      <c r="K18" s="362">
        <f>SUM(K17:K17)</f>
        <v>1032.8</v>
      </c>
      <c r="L18" s="433">
        <f>SUM(L17:L17)</f>
        <v>0</v>
      </c>
      <c r="M18" s="360">
        <f>P18+N18</f>
        <v>3629.1</v>
      </c>
      <c r="N18" s="361">
        <f>SUM(N17:N17)</f>
        <v>3629.1</v>
      </c>
      <c r="O18" s="362">
        <f>SUM(O17:O17)</f>
        <v>1032.8</v>
      </c>
      <c r="P18" s="361">
        <f>SUM(P17:P17)</f>
        <v>0</v>
      </c>
      <c r="Q18" s="360">
        <f>T18+R18</f>
        <v>3629.1</v>
      </c>
      <c r="R18" s="361">
        <f>SUM(R17:R17)</f>
        <v>3629.1</v>
      </c>
      <c r="S18" s="362">
        <f>SUM(S17:S17)</f>
        <v>1032.8</v>
      </c>
      <c r="T18" s="433">
        <f>SUM(T17:T17)</f>
        <v>0</v>
      </c>
    </row>
    <row r="19" spans="1:22" s="22" customFormat="1" ht="25.5" customHeight="1" x14ac:dyDescent="0.25">
      <c r="A19" s="901" t="s">
        <v>13</v>
      </c>
      <c r="B19" s="25" t="s">
        <v>13</v>
      </c>
      <c r="C19" s="905" t="s">
        <v>22</v>
      </c>
      <c r="D19" s="2821" t="s">
        <v>66</v>
      </c>
      <c r="E19" s="146"/>
      <c r="F19" s="908" t="s">
        <v>16</v>
      </c>
      <c r="G19" s="899" t="s">
        <v>26</v>
      </c>
      <c r="H19" s="38" t="s">
        <v>17</v>
      </c>
      <c r="I19" s="364">
        <v>529.70000000000005</v>
      </c>
      <c r="J19" s="351">
        <v>529.70000000000005</v>
      </c>
      <c r="K19" s="365">
        <v>404.4</v>
      </c>
      <c r="L19" s="366"/>
      <c r="M19" s="310">
        <v>529.70000000000005</v>
      </c>
      <c r="N19" s="309">
        <v>529.70000000000005</v>
      </c>
      <c r="O19" s="311">
        <v>404.4</v>
      </c>
      <c r="P19" s="473"/>
      <c r="Q19" s="310">
        <v>529.70000000000005</v>
      </c>
      <c r="R19" s="309">
        <v>529.70000000000005</v>
      </c>
      <c r="S19" s="311">
        <v>404.4</v>
      </c>
      <c r="T19" s="946"/>
    </row>
    <row r="20" spans="1:22" s="22" customFormat="1" ht="13.5" thickBot="1" x14ac:dyDescent="0.3">
      <c r="A20" s="902"/>
      <c r="B20" s="37"/>
      <c r="C20" s="906"/>
      <c r="D20" s="2806"/>
      <c r="E20" s="161"/>
      <c r="F20" s="909"/>
      <c r="G20" s="900"/>
      <c r="H20" s="470" t="s">
        <v>18</v>
      </c>
      <c r="I20" s="367">
        <f>J20+L20</f>
        <v>529.70000000000005</v>
      </c>
      <c r="J20" s="362">
        <f>+J19</f>
        <v>529.70000000000005</v>
      </c>
      <c r="K20" s="361">
        <f>+K19</f>
        <v>404.4</v>
      </c>
      <c r="L20" s="368">
        <f>+L19</f>
        <v>0</v>
      </c>
      <c r="M20" s="367">
        <f>N20+P20</f>
        <v>529.70000000000005</v>
      </c>
      <c r="N20" s="362">
        <f>+N19</f>
        <v>529.70000000000005</v>
      </c>
      <c r="O20" s="361">
        <f>+O19</f>
        <v>404.4</v>
      </c>
      <c r="P20" s="472">
        <f>+P19</f>
        <v>0</v>
      </c>
      <c r="Q20" s="367">
        <f>R20+T20</f>
        <v>529.70000000000005</v>
      </c>
      <c r="R20" s="362">
        <f>+R19</f>
        <v>529.70000000000005</v>
      </c>
      <c r="S20" s="361">
        <f>+S19</f>
        <v>404.4</v>
      </c>
      <c r="T20" s="368">
        <f>+T19</f>
        <v>0</v>
      </c>
    </row>
    <row r="21" spans="1:22" s="22" customFormat="1" ht="25.5" customHeight="1" x14ac:dyDescent="0.25">
      <c r="A21" s="901" t="s">
        <v>13</v>
      </c>
      <c r="B21" s="25" t="s">
        <v>13</v>
      </c>
      <c r="C21" s="905" t="s">
        <v>24</v>
      </c>
      <c r="D21" s="2826" t="s">
        <v>68</v>
      </c>
      <c r="E21" s="146"/>
      <c r="F21" s="908" t="s">
        <v>16</v>
      </c>
      <c r="G21" s="899" t="s">
        <v>26</v>
      </c>
      <c r="H21" s="38" t="s">
        <v>17</v>
      </c>
      <c r="I21" s="350">
        <f>J21</f>
        <v>3219.4000000000005</v>
      </c>
      <c r="J21" s="351">
        <f>436.8+2467.8+314.8</f>
        <v>3219.4000000000005</v>
      </c>
      <c r="K21" s="370"/>
      <c r="L21" s="366"/>
      <c r="M21" s="944">
        <f>N21</f>
        <v>3219.4000000000005</v>
      </c>
      <c r="N21" s="309">
        <f>436.8+2467.8+314.8</f>
        <v>3219.4000000000005</v>
      </c>
      <c r="O21" s="947"/>
      <c r="P21" s="473"/>
      <c r="Q21" s="944">
        <f>R21</f>
        <v>3219.4000000000005</v>
      </c>
      <c r="R21" s="309">
        <f>436.8+2467.8+314.8</f>
        <v>3219.4000000000005</v>
      </c>
      <c r="S21" s="947"/>
      <c r="T21" s="946"/>
    </row>
    <row r="22" spans="1:22" s="22" customFormat="1" ht="13.5" thickBot="1" x14ac:dyDescent="0.3">
      <c r="A22" s="902"/>
      <c r="B22" s="37"/>
      <c r="C22" s="906"/>
      <c r="D22" s="2827"/>
      <c r="E22" s="161"/>
      <c r="F22" s="909"/>
      <c r="G22" s="900"/>
      <c r="H22" s="470" t="s">
        <v>18</v>
      </c>
      <c r="I22" s="367">
        <f>J22+L22</f>
        <v>3219.4000000000005</v>
      </c>
      <c r="J22" s="362">
        <f>+J21</f>
        <v>3219.4000000000005</v>
      </c>
      <c r="K22" s="361">
        <f>+K21</f>
        <v>0</v>
      </c>
      <c r="L22" s="368">
        <f>+L21</f>
        <v>0</v>
      </c>
      <c r="M22" s="367">
        <f>N22+P22</f>
        <v>3219.4000000000005</v>
      </c>
      <c r="N22" s="362">
        <f>+N21</f>
        <v>3219.4000000000005</v>
      </c>
      <c r="O22" s="361">
        <f>+O21</f>
        <v>0</v>
      </c>
      <c r="P22" s="472">
        <f>+P21</f>
        <v>0</v>
      </c>
      <c r="Q22" s="367">
        <f>R22+T22</f>
        <v>3219.4000000000005</v>
      </c>
      <c r="R22" s="362">
        <f>+R21</f>
        <v>3219.4000000000005</v>
      </c>
      <c r="S22" s="361">
        <f>+S21</f>
        <v>0</v>
      </c>
      <c r="T22" s="368">
        <f>+T21</f>
        <v>0</v>
      </c>
    </row>
    <row r="23" spans="1:22" s="22" customFormat="1" x14ac:dyDescent="0.25">
      <c r="A23" s="2928" t="s">
        <v>13</v>
      </c>
      <c r="B23" s="2929" t="s">
        <v>13</v>
      </c>
      <c r="C23" s="2953" t="s">
        <v>28</v>
      </c>
      <c r="D23" s="2826" t="s">
        <v>20</v>
      </c>
      <c r="E23" s="3009"/>
      <c r="F23" s="2884" t="s">
        <v>16</v>
      </c>
      <c r="G23" s="3003" t="s">
        <v>26</v>
      </c>
      <c r="H23" s="26" t="s">
        <v>21</v>
      </c>
      <c r="I23" s="469">
        <f>J23+L23</f>
        <v>33873</v>
      </c>
      <c r="J23" s="339">
        <v>33873</v>
      </c>
      <c r="K23" s="371"/>
      <c r="L23" s="372"/>
      <c r="M23" s="948">
        <f>N23+P23</f>
        <v>33873</v>
      </c>
      <c r="N23" s="949">
        <v>33873</v>
      </c>
      <c r="O23" s="950"/>
      <c r="P23" s="1068"/>
      <c r="Q23" s="948">
        <f>R23+T23</f>
        <v>33873</v>
      </c>
      <c r="R23" s="949">
        <v>33873</v>
      </c>
      <c r="S23" s="950"/>
      <c r="T23" s="951"/>
    </row>
    <row r="24" spans="1:22" s="22" customFormat="1" ht="13.5" thickBot="1" x14ac:dyDescent="0.3">
      <c r="A24" s="2986"/>
      <c r="B24" s="2987"/>
      <c r="C24" s="2954"/>
      <c r="D24" s="2827"/>
      <c r="E24" s="3010"/>
      <c r="F24" s="2797"/>
      <c r="G24" s="3004"/>
      <c r="H24" s="470" t="s">
        <v>18</v>
      </c>
      <c r="I24" s="367">
        <f>J24+L24</f>
        <v>33873</v>
      </c>
      <c r="J24" s="362">
        <f>+J23</f>
        <v>33873</v>
      </c>
      <c r="K24" s="361">
        <f>+K23</f>
        <v>0</v>
      </c>
      <c r="L24" s="368"/>
      <c r="M24" s="367">
        <f>N24+P24</f>
        <v>33873</v>
      </c>
      <c r="N24" s="362">
        <f>+N23</f>
        <v>33873</v>
      </c>
      <c r="O24" s="361">
        <f>+O23</f>
        <v>0</v>
      </c>
      <c r="P24" s="472"/>
      <c r="Q24" s="367">
        <f>R24+T24</f>
        <v>33873</v>
      </c>
      <c r="R24" s="362">
        <f>+R23</f>
        <v>33873</v>
      </c>
      <c r="S24" s="361">
        <f>+S23</f>
        <v>0</v>
      </c>
      <c r="T24" s="368"/>
    </row>
    <row r="25" spans="1:22" s="22" customFormat="1" ht="25.5" x14ac:dyDescent="0.25">
      <c r="A25" s="901" t="s">
        <v>13</v>
      </c>
      <c r="B25" s="25" t="s">
        <v>13</v>
      </c>
      <c r="C25" s="905" t="s">
        <v>36</v>
      </c>
      <c r="D25" s="2826" t="s">
        <v>23</v>
      </c>
      <c r="E25" s="907"/>
      <c r="F25" s="908" t="s">
        <v>16</v>
      </c>
      <c r="G25" s="928" t="s">
        <v>26</v>
      </c>
      <c r="H25" s="48" t="s">
        <v>21</v>
      </c>
      <c r="I25" s="373">
        <f>J25</f>
        <v>9017.6</v>
      </c>
      <c r="J25" s="369">
        <v>9017.6</v>
      </c>
      <c r="K25" s="717"/>
      <c r="L25" s="366"/>
      <c r="M25" s="952">
        <f>N25</f>
        <v>9017.6</v>
      </c>
      <c r="N25" s="953">
        <v>9017.6</v>
      </c>
      <c r="O25" s="954"/>
      <c r="P25" s="473"/>
      <c r="Q25" s="952">
        <f>R25</f>
        <v>9017.6</v>
      </c>
      <c r="R25" s="953">
        <v>9017.6</v>
      </c>
      <c r="S25" s="954"/>
      <c r="T25" s="946"/>
    </row>
    <row r="26" spans="1:22" s="22" customFormat="1" ht="13.5" thickBot="1" x14ac:dyDescent="0.3">
      <c r="A26" s="902"/>
      <c r="B26" s="37"/>
      <c r="C26" s="906"/>
      <c r="D26" s="2827"/>
      <c r="E26" s="161"/>
      <c r="F26" s="909"/>
      <c r="G26" s="900"/>
      <c r="H26" s="470" t="s">
        <v>18</v>
      </c>
      <c r="I26" s="367">
        <f t="shared" ref="I26:K26" si="0">+I25</f>
        <v>9017.6</v>
      </c>
      <c r="J26" s="362">
        <f t="shared" si="0"/>
        <v>9017.6</v>
      </c>
      <c r="K26" s="361">
        <f t="shared" si="0"/>
        <v>0</v>
      </c>
      <c r="L26" s="368"/>
      <c r="M26" s="367">
        <f t="shared" ref="M26:O26" si="1">+M25</f>
        <v>9017.6</v>
      </c>
      <c r="N26" s="362">
        <f t="shared" si="1"/>
        <v>9017.6</v>
      </c>
      <c r="O26" s="361">
        <f t="shared" si="1"/>
        <v>0</v>
      </c>
      <c r="P26" s="472"/>
      <c r="Q26" s="367">
        <f t="shared" ref="Q26:S26" si="2">+Q25</f>
        <v>9017.6</v>
      </c>
      <c r="R26" s="362">
        <f t="shared" si="2"/>
        <v>9017.6</v>
      </c>
      <c r="S26" s="361">
        <f t="shared" si="2"/>
        <v>0</v>
      </c>
      <c r="T26" s="368"/>
    </row>
    <row r="27" spans="1:22" s="18" customFormat="1" ht="12.75" customHeight="1" x14ac:dyDescent="0.25">
      <c r="A27" s="2928" t="s">
        <v>13</v>
      </c>
      <c r="B27" s="2929" t="s">
        <v>13</v>
      </c>
      <c r="C27" s="2876" t="s">
        <v>38</v>
      </c>
      <c r="D27" s="2826" t="s">
        <v>25</v>
      </c>
      <c r="E27" s="163"/>
      <c r="F27" s="914">
        <v>10</v>
      </c>
      <c r="G27" s="915" t="s">
        <v>26</v>
      </c>
      <c r="H27" s="43" t="s">
        <v>27</v>
      </c>
      <c r="I27" s="373">
        <f>J27+L27</f>
        <v>393</v>
      </c>
      <c r="J27" s="369">
        <v>393</v>
      </c>
      <c r="K27" s="375"/>
      <c r="L27" s="376"/>
      <c r="M27" s="952">
        <f>N27+P27</f>
        <v>393</v>
      </c>
      <c r="N27" s="953">
        <v>393</v>
      </c>
      <c r="O27" s="955"/>
      <c r="P27" s="1069"/>
      <c r="Q27" s="952">
        <f>R27+T27</f>
        <v>393</v>
      </c>
      <c r="R27" s="953">
        <v>393</v>
      </c>
      <c r="S27" s="955"/>
      <c r="T27" s="956"/>
    </row>
    <row r="28" spans="1:22" s="22" customFormat="1" ht="13.5" thickBot="1" x14ac:dyDescent="0.3">
      <c r="A28" s="2871"/>
      <c r="B28" s="2874"/>
      <c r="C28" s="2877"/>
      <c r="D28" s="2827"/>
      <c r="E28" s="147"/>
      <c r="F28" s="925"/>
      <c r="G28" s="30"/>
      <c r="H28" s="470" t="s">
        <v>18</v>
      </c>
      <c r="I28" s="377">
        <f t="shared" ref="I28:K28" si="3">+I27</f>
        <v>393</v>
      </c>
      <c r="J28" s="362">
        <f t="shared" si="3"/>
        <v>393</v>
      </c>
      <c r="K28" s="361">
        <f t="shared" si="3"/>
        <v>0</v>
      </c>
      <c r="L28" s="368"/>
      <c r="M28" s="377">
        <f t="shared" ref="M28:O28" si="4">+M27</f>
        <v>393</v>
      </c>
      <c r="N28" s="362">
        <f t="shared" si="4"/>
        <v>393</v>
      </c>
      <c r="O28" s="361">
        <f t="shared" si="4"/>
        <v>0</v>
      </c>
      <c r="P28" s="472"/>
      <c r="Q28" s="377">
        <f t="shared" ref="Q28:S28" si="5">+Q27</f>
        <v>393</v>
      </c>
      <c r="R28" s="362">
        <f t="shared" si="5"/>
        <v>393</v>
      </c>
      <c r="S28" s="361">
        <f t="shared" si="5"/>
        <v>0</v>
      </c>
      <c r="T28" s="368"/>
    </row>
    <row r="29" spans="1:22" s="19" customFormat="1" x14ac:dyDescent="0.25">
      <c r="A29" s="2928" t="s">
        <v>13</v>
      </c>
      <c r="B29" s="2929" t="s">
        <v>13</v>
      </c>
      <c r="C29" s="45" t="s">
        <v>70</v>
      </c>
      <c r="D29" s="2826" t="s">
        <v>29</v>
      </c>
      <c r="E29" s="164"/>
      <c r="F29" s="46" t="s">
        <v>16</v>
      </c>
      <c r="G29" s="47">
        <v>3</v>
      </c>
      <c r="H29" s="48" t="s">
        <v>27</v>
      </c>
      <c r="I29" s="373">
        <f>J29+L29</f>
        <v>638.5</v>
      </c>
      <c r="J29" s="369">
        <v>638.5</v>
      </c>
      <c r="K29" s="375"/>
      <c r="L29" s="376"/>
      <c r="M29" s="952">
        <f>N29+P29</f>
        <v>638.5</v>
      </c>
      <c r="N29" s="953">
        <v>638.5</v>
      </c>
      <c r="O29" s="955"/>
      <c r="P29" s="1069"/>
      <c r="Q29" s="952">
        <f>R29+T29</f>
        <v>638.5</v>
      </c>
      <c r="R29" s="953">
        <v>638.5</v>
      </c>
      <c r="S29" s="955"/>
      <c r="T29" s="956"/>
      <c r="U29" s="610"/>
    </row>
    <row r="30" spans="1:22" s="19" customFormat="1" ht="13.5" thickBot="1" x14ac:dyDescent="0.3">
      <c r="A30" s="2986"/>
      <c r="B30" s="2987"/>
      <c r="C30" s="49"/>
      <c r="D30" s="2827"/>
      <c r="E30" s="756"/>
      <c r="F30" s="50"/>
      <c r="G30" s="500"/>
      <c r="H30" s="477" t="s">
        <v>18</v>
      </c>
      <c r="I30" s="367">
        <f t="shared" ref="I30:K30" si="6">+I29</f>
        <v>638.5</v>
      </c>
      <c r="J30" s="362">
        <f t="shared" si="6"/>
        <v>638.5</v>
      </c>
      <c r="K30" s="361">
        <f t="shared" si="6"/>
        <v>0</v>
      </c>
      <c r="L30" s="368"/>
      <c r="M30" s="367">
        <f t="shared" ref="M30:O30" si="7">+M29</f>
        <v>638.5</v>
      </c>
      <c r="N30" s="362">
        <f t="shared" si="7"/>
        <v>638.5</v>
      </c>
      <c r="O30" s="361">
        <f t="shared" si="7"/>
        <v>0</v>
      </c>
      <c r="P30" s="472"/>
      <c r="Q30" s="367">
        <f t="shared" ref="Q30:S30" si="8">+Q29</f>
        <v>638.5</v>
      </c>
      <c r="R30" s="362">
        <f t="shared" si="8"/>
        <v>638.5</v>
      </c>
      <c r="S30" s="361">
        <f t="shared" si="8"/>
        <v>0</v>
      </c>
      <c r="T30" s="368"/>
    </row>
    <row r="31" spans="1:22" s="18" customFormat="1" ht="13.5" thickBot="1" x14ac:dyDescent="0.3">
      <c r="A31" s="23" t="s">
        <v>13</v>
      </c>
      <c r="B31" s="24" t="s">
        <v>13</v>
      </c>
      <c r="C31" s="2988" t="s">
        <v>30</v>
      </c>
      <c r="D31" s="2989"/>
      <c r="E31" s="2989"/>
      <c r="F31" s="2989"/>
      <c r="G31" s="2989"/>
      <c r="H31" s="2990"/>
      <c r="I31" s="52">
        <f>J31+L31</f>
        <v>75115</v>
      </c>
      <c r="J31" s="53">
        <f>J30+J28+J26+J24+J22+J20+J18+J16</f>
        <v>75115</v>
      </c>
      <c r="K31" s="54">
        <f>K30+K28+K26+K24+K22+K20+K18+K16</f>
        <v>1437.1999999999998</v>
      </c>
      <c r="L31" s="53"/>
      <c r="M31" s="52">
        <f>N31+P31</f>
        <v>75115</v>
      </c>
      <c r="N31" s="53">
        <f>N30+N28+N26+N24+N22+N20+N18+N16</f>
        <v>75115</v>
      </c>
      <c r="O31" s="54">
        <f>O30+O28+O26+O24+O22+O20+O18+O16</f>
        <v>1437.1999999999998</v>
      </c>
      <c r="P31" s="53"/>
      <c r="Q31" s="52">
        <f>R31+T31</f>
        <v>75115</v>
      </c>
      <c r="R31" s="53">
        <f>R30+R28+R26+R24+R22+R20+R18+R16</f>
        <v>75115</v>
      </c>
      <c r="S31" s="54">
        <f>S30+S28+S26+S24+S22+S20+S18+S16</f>
        <v>1437.1999999999998</v>
      </c>
      <c r="T31" s="1042"/>
    </row>
    <row r="32" spans="1:22" s="18" customFormat="1" ht="13.5" thickBot="1" x14ac:dyDescent="0.3">
      <c r="A32" s="332" t="s">
        <v>13</v>
      </c>
      <c r="B32" s="903" t="s">
        <v>19</v>
      </c>
      <c r="C32" s="2984" t="s">
        <v>31</v>
      </c>
      <c r="D32" s="2984"/>
      <c r="E32" s="2984"/>
      <c r="F32" s="2984"/>
      <c r="G32" s="2984"/>
      <c r="H32" s="2984"/>
      <c r="I32" s="2984"/>
      <c r="J32" s="2984"/>
      <c r="K32" s="2984"/>
      <c r="L32" s="2984"/>
      <c r="M32" s="2984"/>
      <c r="N32" s="2984"/>
      <c r="O32" s="2984"/>
      <c r="P32" s="2984"/>
      <c r="Q32" s="1075"/>
      <c r="R32" s="1039"/>
      <c r="S32" s="1039"/>
      <c r="T32" s="1076"/>
    </row>
    <row r="33" spans="1:25" s="19" customFormat="1" ht="25.5" x14ac:dyDescent="0.25">
      <c r="A33" s="901" t="s">
        <v>13</v>
      </c>
      <c r="B33" s="903" t="s">
        <v>19</v>
      </c>
      <c r="C33" s="917" t="s">
        <v>13</v>
      </c>
      <c r="D33" s="14" t="s">
        <v>56</v>
      </c>
      <c r="E33" s="330"/>
      <c r="F33" s="499" t="s">
        <v>16</v>
      </c>
      <c r="G33" s="47">
        <v>3</v>
      </c>
      <c r="H33" s="611" t="s">
        <v>27</v>
      </c>
      <c r="I33" s="612">
        <f>J33+L33</f>
        <v>7698.8</v>
      </c>
      <c r="J33" s="613">
        <v>7696.8</v>
      </c>
      <c r="K33" s="613">
        <v>5138.6000000000004</v>
      </c>
      <c r="L33" s="614">
        <v>2</v>
      </c>
      <c r="M33" s="957">
        <f>N33+P33</f>
        <v>7698.8</v>
      </c>
      <c r="N33" s="958">
        <v>7696.8</v>
      </c>
      <c r="O33" s="958">
        <v>5138.6000000000004</v>
      </c>
      <c r="P33" s="959">
        <v>2</v>
      </c>
      <c r="Q33" s="957">
        <f>R33+T33</f>
        <v>7698.8</v>
      </c>
      <c r="R33" s="958">
        <v>7696.8</v>
      </c>
      <c r="S33" s="958">
        <v>5138.6000000000004</v>
      </c>
      <c r="T33" s="1048">
        <v>2</v>
      </c>
      <c r="U33" s="617"/>
      <c r="V33" s="617"/>
      <c r="W33" s="617"/>
      <c r="X33" s="617"/>
      <c r="Y33" s="616"/>
    </row>
    <row r="34" spans="1:25" s="19" customFormat="1" ht="25.5" x14ac:dyDescent="0.25">
      <c r="A34" s="910"/>
      <c r="B34" s="911"/>
      <c r="C34" s="166"/>
      <c r="D34" s="169" t="s">
        <v>177</v>
      </c>
      <c r="E34" s="173"/>
      <c r="F34" s="69"/>
      <c r="G34" s="51"/>
      <c r="H34" s="306" t="s">
        <v>32</v>
      </c>
      <c r="I34" s="619">
        <f>J34+L34</f>
        <v>1501.2</v>
      </c>
      <c r="J34" s="620">
        <v>1498.2</v>
      </c>
      <c r="K34" s="620">
        <v>416.3</v>
      </c>
      <c r="L34" s="621">
        <v>3</v>
      </c>
      <c r="M34" s="960">
        <f>N34+P34</f>
        <v>1501.2</v>
      </c>
      <c r="N34" s="961">
        <v>1498.2</v>
      </c>
      <c r="O34" s="961">
        <v>416.3</v>
      </c>
      <c r="P34" s="962">
        <v>3</v>
      </c>
      <c r="Q34" s="960">
        <f>R34+T34</f>
        <v>1501.2</v>
      </c>
      <c r="R34" s="961">
        <v>1498.2</v>
      </c>
      <c r="S34" s="961">
        <v>416.3</v>
      </c>
      <c r="T34" s="1049">
        <v>3</v>
      </c>
      <c r="U34" s="617"/>
      <c r="V34" s="617"/>
      <c r="W34" s="617"/>
      <c r="X34" s="617"/>
      <c r="Y34" s="616"/>
    </row>
    <row r="35" spans="1:25" s="19" customFormat="1" ht="25.5" x14ac:dyDescent="0.25">
      <c r="A35" s="910"/>
      <c r="B35" s="911"/>
      <c r="C35" s="166"/>
      <c r="D35" s="169" t="s">
        <v>142</v>
      </c>
      <c r="E35" s="173"/>
      <c r="F35" s="69"/>
      <c r="G35" s="197"/>
      <c r="H35" s="203" t="s">
        <v>42</v>
      </c>
      <c r="I35" s="489">
        <f>J35+L35</f>
        <v>3.6</v>
      </c>
      <c r="J35" s="343">
        <v>3.6</v>
      </c>
      <c r="K35" s="623"/>
      <c r="L35" s="389"/>
      <c r="M35" s="963">
        <f>N35+P35</f>
        <v>3.6</v>
      </c>
      <c r="N35" s="326">
        <v>3.6</v>
      </c>
      <c r="O35" s="964"/>
      <c r="P35" s="1070"/>
      <c r="Q35" s="963">
        <f>R35+T35</f>
        <v>3.6</v>
      </c>
      <c r="R35" s="326">
        <v>3.6</v>
      </c>
      <c r="S35" s="964"/>
      <c r="T35" s="524"/>
      <c r="V35" s="2776"/>
      <c r="W35" s="624"/>
      <c r="X35" s="624"/>
      <c r="Y35" s="624"/>
    </row>
    <row r="36" spans="1:25" s="19" customFormat="1" x14ac:dyDescent="0.25">
      <c r="A36" s="910"/>
      <c r="B36" s="911"/>
      <c r="C36" s="166"/>
      <c r="D36" s="2814" t="s">
        <v>180</v>
      </c>
      <c r="E36" s="173"/>
      <c r="F36" s="69"/>
      <c r="G36" s="51"/>
      <c r="H36" s="203" t="s">
        <v>21</v>
      </c>
      <c r="I36" s="342">
        <f>J36+L36</f>
        <v>386.5</v>
      </c>
      <c r="J36" s="343">
        <v>351.5</v>
      </c>
      <c r="K36" s="343"/>
      <c r="L36" s="389">
        <v>35</v>
      </c>
      <c r="M36" s="943">
        <f>N36+P36</f>
        <v>386.5</v>
      </c>
      <c r="N36" s="326">
        <v>351.5</v>
      </c>
      <c r="O36" s="326"/>
      <c r="P36" s="1070">
        <v>35</v>
      </c>
      <c r="Q36" s="943">
        <f>R36+T36</f>
        <v>386.5</v>
      </c>
      <c r="R36" s="326">
        <v>351.5</v>
      </c>
      <c r="S36" s="326"/>
      <c r="T36" s="524">
        <v>35</v>
      </c>
      <c r="V36" s="2776"/>
    </row>
    <row r="37" spans="1:25" s="19" customFormat="1" x14ac:dyDescent="0.25">
      <c r="A37" s="910"/>
      <c r="B37" s="911"/>
      <c r="C37" s="166"/>
      <c r="D37" s="2814"/>
      <c r="E37" s="173"/>
      <c r="F37" s="69"/>
      <c r="G37" s="51"/>
      <c r="H37" s="283" t="s">
        <v>17</v>
      </c>
      <c r="I37" s="627">
        <f>J37+L37</f>
        <v>1892.9</v>
      </c>
      <c r="J37" s="386">
        <f>1974.4-81.5</f>
        <v>1892.9</v>
      </c>
      <c r="K37" s="386">
        <f>1188-62.2</f>
        <v>1125.8</v>
      </c>
      <c r="L37" s="401"/>
      <c r="M37" s="525">
        <f>N37+P37</f>
        <v>1892.9</v>
      </c>
      <c r="N37" s="327">
        <f>1974.4-81.5</f>
        <v>1892.9</v>
      </c>
      <c r="O37" s="327">
        <f>1188-62.2</f>
        <v>1125.8</v>
      </c>
      <c r="P37" s="1047"/>
      <c r="Q37" s="525">
        <f>R37+T37</f>
        <v>1892.9</v>
      </c>
      <c r="R37" s="327">
        <f>1974.4-81.5</f>
        <v>1892.9</v>
      </c>
      <c r="S37" s="327">
        <f>1188-62.2</f>
        <v>1125.8</v>
      </c>
      <c r="T37" s="1038"/>
      <c r="V37" s="625"/>
      <c r="W37" s="626"/>
      <c r="X37" s="626"/>
      <c r="Y37" s="626"/>
    </row>
    <row r="38" spans="1:25" s="19" customFormat="1" ht="25.5" x14ac:dyDescent="0.25">
      <c r="A38" s="910"/>
      <c r="B38" s="911"/>
      <c r="C38" s="166"/>
      <c r="D38" s="169" t="s">
        <v>181</v>
      </c>
      <c r="E38" s="173"/>
      <c r="F38" s="69"/>
      <c r="G38" s="51"/>
      <c r="H38" s="253"/>
      <c r="I38" s="357"/>
      <c r="J38" s="358"/>
      <c r="K38" s="358"/>
      <c r="L38" s="632"/>
      <c r="M38" s="966"/>
      <c r="N38" s="328"/>
      <c r="O38" s="328"/>
      <c r="P38" s="967"/>
      <c r="Q38" s="966"/>
      <c r="R38" s="328"/>
      <c r="S38" s="328"/>
      <c r="T38" s="526"/>
    </row>
    <row r="39" spans="1:25" s="19" customFormat="1" x14ac:dyDescent="0.25">
      <c r="A39" s="910"/>
      <c r="B39" s="911"/>
      <c r="C39" s="166"/>
      <c r="D39" s="2814" t="s">
        <v>182</v>
      </c>
      <c r="E39" s="171"/>
      <c r="F39" s="69"/>
      <c r="G39" s="51"/>
      <c r="H39" s="253"/>
      <c r="I39" s="357"/>
      <c r="J39" s="358"/>
      <c r="K39" s="358"/>
      <c r="L39" s="632"/>
      <c r="M39" s="966"/>
      <c r="N39" s="328"/>
      <c r="O39" s="328"/>
      <c r="P39" s="967"/>
      <c r="Q39" s="966"/>
      <c r="R39" s="328"/>
      <c r="S39" s="328"/>
      <c r="T39" s="526"/>
    </row>
    <row r="40" spans="1:25" s="19" customFormat="1" x14ac:dyDescent="0.25">
      <c r="A40" s="910"/>
      <c r="B40" s="911"/>
      <c r="C40" s="166"/>
      <c r="D40" s="2814"/>
      <c r="E40" s="171"/>
      <c r="F40" s="69"/>
      <c r="G40" s="51"/>
      <c r="H40" s="253"/>
      <c r="I40" s="357"/>
      <c r="J40" s="358"/>
      <c r="K40" s="358"/>
      <c r="L40" s="632"/>
      <c r="M40" s="966"/>
      <c r="N40" s="328"/>
      <c r="O40" s="328"/>
      <c r="P40" s="967"/>
      <c r="Q40" s="966"/>
      <c r="R40" s="328"/>
      <c r="S40" s="328"/>
      <c r="T40" s="526"/>
    </row>
    <row r="41" spans="1:25" s="19" customFormat="1" ht="25.5" x14ac:dyDescent="0.25">
      <c r="A41" s="910"/>
      <c r="B41" s="911"/>
      <c r="C41" s="166"/>
      <c r="D41" s="169" t="s">
        <v>183</v>
      </c>
      <c r="E41" s="171"/>
      <c r="F41" s="69"/>
      <c r="G41" s="51"/>
      <c r="H41" s="253"/>
      <c r="I41" s="357"/>
      <c r="J41" s="634"/>
      <c r="K41" s="358"/>
      <c r="L41" s="632"/>
      <c r="M41" s="966"/>
      <c r="N41" s="968"/>
      <c r="O41" s="328"/>
      <c r="P41" s="967"/>
      <c r="Q41" s="966"/>
      <c r="R41" s="968"/>
      <c r="S41" s="328"/>
      <c r="T41" s="526"/>
    </row>
    <row r="42" spans="1:25" s="19" customFormat="1" x14ac:dyDescent="0.25">
      <c r="A42" s="910"/>
      <c r="B42" s="911"/>
      <c r="C42" s="68"/>
      <c r="D42" s="2814" t="s">
        <v>184</v>
      </c>
      <c r="E42" s="599"/>
      <c r="F42" s="103"/>
      <c r="G42" s="51"/>
      <c r="H42" s="33"/>
      <c r="I42" s="357"/>
      <c r="J42" s="358"/>
      <c r="K42" s="358"/>
      <c r="L42" s="632"/>
      <c r="M42" s="966"/>
      <c r="N42" s="328"/>
      <c r="O42" s="328"/>
      <c r="P42" s="967"/>
      <c r="Q42" s="966"/>
      <c r="R42" s="328"/>
      <c r="S42" s="328"/>
      <c r="T42" s="526"/>
    </row>
    <row r="43" spans="1:25" s="19" customFormat="1" x14ac:dyDescent="0.25">
      <c r="A43" s="910"/>
      <c r="B43" s="911"/>
      <c r="C43" s="68"/>
      <c r="D43" s="2814"/>
      <c r="E43" s="599"/>
      <c r="F43" s="103"/>
      <c r="G43" s="51"/>
      <c r="H43" s="33"/>
      <c r="I43" s="357"/>
      <c r="J43" s="358"/>
      <c r="K43" s="358"/>
      <c r="L43" s="632"/>
      <c r="M43" s="966"/>
      <c r="N43" s="328"/>
      <c r="O43" s="328"/>
      <c r="P43" s="967"/>
      <c r="Q43" s="966"/>
      <c r="R43" s="328"/>
      <c r="S43" s="328"/>
      <c r="T43" s="526"/>
    </row>
    <row r="44" spans="1:25" s="19" customFormat="1" x14ac:dyDescent="0.25">
      <c r="A44" s="910"/>
      <c r="B44" s="911"/>
      <c r="C44" s="913"/>
      <c r="D44" s="2814" t="s">
        <v>185</v>
      </c>
      <c r="E44" s="600"/>
      <c r="F44" s="925"/>
      <c r="G44" s="4"/>
      <c r="H44" s="33"/>
      <c r="I44" s="590"/>
      <c r="J44" s="591"/>
      <c r="K44" s="591"/>
      <c r="L44" s="632"/>
      <c r="M44" s="969"/>
      <c r="N44" s="970"/>
      <c r="O44" s="970"/>
      <c r="P44" s="967"/>
      <c r="Q44" s="969"/>
      <c r="R44" s="970"/>
      <c r="S44" s="970"/>
      <c r="T44" s="526"/>
    </row>
    <row r="45" spans="1:25" s="19" customFormat="1" x14ac:dyDescent="0.25">
      <c r="A45" s="910"/>
      <c r="B45" s="911"/>
      <c r="C45" s="913"/>
      <c r="D45" s="2814"/>
      <c r="E45" s="600"/>
      <c r="F45" s="925"/>
      <c r="G45" s="4"/>
      <c r="H45" s="253"/>
      <c r="I45" s="590"/>
      <c r="J45" s="591"/>
      <c r="K45" s="591"/>
      <c r="L45" s="632"/>
      <c r="M45" s="969"/>
      <c r="N45" s="970"/>
      <c r="O45" s="970"/>
      <c r="P45" s="967"/>
      <c r="Q45" s="969"/>
      <c r="R45" s="970"/>
      <c r="S45" s="970"/>
      <c r="T45" s="526"/>
    </row>
    <row r="46" spans="1:25" s="67" customFormat="1" x14ac:dyDescent="0.25">
      <c r="A46" s="910"/>
      <c r="B46" s="911"/>
      <c r="C46" s="172"/>
      <c r="D46" s="2814" t="s">
        <v>186</v>
      </c>
      <c r="E46" s="601"/>
      <c r="F46" s="65"/>
      <c r="G46" s="51"/>
      <c r="H46" s="33"/>
      <c r="I46" s="637"/>
      <c r="J46" s="591"/>
      <c r="K46" s="591"/>
      <c r="L46" s="632"/>
      <c r="M46" s="971"/>
      <c r="N46" s="970"/>
      <c r="O46" s="970"/>
      <c r="P46" s="967"/>
      <c r="Q46" s="971"/>
      <c r="R46" s="970"/>
      <c r="S46" s="970"/>
      <c r="T46" s="526"/>
    </row>
    <row r="47" spans="1:25" s="67" customFormat="1" ht="13.5" thickBot="1" x14ac:dyDescent="0.3">
      <c r="A47" s="902"/>
      <c r="B47" s="904"/>
      <c r="C47" s="772"/>
      <c r="D47" s="2908"/>
      <c r="E47" s="773"/>
      <c r="F47" s="774"/>
      <c r="G47" s="500"/>
      <c r="H47" s="775"/>
      <c r="I47" s="776"/>
      <c r="J47" s="777"/>
      <c r="K47" s="777"/>
      <c r="L47" s="1043"/>
      <c r="M47" s="972"/>
      <c r="N47" s="973"/>
      <c r="O47" s="973"/>
      <c r="P47" s="1071"/>
      <c r="Q47" s="972"/>
      <c r="R47" s="973"/>
      <c r="S47" s="973"/>
      <c r="T47" s="974"/>
    </row>
    <row r="48" spans="1:25" s="19" customFormat="1" x14ac:dyDescent="0.25">
      <c r="A48" s="901"/>
      <c r="B48" s="903"/>
      <c r="C48" s="917"/>
      <c r="D48" s="2847" t="s">
        <v>187</v>
      </c>
      <c r="E48" s="869"/>
      <c r="F48" s="499"/>
      <c r="G48" s="47"/>
      <c r="H48" s="26"/>
      <c r="I48" s="769"/>
      <c r="J48" s="339"/>
      <c r="K48" s="339"/>
      <c r="L48" s="691"/>
      <c r="M48" s="975"/>
      <c r="N48" s="949"/>
      <c r="O48" s="949"/>
      <c r="P48" s="1029"/>
      <c r="Q48" s="975"/>
      <c r="R48" s="949"/>
      <c r="S48" s="949"/>
      <c r="T48" s="976"/>
    </row>
    <row r="49" spans="1:25" s="19" customFormat="1" x14ac:dyDescent="0.25">
      <c r="A49" s="910"/>
      <c r="B49" s="28"/>
      <c r="C49" s="166"/>
      <c r="D49" s="2814"/>
      <c r="E49" s="599"/>
      <c r="F49" s="69"/>
      <c r="G49" s="51"/>
      <c r="H49" s="33"/>
      <c r="I49" s="357"/>
      <c r="J49" s="639"/>
      <c r="K49" s="396"/>
      <c r="L49" s="688"/>
      <c r="M49" s="966"/>
      <c r="N49" s="977"/>
      <c r="O49" s="978"/>
      <c r="P49" s="1030"/>
      <c r="Q49" s="966"/>
      <c r="R49" s="977"/>
      <c r="S49" s="978"/>
      <c r="T49" s="979"/>
    </row>
    <row r="50" spans="1:25" s="22" customFormat="1" x14ac:dyDescent="0.25">
      <c r="A50" s="935"/>
      <c r="B50" s="911"/>
      <c r="C50" s="204"/>
      <c r="D50" s="2814"/>
      <c r="E50" s="147"/>
      <c r="F50" s="925"/>
      <c r="G50" s="30"/>
      <c r="H50" s="33"/>
      <c r="I50" s="420"/>
      <c r="J50" s="487"/>
      <c r="K50" s="396"/>
      <c r="L50" s="688"/>
      <c r="M50" s="317"/>
      <c r="N50" s="980"/>
      <c r="O50" s="978"/>
      <c r="P50" s="1030"/>
      <c r="Q50" s="317"/>
      <c r="R50" s="980"/>
      <c r="S50" s="978"/>
      <c r="T50" s="979"/>
    </row>
    <row r="51" spans="1:25" s="19" customFormat="1" x14ac:dyDescent="0.25">
      <c r="A51" s="910"/>
      <c r="B51" s="911"/>
      <c r="C51" s="166"/>
      <c r="D51" s="2814" t="s">
        <v>188</v>
      </c>
      <c r="E51" s="599"/>
      <c r="F51" s="69"/>
      <c r="G51" s="51"/>
      <c r="H51" s="33"/>
      <c r="I51" s="357"/>
      <c r="J51" s="358"/>
      <c r="K51" s="358"/>
      <c r="L51" s="632"/>
      <c r="M51" s="966"/>
      <c r="N51" s="328"/>
      <c r="O51" s="328"/>
      <c r="P51" s="967"/>
      <c r="Q51" s="966"/>
      <c r="R51" s="328"/>
      <c r="S51" s="328"/>
      <c r="T51" s="526"/>
    </row>
    <row r="52" spans="1:25" s="19" customFormat="1" x14ac:dyDescent="0.25">
      <c r="A52" s="910"/>
      <c r="B52" s="28"/>
      <c r="C52" s="166"/>
      <c r="D52" s="2814"/>
      <c r="E52" s="599"/>
      <c r="F52" s="69"/>
      <c r="G52" s="51"/>
      <c r="H52" s="33"/>
      <c r="I52" s="357"/>
      <c r="J52" s="396"/>
      <c r="K52" s="396"/>
      <c r="L52" s="688"/>
      <c r="M52" s="966"/>
      <c r="N52" s="978"/>
      <c r="O52" s="978"/>
      <c r="P52" s="1030"/>
      <c r="Q52" s="966"/>
      <c r="R52" s="978"/>
      <c r="S52" s="978"/>
      <c r="T52" s="979"/>
    </row>
    <row r="53" spans="1:25" s="22" customFormat="1" x14ac:dyDescent="0.25">
      <c r="A53" s="910"/>
      <c r="B53" s="28"/>
      <c r="C53" s="29"/>
      <c r="D53" s="2814"/>
      <c r="E53" s="147"/>
      <c r="F53" s="925"/>
      <c r="G53" s="30"/>
      <c r="H53" s="33"/>
      <c r="I53" s="357"/>
      <c r="J53" s="396"/>
      <c r="K53" s="396"/>
      <c r="L53" s="688"/>
      <c r="M53" s="966"/>
      <c r="N53" s="978"/>
      <c r="O53" s="978"/>
      <c r="P53" s="1030"/>
      <c r="Q53" s="966"/>
      <c r="R53" s="978"/>
      <c r="S53" s="978"/>
      <c r="T53" s="979"/>
    </row>
    <row r="54" spans="1:25" s="19" customFormat="1" x14ac:dyDescent="0.25">
      <c r="A54" s="910"/>
      <c r="B54" s="911"/>
      <c r="C54" s="166"/>
      <c r="D54" s="2814" t="s">
        <v>118</v>
      </c>
      <c r="E54" s="599"/>
      <c r="F54" s="69"/>
      <c r="G54" s="51"/>
      <c r="H54" s="33"/>
      <c r="I54" s="357"/>
      <c r="J54" s="358"/>
      <c r="K54" s="358"/>
      <c r="L54" s="632"/>
      <c r="M54" s="966"/>
      <c r="N54" s="328"/>
      <c r="O54" s="328"/>
      <c r="P54" s="967"/>
      <c r="Q54" s="966"/>
      <c r="R54" s="328"/>
      <c r="S54" s="328"/>
      <c r="T54" s="526"/>
    </row>
    <row r="55" spans="1:25" s="19" customFormat="1" x14ac:dyDescent="0.25">
      <c r="A55" s="910"/>
      <c r="B55" s="28"/>
      <c r="C55" s="166"/>
      <c r="D55" s="2814"/>
      <c r="E55" s="599"/>
      <c r="F55" s="69"/>
      <c r="G55" s="51"/>
      <c r="H55" s="33"/>
      <c r="I55" s="354"/>
      <c r="J55" s="468"/>
      <c r="K55" s="468"/>
      <c r="L55" s="623"/>
      <c r="M55" s="307"/>
      <c r="N55" s="981"/>
      <c r="O55" s="981"/>
      <c r="P55" s="964"/>
      <c r="Q55" s="307"/>
      <c r="R55" s="981"/>
      <c r="S55" s="981"/>
      <c r="T55" s="982"/>
    </row>
    <row r="56" spans="1:25" s="19" customFormat="1" ht="13.5" thickBot="1" x14ac:dyDescent="0.3">
      <c r="A56" s="910"/>
      <c r="B56" s="911"/>
      <c r="C56" s="913"/>
      <c r="D56" s="2908"/>
      <c r="E56" s="602"/>
      <c r="F56" s="69"/>
      <c r="G56" s="73"/>
      <c r="H56" s="470" t="s">
        <v>18</v>
      </c>
      <c r="I56" s="399">
        <f>SUM(I33:I55)</f>
        <v>11483</v>
      </c>
      <c r="J56" s="399">
        <f t="shared" ref="J56:L56" si="9">SUM(J33:J55)</f>
        <v>11443</v>
      </c>
      <c r="K56" s="399">
        <f t="shared" si="9"/>
        <v>6680.7000000000007</v>
      </c>
      <c r="L56" s="1044">
        <f t="shared" si="9"/>
        <v>40</v>
      </c>
      <c r="M56" s="399">
        <f>SUM(M33:M55)</f>
        <v>11483</v>
      </c>
      <c r="N56" s="399">
        <f t="shared" ref="N56:P56" si="10">SUM(N33:N55)</f>
        <v>11443</v>
      </c>
      <c r="O56" s="399">
        <f t="shared" si="10"/>
        <v>6680.7000000000007</v>
      </c>
      <c r="P56" s="1044">
        <f t="shared" si="10"/>
        <v>40</v>
      </c>
      <c r="Q56" s="399">
        <f>SUM(Q33:Q55)</f>
        <v>11483</v>
      </c>
      <c r="R56" s="399">
        <f t="shared" ref="R56:T56" si="11">SUM(R33:R55)</f>
        <v>11443</v>
      </c>
      <c r="S56" s="399">
        <f t="shared" si="11"/>
        <v>6680.7000000000007</v>
      </c>
      <c r="T56" s="407">
        <f t="shared" si="11"/>
        <v>40</v>
      </c>
    </row>
    <row r="57" spans="1:25" s="18" customFormat="1" ht="12.75" customHeight="1" x14ac:dyDescent="0.25">
      <c r="A57" s="2964" t="s">
        <v>13</v>
      </c>
      <c r="B57" s="2966" t="s">
        <v>19</v>
      </c>
      <c r="C57" s="2968" t="s">
        <v>19</v>
      </c>
      <c r="D57" s="2821" t="s">
        <v>54</v>
      </c>
      <c r="E57" s="2955"/>
      <c r="F57" s="2959">
        <v>10</v>
      </c>
      <c r="G57" s="2961" t="s">
        <v>26</v>
      </c>
      <c r="H57" s="74" t="s">
        <v>27</v>
      </c>
      <c r="I57" s="408">
        <f>J57+L57</f>
        <v>832.3</v>
      </c>
      <c r="J57" s="409">
        <v>832.3</v>
      </c>
      <c r="K57" s="409"/>
      <c r="L57" s="416"/>
      <c r="M57" s="320">
        <f>N57+P57</f>
        <v>832.3</v>
      </c>
      <c r="N57" s="321">
        <v>832.3</v>
      </c>
      <c r="O57" s="321"/>
      <c r="P57" s="993"/>
      <c r="Q57" s="320">
        <f>R57+T57</f>
        <v>832.3</v>
      </c>
      <c r="R57" s="321">
        <v>832.3</v>
      </c>
      <c r="S57" s="321"/>
      <c r="T57" s="940"/>
    </row>
    <row r="58" spans="1:25" s="19" customFormat="1" ht="13.5" thickBot="1" x14ac:dyDescent="0.3">
      <c r="A58" s="2965"/>
      <c r="B58" s="2967"/>
      <c r="C58" s="2969"/>
      <c r="D58" s="2806"/>
      <c r="E58" s="2956"/>
      <c r="F58" s="2960"/>
      <c r="G58" s="2962"/>
      <c r="H58" s="470" t="s">
        <v>18</v>
      </c>
      <c r="I58" s="367">
        <f>J58+L58</f>
        <v>832.3</v>
      </c>
      <c r="J58" s="362">
        <f>J57</f>
        <v>832.3</v>
      </c>
      <c r="K58" s="361"/>
      <c r="L58" s="472"/>
      <c r="M58" s="367">
        <f>N58+P58</f>
        <v>832.3</v>
      </c>
      <c r="N58" s="362">
        <f>N57</f>
        <v>832.3</v>
      </c>
      <c r="O58" s="361"/>
      <c r="P58" s="472"/>
      <c r="Q58" s="367">
        <f>R58+T58</f>
        <v>832.3</v>
      </c>
      <c r="R58" s="362">
        <f>R57</f>
        <v>832.3</v>
      </c>
      <c r="S58" s="361"/>
      <c r="T58" s="368"/>
    </row>
    <row r="59" spans="1:25" s="18" customFormat="1" ht="76.5" x14ac:dyDescent="0.25">
      <c r="A59" s="918" t="s">
        <v>13</v>
      </c>
      <c r="B59" s="920" t="s">
        <v>19</v>
      </c>
      <c r="C59" s="905" t="s">
        <v>22</v>
      </c>
      <c r="D59" s="284" t="s">
        <v>55</v>
      </c>
      <c r="E59" s="206"/>
      <c r="F59" s="922">
        <v>10</v>
      </c>
      <c r="G59" s="924" t="s">
        <v>26</v>
      </c>
      <c r="H59" s="74" t="s">
        <v>27</v>
      </c>
      <c r="I59" s="410">
        <f>J59+L59</f>
        <v>932.2</v>
      </c>
      <c r="J59" s="411">
        <v>932.2</v>
      </c>
      <c r="K59" s="411"/>
      <c r="L59" s="410"/>
      <c r="M59" s="1006">
        <f>N59+P59</f>
        <v>932.2</v>
      </c>
      <c r="N59" s="984">
        <v>932.2</v>
      </c>
      <c r="O59" s="984"/>
      <c r="P59" s="983"/>
      <c r="Q59" s="1006">
        <f>R59+T59</f>
        <v>932.2</v>
      </c>
      <c r="R59" s="984">
        <v>932.2</v>
      </c>
      <c r="S59" s="984"/>
      <c r="T59" s="656"/>
      <c r="U59" s="645"/>
      <c r="V59" s="646"/>
      <c r="W59" s="647"/>
      <c r="X59" s="647"/>
      <c r="Y59" s="647"/>
    </row>
    <row r="60" spans="1:25" s="18" customFormat="1" ht="51" x14ac:dyDescent="0.25">
      <c r="A60" s="78"/>
      <c r="B60" s="79"/>
      <c r="C60" s="29"/>
      <c r="D60" s="505" t="s">
        <v>189</v>
      </c>
      <c r="E60" s="176"/>
      <c r="F60" s="80"/>
      <c r="G60" s="81"/>
      <c r="H60" s="312" t="s">
        <v>42</v>
      </c>
      <c r="I60" s="446">
        <f t="shared" ref="I60" si="12">J60+L60</f>
        <v>206.1</v>
      </c>
      <c r="J60" s="415">
        <v>206.1</v>
      </c>
      <c r="K60" s="415"/>
      <c r="L60" s="414"/>
      <c r="M60" s="985">
        <f t="shared" ref="M60" si="13">N60+P60</f>
        <v>206.1</v>
      </c>
      <c r="N60" s="986">
        <v>206.1</v>
      </c>
      <c r="O60" s="986"/>
      <c r="P60" s="987"/>
      <c r="Q60" s="985">
        <f t="shared" ref="Q60" si="14">R60+T60</f>
        <v>206.1</v>
      </c>
      <c r="R60" s="986">
        <v>206.1</v>
      </c>
      <c r="S60" s="986"/>
      <c r="T60" s="1050"/>
      <c r="V60" s="648"/>
      <c r="W60" s="647"/>
      <c r="X60" s="647"/>
      <c r="Y60" s="647"/>
    </row>
    <row r="61" spans="1:25" s="18" customFormat="1" ht="38.25" x14ac:dyDescent="0.25">
      <c r="A61" s="78"/>
      <c r="B61" s="79"/>
      <c r="C61" s="650"/>
      <c r="D61" s="505" t="s">
        <v>190</v>
      </c>
      <c r="E61" s="176"/>
      <c r="F61" s="80"/>
      <c r="G61" s="81"/>
      <c r="H61" s="501"/>
      <c r="I61" s="502"/>
      <c r="J61" s="453"/>
      <c r="K61" s="453"/>
      <c r="L61" s="502"/>
      <c r="M61" s="992"/>
      <c r="N61" s="989"/>
      <c r="O61" s="989"/>
      <c r="P61" s="988"/>
      <c r="Q61" s="992"/>
      <c r="R61" s="989"/>
      <c r="S61" s="989"/>
      <c r="T61" s="1051"/>
      <c r="V61" s="649"/>
      <c r="W61" s="165"/>
      <c r="X61" s="165"/>
      <c r="Y61" s="165"/>
    </row>
    <row r="62" spans="1:25" s="18" customFormat="1" ht="51.75" thickBot="1" x14ac:dyDescent="0.3">
      <c r="A62" s="919"/>
      <c r="B62" s="921"/>
      <c r="C62" s="906"/>
      <c r="D62" s="782" t="s">
        <v>191</v>
      </c>
      <c r="E62" s="177"/>
      <c r="F62" s="923"/>
      <c r="G62" s="175"/>
      <c r="H62" s="783"/>
      <c r="I62" s="784"/>
      <c r="J62" s="785"/>
      <c r="K62" s="785"/>
      <c r="L62" s="784"/>
      <c r="M62" s="1052"/>
      <c r="N62" s="991"/>
      <c r="O62" s="991"/>
      <c r="P62" s="990"/>
      <c r="Q62" s="1052"/>
      <c r="R62" s="991"/>
      <c r="S62" s="991"/>
      <c r="T62" s="1053"/>
      <c r="V62" s="2775"/>
      <c r="W62" s="165"/>
      <c r="X62" s="165"/>
      <c r="Y62" s="165"/>
    </row>
    <row r="63" spans="1:25" s="18" customFormat="1" ht="63.75" x14ac:dyDescent="0.25">
      <c r="A63" s="918"/>
      <c r="B63" s="920"/>
      <c r="C63" s="905"/>
      <c r="D63" s="329" t="s">
        <v>192</v>
      </c>
      <c r="E63" s="206"/>
      <c r="F63" s="922"/>
      <c r="G63" s="924"/>
      <c r="H63" s="74"/>
      <c r="I63" s="410"/>
      <c r="J63" s="411"/>
      <c r="K63" s="411"/>
      <c r="L63" s="410"/>
      <c r="M63" s="1006"/>
      <c r="N63" s="984"/>
      <c r="O63" s="984"/>
      <c r="P63" s="983"/>
      <c r="Q63" s="1006"/>
      <c r="R63" s="984"/>
      <c r="S63" s="984"/>
      <c r="T63" s="656"/>
      <c r="V63" s="2775"/>
      <c r="W63" s="165"/>
      <c r="X63" s="165"/>
      <c r="Y63" s="165"/>
    </row>
    <row r="64" spans="1:25" s="18" customFormat="1" x14ac:dyDescent="0.25">
      <c r="A64" s="78"/>
      <c r="B64" s="79"/>
      <c r="C64" s="29"/>
      <c r="D64" s="2805" t="s">
        <v>156</v>
      </c>
      <c r="E64" s="176"/>
      <c r="F64" s="80"/>
      <c r="G64" s="81"/>
      <c r="H64" s="609"/>
      <c r="I64" s="534"/>
      <c r="J64" s="453"/>
      <c r="K64" s="453"/>
      <c r="L64" s="502"/>
      <c r="M64" s="992"/>
      <c r="N64" s="989"/>
      <c r="O64" s="989"/>
      <c r="P64" s="988"/>
      <c r="Q64" s="992"/>
      <c r="R64" s="989"/>
      <c r="S64" s="989"/>
      <c r="T64" s="1051"/>
      <c r="V64" s="2775"/>
      <c r="W64" s="165"/>
      <c r="X64" s="165"/>
      <c r="Y64" s="165"/>
    </row>
    <row r="65" spans="1:20" s="19" customFormat="1" ht="13.5" thickBot="1" x14ac:dyDescent="0.3">
      <c r="A65" s="9"/>
      <c r="B65" s="10"/>
      <c r="C65" s="11"/>
      <c r="D65" s="2806"/>
      <c r="E65" s="177"/>
      <c r="F65" s="12"/>
      <c r="G65" s="175"/>
      <c r="H65" s="470" t="s">
        <v>18</v>
      </c>
      <c r="I65" s="367">
        <f>J65+L65</f>
        <v>1138.3</v>
      </c>
      <c r="J65" s="362">
        <f>SUM(J59:J64)</f>
        <v>1138.3</v>
      </c>
      <c r="K65" s="361"/>
      <c r="L65" s="472"/>
      <c r="M65" s="367">
        <f>N65+P65</f>
        <v>1138.3</v>
      </c>
      <c r="N65" s="362">
        <f>SUM(N59:N64)</f>
        <v>1138.3</v>
      </c>
      <c r="O65" s="361"/>
      <c r="P65" s="472"/>
      <c r="Q65" s="367">
        <f>R65+T65</f>
        <v>1138.3</v>
      </c>
      <c r="R65" s="362">
        <f>SUM(R59:R64)</f>
        <v>1138.3</v>
      </c>
      <c r="S65" s="361"/>
      <c r="T65" s="368"/>
    </row>
    <row r="66" spans="1:20" s="18" customFormat="1" ht="12.75" customHeight="1" x14ac:dyDescent="0.25">
      <c r="A66" s="2949" t="s">
        <v>13</v>
      </c>
      <c r="B66" s="2951" t="s">
        <v>19</v>
      </c>
      <c r="C66" s="2953" t="s">
        <v>24</v>
      </c>
      <c r="D66" s="2879" t="s">
        <v>33</v>
      </c>
      <c r="E66" s="2955"/>
      <c r="F66" s="2957">
        <v>10</v>
      </c>
      <c r="G66" s="2940" t="s">
        <v>26</v>
      </c>
      <c r="H66" s="74" t="s">
        <v>27</v>
      </c>
      <c r="I66" s="408">
        <f>J66+K66+L66</f>
        <v>80</v>
      </c>
      <c r="J66" s="409">
        <v>80</v>
      </c>
      <c r="K66" s="409"/>
      <c r="L66" s="416"/>
      <c r="M66" s="320">
        <f>N66+O66+P66</f>
        <v>80</v>
      </c>
      <c r="N66" s="321">
        <v>80</v>
      </c>
      <c r="O66" s="321"/>
      <c r="P66" s="993"/>
      <c r="Q66" s="320">
        <f>R66+S66+T66</f>
        <v>80</v>
      </c>
      <c r="R66" s="321">
        <v>80</v>
      </c>
      <c r="S66" s="321"/>
      <c r="T66" s="940"/>
    </row>
    <row r="67" spans="1:20" s="18" customFormat="1" ht="13.5" thickBot="1" x14ac:dyDescent="0.3">
      <c r="A67" s="2950"/>
      <c r="B67" s="2952"/>
      <c r="C67" s="2954"/>
      <c r="D67" s="2799"/>
      <c r="E67" s="2956"/>
      <c r="F67" s="2958"/>
      <c r="G67" s="2941"/>
      <c r="H67" s="477" t="s">
        <v>18</v>
      </c>
      <c r="I67" s="417">
        <f t="shared" ref="I67:I75" si="15">J67+L67</f>
        <v>80</v>
      </c>
      <c r="J67" s="418">
        <f>SUM(J66)</f>
        <v>80</v>
      </c>
      <c r="K67" s="418"/>
      <c r="L67" s="419"/>
      <c r="M67" s="417">
        <f t="shared" ref="M67:M75" si="16">N67+P67</f>
        <v>80</v>
      </c>
      <c r="N67" s="418">
        <f>SUM(N66)</f>
        <v>80</v>
      </c>
      <c r="O67" s="418"/>
      <c r="P67" s="419"/>
      <c r="Q67" s="417">
        <f t="shared" ref="Q67:Q75" si="17">R67+T67</f>
        <v>80</v>
      </c>
      <c r="R67" s="418">
        <f>SUM(R66)</f>
        <v>80</v>
      </c>
      <c r="S67" s="418"/>
      <c r="T67" s="478"/>
    </row>
    <row r="68" spans="1:20" s="18" customFormat="1" x14ac:dyDescent="0.25">
      <c r="A68" s="2928" t="s">
        <v>13</v>
      </c>
      <c r="B68" s="2929" t="s">
        <v>19</v>
      </c>
      <c r="C68" s="912" t="s">
        <v>28</v>
      </c>
      <c r="D68" s="3082" t="s">
        <v>34</v>
      </c>
      <c r="E68" s="178"/>
      <c r="F68" s="914">
        <v>10</v>
      </c>
      <c r="G68" s="83" t="s">
        <v>35</v>
      </c>
      <c r="H68" s="84" t="s">
        <v>27</v>
      </c>
      <c r="I68" s="480">
        <f t="shared" si="15"/>
        <v>100</v>
      </c>
      <c r="J68" s="481">
        <v>70</v>
      </c>
      <c r="K68" s="481"/>
      <c r="L68" s="482">
        <v>30</v>
      </c>
      <c r="M68" s="314">
        <f t="shared" si="16"/>
        <v>100</v>
      </c>
      <c r="N68" s="315">
        <v>70</v>
      </c>
      <c r="O68" s="315"/>
      <c r="P68" s="994">
        <v>30</v>
      </c>
      <c r="Q68" s="314"/>
      <c r="R68" s="315"/>
      <c r="S68" s="315"/>
      <c r="T68" s="316"/>
    </row>
    <row r="69" spans="1:20" s="18" customFormat="1" x14ac:dyDescent="0.25">
      <c r="A69" s="2871"/>
      <c r="B69" s="2874"/>
      <c r="C69" s="913"/>
      <c r="D69" s="3083"/>
      <c r="E69" s="179"/>
      <c r="F69" s="85"/>
      <c r="G69" s="86"/>
      <c r="H69" s="87" t="s">
        <v>21</v>
      </c>
      <c r="I69" s="420">
        <f t="shared" si="15"/>
        <v>400</v>
      </c>
      <c r="J69" s="421">
        <v>280</v>
      </c>
      <c r="K69" s="421"/>
      <c r="L69" s="422">
        <v>120</v>
      </c>
      <c r="M69" s="1081">
        <f t="shared" si="16"/>
        <v>151.19999999999999</v>
      </c>
      <c r="N69" s="1082">
        <v>79.2</v>
      </c>
      <c r="O69" s="1082"/>
      <c r="P69" s="1083">
        <v>72</v>
      </c>
      <c r="Q69" s="1084">
        <f>M69-I69</f>
        <v>-248.8</v>
      </c>
      <c r="R69" s="1086">
        <f t="shared" ref="R69:T69" si="18">N69-J69</f>
        <v>-200.8</v>
      </c>
      <c r="S69" s="1087">
        <f t="shared" si="18"/>
        <v>0</v>
      </c>
      <c r="T69" s="1085">
        <f t="shared" si="18"/>
        <v>-48</v>
      </c>
    </row>
    <row r="70" spans="1:20" s="18" customFormat="1" ht="13.5" thickBot="1" x14ac:dyDescent="0.3">
      <c r="A70" s="910"/>
      <c r="B70" s="911"/>
      <c r="C70" s="913"/>
      <c r="D70" s="3084"/>
      <c r="E70" s="179"/>
      <c r="F70" s="85"/>
      <c r="G70" s="86"/>
      <c r="H70" s="477" t="s">
        <v>18</v>
      </c>
      <c r="I70" s="417">
        <f t="shared" si="15"/>
        <v>500</v>
      </c>
      <c r="J70" s="418">
        <f>SUM(J68:J69)</f>
        <v>350</v>
      </c>
      <c r="K70" s="418"/>
      <c r="L70" s="419">
        <f>SUM(L68:L69)</f>
        <v>150</v>
      </c>
      <c r="M70" s="417">
        <f t="shared" si="16"/>
        <v>251.2</v>
      </c>
      <c r="N70" s="418">
        <f>SUM(N68:N69)</f>
        <v>149.19999999999999</v>
      </c>
      <c r="O70" s="418"/>
      <c r="P70" s="419">
        <f>SUM(P68:P69)</f>
        <v>102</v>
      </c>
      <c r="Q70" s="417">
        <f t="shared" si="17"/>
        <v>-248.8</v>
      </c>
      <c r="R70" s="418">
        <f>SUM(R68:R69)</f>
        <v>-200.8</v>
      </c>
      <c r="S70" s="418"/>
      <c r="T70" s="478">
        <f>SUM(T68:T69)</f>
        <v>-48</v>
      </c>
    </row>
    <row r="71" spans="1:20" s="18" customFormat="1" ht="12.75" customHeight="1" x14ac:dyDescent="0.25">
      <c r="A71" s="2928" t="s">
        <v>13</v>
      </c>
      <c r="B71" s="2929" t="s">
        <v>19</v>
      </c>
      <c r="C71" s="912" t="s">
        <v>36</v>
      </c>
      <c r="D71" s="2821" t="s">
        <v>37</v>
      </c>
      <c r="E71" s="178"/>
      <c r="F71" s="914">
        <v>10</v>
      </c>
      <c r="G71" s="924" t="s">
        <v>26</v>
      </c>
      <c r="H71" s="90" t="s">
        <v>27</v>
      </c>
      <c r="I71" s="423">
        <f t="shared" si="15"/>
        <v>69.2</v>
      </c>
      <c r="J71" s="424">
        <v>69.2</v>
      </c>
      <c r="K71" s="424"/>
      <c r="L71" s="425"/>
      <c r="M71" s="995">
        <f t="shared" si="16"/>
        <v>69.2</v>
      </c>
      <c r="N71" s="996">
        <v>69.2</v>
      </c>
      <c r="O71" s="996"/>
      <c r="P71" s="997"/>
      <c r="Q71" s="995">
        <f t="shared" si="17"/>
        <v>69.2</v>
      </c>
      <c r="R71" s="996">
        <v>69.2</v>
      </c>
      <c r="S71" s="996"/>
      <c r="T71" s="1054"/>
    </row>
    <row r="72" spans="1:20" s="18" customFormat="1" x14ac:dyDescent="0.2">
      <c r="A72" s="2871"/>
      <c r="B72" s="2874"/>
      <c r="C72" s="913"/>
      <c r="D72" s="2805"/>
      <c r="E72" s="180"/>
      <c r="F72" s="92"/>
      <c r="G72" s="93"/>
      <c r="H72" s="33" t="s">
        <v>21</v>
      </c>
      <c r="I72" s="426">
        <f t="shared" si="15"/>
        <v>692</v>
      </c>
      <c r="J72" s="427">
        <v>692</v>
      </c>
      <c r="K72" s="427"/>
      <c r="L72" s="428"/>
      <c r="M72" s="998">
        <f t="shared" si="16"/>
        <v>692</v>
      </c>
      <c r="N72" s="999">
        <v>692</v>
      </c>
      <c r="O72" s="999"/>
      <c r="P72" s="1000"/>
      <c r="Q72" s="998">
        <f t="shared" si="17"/>
        <v>692</v>
      </c>
      <c r="R72" s="999">
        <v>692</v>
      </c>
      <c r="S72" s="999"/>
      <c r="T72" s="1055"/>
    </row>
    <row r="73" spans="1:20" s="18" customFormat="1" x14ac:dyDescent="0.2">
      <c r="A73" s="910"/>
      <c r="B73" s="911"/>
      <c r="C73" s="913"/>
      <c r="D73" s="2805"/>
      <c r="E73" s="180"/>
      <c r="F73" s="92"/>
      <c r="G73" s="93"/>
      <c r="H73" s="31" t="s">
        <v>21</v>
      </c>
      <c r="I73" s="426">
        <f t="shared" si="15"/>
        <v>38.1</v>
      </c>
      <c r="J73" s="427">
        <v>38.1</v>
      </c>
      <c r="K73" s="427"/>
      <c r="L73" s="428"/>
      <c r="M73" s="998">
        <f t="shared" si="16"/>
        <v>38.1</v>
      </c>
      <c r="N73" s="999">
        <v>38.1</v>
      </c>
      <c r="O73" s="999"/>
      <c r="P73" s="1000"/>
      <c r="Q73" s="998">
        <f t="shared" si="17"/>
        <v>38.1</v>
      </c>
      <c r="R73" s="999">
        <v>38.1</v>
      </c>
      <c r="S73" s="999"/>
      <c r="T73" s="1055"/>
    </row>
    <row r="74" spans="1:20" s="18" customFormat="1" ht="13.5" thickBot="1" x14ac:dyDescent="0.25">
      <c r="A74" s="902"/>
      <c r="B74" s="904"/>
      <c r="C74" s="931"/>
      <c r="D74" s="2806"/>
      <c r="E74" s="181"/>
      <c r="F74" s="96"/>
      <c r="G74" s="182"/>
      <c r="H74" s="483" t="s">
        <v>18</v>
      </c>
      <c r="I74" s="417">
        <f t="shared" si="15"/>
        <v>799.30000000000007</v>
      </c>
      <c r="J74" s="418">
        <f>SUM(J71:J73)</f>
        <v>799.30000000000007</v>
      </c>
      <c r="K74" s="418"/>
      <c r="L74" s="419"/>
      <c r="M74" s="417">
        <f t="shared" si="16"/>
        <v>799.30000000000007</v>
      </c>
      <c r="N74" s="418">
        <f>SUM(N71:N73)</f>
        <v>799.30000000000007</v>
      </c>
      <c r="O74" s="418"/>
      <c r="P74" s="419"/>
      <c r="Q74" s="417">
        <f t="shared" si="17"/>
        <v>799.30000000000007</v>
      </c>
      <c r="R74" s="418">
        <f>SUM(R71:R73)</f>
        <v>799.30000000000007</v>
      </c>
      <c r="S74" s="418"/>
      <c r="T74" s="478"/>
    </row>
    <row r="75" spans="1:20" s="18" customFormat="1" ht="12.75" customHeight="1" x14ac:dyDescent="0.25">
      <c r="A75" s="2928" t="s">
        <v>13</v>
      </c>
      <c r="B75" s="2929" t="s">
        <v>19</v>
      </c>
      <c r="C75" s="912" t="s">
        <v>38</v>
      </c>
      <c r="D75" s="2822" t="s">
        <v>99</v>
      </c>
      <c r="E75" s="178"/>
      <c r="F75" s="914">
        <v>10</v>
      </c>
      <c r="G75" s="15" t="s">
        <v>71</v>
      </c>
      <c r="H75" s="74" t="s">
        <v>21</v>
      </c>
      <c r="I75" s="408">
        <f t="shared" si="15"/>
        <v>500</v>
      </c>
      <c r="J75" s="409">
        <v>200</v>
      </c>
      <c r="K75" s="409"/>
      <c r="L75" s="416">
        <v>300</v>
      </c>
      <c r="M75" s="320">
        <f t="shared" si="16"/>
        <v>500</v>
      </c>
      <c r="N75" s="321">
        <v>200</v>
      </c>
      <c r="O75" s="321"/>
      <c r="P75" s="993">
        <v>300</v>
      </c>
      <c r="Q75" s="320">
        <f t="shared" si="17"/>
        <v>500</v>
      </c>
      <c r="R75" s="321">
        <v>200</v>
      </c>
      <c r="S75" s="321"/>
      <c r="T75" s="940">
        <v>300</v>
      </c>
    </row>
    <row r="76" spans="1:20" s="18" customFormat="1" x14ac:dyDescent="0.2">
      <c r="A76" s="2871"/>
      <c r="B76" s="2874"/>
      <c r="C76" s="913"/>
      <c r="D76" s="2930"/>
      <c r="E76" s="180"/>
      <c r="F76" s="92"/>
      <c r="G76" s="95">
        <v>3</v>
      </c>
      <c r="H76" s="33"/>
      <c r="I76" s="420"/>
      <c r="J76" s="421"/>
      <c r="K76" s="421"/>
      <c r="L76" s="422"/>
      <c r="M76" s="317"/>
      <c r="N76" s="318"/>
      <c r="O76" s="318"/>
      <c r="P76" s="1001"/>
      <c r="Q76" s="317"/>
      <c r="R76" s="318"/>
      <c r="S76" s="318"/>
      <c r="T76" s="319"/>
    </row>
    <row r="77" spans="1:20" s="18" customFormat="1" ht="13.5" thickBot="1" x14ac:dyDescent="0.25">
      <c r="A77" s="910"/>
      <c r="B77" s="911"/>
      <c r="C77" s="931"/>
      <c r="D77" s="2931"/>
      <c r="E77" s="180"/>
      <c r="F77" s="96"/>
      <c r="G77" s="183">
        <v>6</v>
      </c>
      <c r="H77" s="483" t="s">
        <v>18</v>
      </c>
      <c r="I77" s="429">
        <f>J77+L77</f>
        <v>500</v>
      </c>
      <c r="J77" s="418">
        <f>SUM(J75:J76)</f>
        <v>200</v>
      </c>
      <c r="K77" s="430"/>
      <c r="L77" s="419">
        <f>L75</f>
        <v>300</v>
      </c>
      <c r="M77" s="429">
        <f>N77+P77</f>
        <v>500</v>
      </c>
      <c r="N77" s="418">
        <f>SUM(N75:N76)</f>
        <v>200</v>
      </c>
      <c r="O77" s="430"/>
      <c r="P77" s="419">
        <f>P75</f>
        <v>300</v>
      </c>
      <c r="Q77" s="429">
        <f>R77+T77</f>
        <v>500</v>
      </c>
      <c r="R77" s="418">
        <f>SUM(R75:R76)</f>
        <v>200</v>
      </c>
      <c r="S77" s="430"/>
      <c r="T77" s="478">
        <f>T75</f>
        <v>300</v>
      </c>
    </row>
    <row r="78" spans="1:20" s="18" customFormat="1" ht="12.75" customHeight="1" x14ac:dyDescent="0.25">
      <c r="A78" s="2928" t="s">
        <v>13</v>
      </c>
      <c r="B78" s="2929" t="s">
        <v>19</v>
      </c>
      <c r="C78" s="912" t="s">
        <v>70</v>
      </c>
      <c r="D78" s="2821" t="s">
        <v>152</v>
      </c>
      <c r="E78" s="789"/>
      <c r="F78" s="908" t="s">
        <v>16</v>
      </c>
      <c r="G78" s="794" t="s">
        <v>26</v>
      </c>
      <c r="H78" s="26" t="s">
        <v>17</v>
      </c>
      <c r="I78" s="350">
        <v>60.8</v>
      </c>
      <c r="J78" s="351">
        <v>60.8</v>
      </c>
      <c r="K78" s="351"/>
      <c r="L78" s="388"/>
      <c r="M78" s="944">
        <v>60.8</v>
      </c>
      <c r="N78" s="309">
        <v>60.8</v>
      </c>
      <c r="O78" s="309"/>
      <c r="P78" s="1067"/>
      <c r="Q78" s="944">
        <v>60.8</v>
      </c>
      <c r="R78" s="309">
        <v>60.8</v>
      </c>
      <c r="S78" s="309"/>
      <c r="T78" s="945"/>
    </row>
    <row r="79" spans="1:20" s="18" customFormat="1" x14ac:dyDescent="0.25">
      <c r="A79" s="2871"/>
      <c r="B79" s="2874"/>
      <c r="C79" s="913"/>
      <c r="D79" s="2805"/>
      <c r="E79" s="790"/>
      <c r="F79" s="925"/>
      <c r="G79" s="792"/>
      <c r="H79" s="199" t="s">
        <v>41</v>
      </c>
      <c r="I79" s="489">
        <v>484.5</v>
      </c>
      <c r="J79" s="355">
        <v>484.5</v>
      </c>
      <c r="K79" s="355"/>
      <c r="L79" s="688"/>
      <c r="M79" s="963">
        <v>484.5</v>
      </c>
      <c r="N79" s="308">
        <v>484.5</v>
      </c>
      <c r="O79" s="308"/>
      <c r="P79" s="1030"/>
      <c r="Q79" s="963">
        <v>484.5</v>
      </c>
      <c r="R79" s="308">
        <v>484.5</v>
      </c>
      <c r="S79" s="308"/>
      <c r="T79" s="979"/>
    </row>
    <row r="80" spans="1:20" s="18" customFormat="1" ht="13.5" thickBot="1" x14ac:dyDescent="0.3">
      <c r="A80" s="902"/>
      <c r="B80" s="904"/>
      <c r="C80" s="931"/>
      <c r="D80" s="2806"/>
      <c r="E80" s="791"/>
      <c r="F80" s="909"/>
      <c r="G80" s="793"/>
      <c r="H80" s="795" t="s">
        <v>17</v>
      </c>
      <c r="I80" s="796">
        <f>121.7+190.9</f>
        <v>312.60000000000002</v>
      </c>
      <c r="J80" s="765">
        <f>121.7+190.9</f>
        <v>312.60000000000002</v>
      </c>
      <c r="K80" s="797">
        <f>92.9+135.6</f>
        <v>228.5</v>
      </c>
      <c r="L80" s="1045"/>
      <c r="M80" s="1002">
        <f>121.7+190.9</f>
        <v>312.60000000000002</v>
      </c>
      <c r="N80" s="1003">
        <f>121.7+190.9</f>
        <v>312.60000000000002</v>
      </c>
      <c r="O80" s="1004">
        <f>92.9+135.6</f>
        <v>228.5</v>
      </c>
      <c r="P80" s="1072"/>
      <c r="Q80" s="1002">
        <f>121.7+190.9</f>
        <v>312.60000000000002</v>
      </c>
      <c r="R80" s="1003">
        <f>121.7+190.9</f>
        <v>312.60000000000002</v>
      </c>
      <c r="S80" s="1004">
        <f>92.9+135.6</f>
        <v>228.5</v>
      </c>
      <c r="T80" s="1005"/>
    </row>
    <row r="81" spans="1:21" s="18" customFormat="1" ht="12.75" customHeight="1" x14ac:dyDescent="0.25">
      <c r="A81" s="901"/>
      <c r="B81" s="903"/>
      <c r="C81" s="912"/>
      <c r="D81" s="873"/>
      <c r="E81" s="789"/>
      <c r="F81" s="908"/>
      <c r="G81" s="874"/>
      <c r="H81" s="38" t="s">
        <v>17</v>
      </c>
      <c r="I81" s="364">
        <v>243.2</v>
      </c>
      <c r="J81" s="351">
        <v>243.2</v>
      </c>
      <c r="K81" s="351">
        <v>185.7</v>
      </c>
      <c r="L81" s="388"/>
      <c r="M81" s="310">
        <v>243.2</v>
      </c>
      <c r="N81" s="309">
        <v>243.2</v>
      </c>
      <c r="O81" s="309">
        <v>185.7</v>
      </c>
      <c r="P81" s="1067"/>
      <c r="Q81" s="310">
        <v>243.2</v>
      </c>
      <c r="R81" s="309">
        <v>243.2</v>
      </c>
      <c r="S81" s="309">
        <v>185.7</v>
      </c>
      <c r="T81" s="945"/>
      <c r="U81" s="19"/>
    </row>
    <row r="82" spans="1:21" s="18" customFormat="1" ht="13.5" thickBot="1" x14ac:dyDescent="0.3">
      <c r="A82" s="910"/>
      <c r="B82" s="911"/>
      <c r="C82" s="931"/>
      <c r="D82" s="782"/>
      <c r="E82" s="791"/>
      <c r="F82" s="909"/>
      <c r="G82" s="793"/>
      <c r="H82" s="470" t="s">
        <v>18</v>
      </c>
      <c r="I82" s="360">
        <f>L82+J82</f>
        <v>1101.0999999999999</v>
      </c>
      <c r="J82" s="363">
        <f>SUM(J78:J81)</f>
        <v>1101.0999999999999</v>
      </c>
      <c r="K82" s="363">
        <f>SUM(K78:K81)</f>
        <v>414.2</v>
      </c>
      <c r="L82" s="361"/>
      <c r="M82" s="360">
        <f>P82+N82</f>
        <v>1101.0999999999999</v>
      </c>
      <c r="N82" s="363">
        <f>SUM(N78:N81)</f>
        <v>1101.0999999999999</v>
      </c>
      <c r="O82" s="363">
        <f>SUM(O78:O81)</f>
        <v>414.2</v>
      </c>
      <c r="P82" s="361"/>
      <c r="Q82" s="360">
        <f>T82+R82</f>
        <v>1101.0999999999999</v>
      </c>
      <c r="R82" s="363">
        <f>SUM(R78:R81)</f>
        <v>1101.0999999999999</v>
      </c>
      <c r="S82" s="363">
        <f>SUM(S78:S81)</f>
        <v>414.2</v>
      </c>
      <c r="T82" s="433"/>
    </row>
    <row r="83" spans="1:21" s="18" customFormat="1" x14ac:dyDescent="0.25">
      <c r="A83" s="901" t="s">
        <v>13</v>
      </c>
      <c r="B83" s="903" t="s">
        <v>19</v>
      </c>
      <c r="C83" s="912" t="s">
        <v>84</v>
      </c>
      <c r="D83" s="2826" t="s">
        <v>155</v>
      </c>
      <c r="E83" s="2922"/>
      <c r="F83" s="2884" t="s">
        <v>16</v>
      </c>
      <c r="G83" s="2925" t="s">
        <v>26</v>
      </c>
      <c r="H83" s="26" t="s">
        <v>41</v>
      </c>
      <c r="I83" s="480">
        <f>J83+L83</f>
        <v>2007.9</v>
      </c>
      <c r="J83" s="481">
        <v>51</v>
      </c>
      <c r="K83" s="351">
        <v>13.3</v>
      </c>
      <c r="L83" s="388">
        <v>1956.9</v>
      </c>
      <c r="M83" s="314">
        <f>N83+P83</f>
        <v>2007.9</v>
      </c>
      <c r="N83" s="315">
        <v>51</v>
      </c>
      <c r="O83" s="309">
        <v>13.3</v>
      </c>
      <c r="P83" s="1067">
        <v>1956.9</v>
      </c>
      <c r="Q83" s="314">
        <f>R83+T83</f>
        <v>2007.9</v>
      </c>
      <c r="R83" s="315">
        <v>51</v>
      </c>
      <c r="S83" s="309">
        <v>13.3</v>
      </c>
      <c r="T83" s="945">
        <v>1956.9</v>
      </c>
    </row>
    <row r="84" spans="1:21" s="18" customFormat="1" ht="12.75" customHeight="1" x14ac:dyDescent="0.25">
      <c r="A84" s="910"/>
      <c r="B84" s="911"/>
      <c r="C84" s="913"/>
      <c r="D84" s="2921"/>
      <c r="E84" s="2923"/>
      <c r="F84" s="2796"/>
      <c r="G84" s="2807"/>
      <c r="H84" s="31" t="s">
        <v>21</v>
      </c>
      <c r="I84" s="420">
        <f>J84+L84</f>
        <v>354.3</v>
      </c>
      <c r="J84" s="487">
        <v>11</v>
      </c>
      <c r="K84" s="396">
        <v>2.4</v>
      </c>
      <c r="L84" s="688">
        <v>343.3</v>
      </c>
      <c r="M84" s="317">
        <f>N84+P84</f>
        <v>354.3</v>
      </c>
      <c r="N84" s="980">
        <v>11</v>
      </c>
      <c r="O84" s="978">
        <v>2.4</v>
      </c>
      <c r="P84" s="1030">
        <v>343.3</v>
      </c>
      <c r="Q84" s="317">
        <f>R84+T84</f>
        <v>354.3</v>
      </c>
      <c r="R84" s="980">
        <v>11</v>
      </c>
      <c r="S84" s="978">
        <v>2.4</v>
      </c>
      <c r="T84" s="979">
        <v>343.3</v>
      </c>
    </row>
    <row r="85" spans="1:21" s="18" customFormat="1" ht="13.5" thickBot="1" x14ac:dyDescent="0.3">
      <c r="A85" s="910"/>
      <c r="B85" s="911"/>
      <c r="C85" s="931"/>
      <c r="D85" s="2827"/>
      <c r="E85" s="2924"/>
      <c r="F85" s="2797"/>
      <c r="G85" s="2808"/>
      <c r="H85" s="470" t="s">
        <v>18</v>
      </c>
      <c r="I85" s="434">
        <f>L85+J85</f>
        <v>2362.2000000000003</v>
      </c>
      <c r="J85" s="435">
        <f>SUM(J83:J84)</f>
        <v>62</v>
      </c>
      <c r="K85" s="435">
        <f>SUM(K83:K84)</f>
        <v>15.700000000000001</v>
      </c>
      <c r="L85" s="437">
        <f>SUM(L83:L84)</f>
        <v>2300.2000000000003</v>
      </c>
      <c r="M85" s="434">
        <f>P85+N85</f>
        <v>2362.2000000000003</v>
      </c>
      <c r="N85" s="435">
        <f>SUM(N83:N84)</f>
        <v>62</v>
      </c>
      <c r="O85" s="435">
        <f>SUM(O83:O84)</f>
        <v>15.700000000000001</v>
      </c>
      <c r="P85" s="437">
        <f>SUM(P83:P84)</f>
        <v>2300.2000000000003</v>
      </c>
      <c r="Q85" s="434">
        <f>T85+R85</f>
        <v>2362.2000000000003</v>
      </c>
      <c r="R85" s="435">
        <f>SUM(R83:R84)</f>
        <v>62</v>
      </c>
      <c r="S85" s="435">
        <f>SUM(S83:S84)</f>
        <v>15.700000000000001</v>
      </c>
      <c r="T85" s="436">
        <f>SUM(T83:T84)</f>
        <v>2300.2000000000003</v>
      </c>
    </row>
    <row r="86" spans="1:21" s="18" customFormat="1" ht="13.5" thickBot="1" x14ac:dyDescent="0.3">
      <c r="A86" s="23" t="s">
        <v>13</v>
      </c>
      <c r="B86" s="24" t="s">
        <v>19</v>
      </c>
      <c r="C86" s="2800" t="s">
        <v>30</v>
      </c>
      <c r="D86" s="2800"/>
      <c r="E86" s="2800"/>
      <c r="F86" s="2800"/>
      <c r="G86" s="2800"/>
      <c r="H86" s="2812"/>
      <c r="I86" s="100">
        <f>I85+I82+I77+I74+I70+I67+I65+I58+I56</f>
        <v>18796.2</v>
      </c>
      <c r="J86" s="764">
        <f t="shared" ref="J86:L86" si="19">J85+J82+J77+J74+J70+J67+J65+J58+J56</f>
        <v>16006</v>
      </c>
      <c r="K86" s="763">
        <f t="shared" si="19"/>
        <v>7110.6</v>
      </c>
      <c r="L86" s="1046">
        <f t="shared" si="19"/>
        <v>2790.2000000000003</v>
      </c>
      <c r="M86" s="100">
        <f>M85+M82+M77+M74+M70+M67+M65+M58+M56</f>
        <v>18547.400000000001</v>
      </c>
      <c r="N86" s="764">
        <f t="shared" ref="N86:P86" si="20">N85+N82+N77+N74+N70+N67+N65+N58+N56</f>
        <v>15805.2</v>
      </c>
      <c r="O86" s="763">
        <f t="shared" si="20"/>
        <v>7110.6</v>
      </c>
      <c r="P86" s="1046">
        <f t="shared" si="20"/>
        <v>2742.2000000000003</v>
      </c>
      <c r="Q86" s="100">
        <f>Q85+Q82+Q77+Q74+Q70+Q67+Q65+Q58+Q56</f>
        <v>18047.400000000001</v>
      </c>
      <c r="R86" s="764">
        <f t="shared" ref="R86:T86" si="21">R85+R82+R77+R74+R70+R67+R65+R58+R56</f>
        <v>15455.2</v>
      </c>
      <c r="S86" s="763">
        <f t="shared" si="21"/>
        <v>7110.6</v>
      </c>
      <c r="T86" s="762">
        <f t="shared" si="21"/>
        <v>2592.2000000000003</v>
      </c>
    </row>
    <row r="87" spans="1:21" s="18" customFormat="1" ht="13.5" thickBot="1" x14ac:dyDescent="0.3">
      <c r="A87" s="101" t="s">
        <v>13</v>
      </c>
      <c r="B87" s="24" t="s">
        <v>22</v>
      </c>
      <c r="C87" s="2909" t="s">
        <v>206</v>
      </c>
      <c r="D87" s="2909"/>
      <c r="E87" s="2910"/>
      <c r="F87" s="2910"/>
      <c r="G87" s="2910"/>
      <c r="H87" s="2910"/>
      <c r="I87" s="2910"/>
      <c r="J87" s="2910"/>
      <c r="K87" s="2910"/>
      <c r="L87" s="2910"/>
      <c r="M87" s="2910"/>
      <c r="N87" s="2910"/>
      <c r="O87" s="2910"/>
      <c r="P87" s="2910"/>
      <c r="Q87" s="1077"/>
      <c r="R87" s="1040"/>
      <c r="S87" s="1040"/>
      <c r="T87" s="1078"/>
    </row>
    <row r="88" spans="1:21" s="19" customFormat="1" ht="38.25" x14ac:dyDescent="0.25">
      <c r="A88" s="118" t="s">
        <v>13</v>
      </c>
      <c r="B88" s="119" t="s">
        <v>22</v>
      </c>
      <c r="C88" s="665" t="s">
        <v>13</v>
      </c>
      <c r="D88" s="14" t="s">
        <v>40</v>
      </c>
      <c r="E88" s="660" t="s">
        <v>94</v>
      </c>
      <c r="F88" s="661" t="s">
        <v>16</v>
      </c>
      <c r="G88" s="662">
        <v>5</v>
      </c>
      <c r="H88" s="102"/>
      <c r="I88" s="658"/>
      <c r="J88" s="411"/>
      <c r="K88" s="410"/>
      <c r="L88" s="718"/>
      <c r="M88" s="1006"/>
      <c r="N88" s="984"/>
      <c r="O88" s="983"/>
      <c r="P88" s="1073"/>
      <c r="Q88" s="1006"/>
      <c r="R88" s="984"/>
      <c r="S88" s="983"/>
      <c r="T88" s="1007"/>
    </row>
    <row r="89" spans="1:21" s="19" customFormat="1" ht="12.75" customHeight="1" x14ac:dyDescent="0.25">
      <c r="A89" s="116"/>
      <c r="B89" s="117"/>
      <c r="C89" s="666"/>
      <c r="D89" s="2813" t="s">
        <v>195</v>
      </c>
      <c r="E89" s="512"/>
      <c r="F89" s="103"/>
      <c r="G89" s="513"/>
      <c r="H89" s="104" t="s">
        <v>52</v>
      </c>
      <c r="I89" s="438">
        <f t="shared" ref="I89:I92" si="22">J89+L89</f>
        <v>274.5</v>
      </c>
      <c r="J89" s="413"/>
      <c r="K89" s="413"/>
      <c r="L89" s="439">
        <v>274.5</v>
      </c>
      <c r="M89" s="527">
        <f t="shared" ref="M89:M92" si="23">N89+P89</f>
        <v>274.5</v>
      </c>
      <c r="N89" s="1008"/>
      <c r="O89" s="1008"/>
      <c r="P89" s="528">
        <v>274.5</v>
      </c>
      <c r="Q89" s="527">
        <f t="shared" ref="Q89:Q92" si="24">R89+T89</f>
        <v>274.5</v>
      </c>
      <c r="R89" s="1008"/>
      <c r="S89" s="1008"/>
      <c r="T89" s="1009">
        <v>274.5</v>
      </c>
    </row>
    <row r="90" spans="1:21" s="19" customFormat="1" x14ac:dyDescent="0.25">
      <c r="A90" s="116"/>
      <c r="B90" s="117"/>
      <c r="C90" s="666"/>
      <c r="D90" s="2814"/>
      <c r="E90" s="512"/>
      <c r="F90" s="103"/>
      <c r="G90" s="513"/>
      <c r="H90" s="104" t="s">
        <v>27</v>
      </c>
      <c r="I90" s="438">
        <f t="shared" si="22"/>
        <v>2</v>
      </c>
      <c r="J90" s="529">
        <v>2</v>
      </c>
      <c r="K90" s="529">
        <v>1.4</v>
      </c>
      <c r="L90" s="439"/>
      <c r="M90" s="527">
        <f t="shared" si="23"/>
        <v>2</v>
      </c>
      <c r="N90" s="528">
        <v>2</v>
      </c>
      <c r="O90" s="528">
        <v>1.4</v>
      </c>
      <c r="P90" s="528"/>
      <c r="Q90" s="527">
        <f t="shared" si="24"/>
        <v>2</v>
      </c>
      <c r="R90" s="528">
        <v>2</v>
      </c>
      <c r="S90" s="528">
        <v>1.4</v>
      </c>
      <c r="T90" s="1009"/>
    </row>
    <row r="91" spans="1:21" s="19" customFormat="1" x14ac:dyDescent="0.25">
      <c r="A91" s="116"/>
      <c r="B91" s="117"/>
      <c r="C91" s="666"/>
      <c r="D91" s="2814"/>
      <c r="E91" s="512"/>
      <c r="F91" s="103"/>
      <c r="G91" s="513"/>
      <c r="H91" s="109" t="s">
        <v>41</v>
      </c>
      <c r="I91" s="440">
        <f t="shared" si="22"/>
        <v>1601.7</v>
      </c>
      <c r="J91" s="441">
        <v>9.8000000000000007</v>
      </c>
      <c r="K91" s="441">
        <v>7.5</v>
      </c>
      <c r="L91" s="442">
        <v>1591.9</v>
      </c>
      <c r="M91" s="1010">
        <f t="shared" si="23"/>
        <v>1601.7</v>
      </c>
      <c r="N91" s="1011">
        <v>9.8000000000000007</v>
      </c>
      <c r="O91" s="1011">
        <v>7.5</v>
      </c>
      <c r="P91" s="1011">
        <v>1591.9</v>
      </c>
      <c r="Q91" s="1010">
        <f t="shared" si="24"/>
        <v>1601.7</v>
      </c>
      <c r="R91" s="1011">
        <v>9.8000000000000007</v>
      </c>
      <c r="S91" s="1011">
        <v>7.5</v>
      </c>
      <c r="T91" s="1012">
        <v>1591.9</v>
      </c>
    </row>
    <row r="92" spans="1:21" s="19" customFormat="1" x14ac:dyDescent="0.25">
      <c r="A92" s="116"/>
      <c r="B92" s="117"/>
      <c r="C92" s="666"/>
      <c r="D92" s="2848"/>
      <c r="E92" s="512"/>
      <c r="F92" s="103"/>
      <c r="G92" s="513"/>
      <c r="H92" s="719" t="s">
        <v>18</v>
      </c>
      <c r="I92" s="720">
        <f t="shared" si="22"/>
        <v>1878.2</v>
      </c>
      <c r="J92" s="721">
        <f>SUM(J89:J91)</f>
        <v>11.8</v>
      </c>
      <c r="K92" s="721">
        <f>SUM(K89:K91)</f>
        <v>8.9</v>
      </c>
      <c r="L92" s="722">
        <f>SUM(L89:L91)</f>
        <v>1866.4</v>
      </c>
      <c r="M92" s="720">
        <f t="shared" si="23"/>
        <v>1878.2</v>
      </c>
      <c r="N92" s="721">
        <f>SUM(N89:N91)</f>
        <v>11.8</v>
      </c>
      <c r="O92" s="721">
        <f>SUM(O89:O91)</f>
        <v>8.9</v>
      </c>
      <c r="P92" s="721">
        <f>SUM(P89:P91)</f>
        <v>1866.4</v>
      </c>
      <c r="Q92" s="720">
        <f t="shared" si="24"/>
        <v>1878.2</v>
      </c>
      <c r="R92" s="721">
        <f>SUM(R89:R91)</f>
        <v>11.8</v>
      </c>
      <c r="S92" s="721">
        <f>SUM(S89:S91)</f>
        <v>8.9</v>
      </c>
      <c r="T92" s="722">
        <f>SUM(T89:T91)</f>
        <v>1866.4</v>
      </c>
    </row>
    <row r="93" spans="1:21" s="19" customFormat="1" ht="12.75" customHeight="1" x14ac:dyDescent="0.25">
      <c r="A93" s="116"/>
      <c r="B93" s="117"/>
      <c r="C93" s="666"/>
      <c r="D93" s="2813" t="s">
        <v>196</v>
      </c>
      <c r="E93" s="514"/>
      <c r="F93" s="69"/>
      <c r="G93" s="108"/>
      <c r="H93" s="107" t="s">
        <v>52</v>
      </c>
      <c r="I93" s="446">
        <f>J93+L93</f>
        <v>189</v>
      </c>
      <c r="J93" s="447"/>
      <c r="K93" s="447"/>
      <c r="L93" s="448">
        <v>189</v>
      </c>
      <c r="M93" s="985">
        <f>N93+P93</f>
        <v>189</v>
      </c>
      <c r="N93" s="537"/>
      <c r="O93" s="537"/>
      <c r="P93" s="537">
        <v>189</v>
      </c>
      <c r="Q93" s="985">
        <f>R93+T93</f>
        <v>189</v>
      </c>
      <c r="R93" s="537"/>
      <c r="S93" s="537"/>
      <c r="T93" s="1013">
        <v>189</v>
      </c>
    </row>
    <row r="94" spans="1:21" s="19" customFormat="1" x14ac:dyDescent="0.25">
      <c r="A94" s="116"/>
      <c r="B94" s="117"/>
      <c r="C94" s="666"/>
      <c r="D94" s="2814"/>
      <c r="E94" s="514"/>
      <c r="F94" s="69"/>
      <c r="G94" s="108"/>
      <c r="H94" s="104" t="s">
        <v>27</v>
      </c>
      <c r="I94" s="531">
        <f t="shared" ref="I94:I100" si="25">J94+L94</f>
        <v>1.9</v>
      </c>
      <c r="J94" s="529">
        <v>1.9</v>
      </c>
      <c r="K94" s="529">
        <v>1.3</v>
      </c>
      <c r="L94" s="439"/>
      <c r="M94" s="530">
        <f t="shared" ref="M94:M100" si="26">N94+P94</f>
        <v>1.9</v>
      </c>
      <c r="N94" s="528">
        <v>1.9</v>
      </c>
      <c r="O94" s="528">
        <v>1.3</v>
      </c>
      <c r="P94" s="528"/>
      <c r="Q94" s="530">
        <f t="shared" ref="Q94:Q100" si="27">R94+T94</f>
        <v>1.9</v>
      </c>
      <c r="R94" s="528">
        <v>1.9</v>
      </c>
      <c r="S94" s="528">
        <v>1.3</v>
      </c>
      <c r="T94" s="1009"/>
    </row>
    <row r="95" spans="1:21" s="19" customFormat="1" x14ac:dyDescent="0.25">
      <c r="A95" s="116"/>
      <c r="B95" s="117"/>
      <c r="C95" s="666"/>
      <c r="D95" s="2814"/>
      <c r="E95" s="514"/>
      <c r="F95" s="69"/>
      <c r="G95" s="108"/>
      <c r="H95" s="110" t="s">
        <v>41</v>
      </c>
      <c r="I95" s="532">
        <f t="shared" si="25"/>
        <v>1068.8</v>
      </c>
      <c r="J95" s="533">
        <v>9.3000000000000007</v>
      </c>
      <c r="K95" s="533">
        <v>7.1</v>
      </c>
      <c r="L95" s="449">
        <v>1059.5</v>
      </c>
      <c r="M95" s="1014">
        <f t="shared" si="26"/>
        <v>1068.8</v>
      </c>
      <c r="N95" s="1015">
        <v>9.3000000000000007</v>
      </c>
      <c r="O95" s="1015">
        <v>7.1</v>
      </c>
      <c r="P95" s="1015">
        <v>1059.5</v>
      </c>
      <c r="Q95" s="1014">
        <f t="shared" si="27"/>
        <v>1068.8</v>
      </c>
      <c r="R95" s="1015">
        <v>9.3000000000000007</v>
      </c>
      <c r="S95" s="1015">
        <v>7.1</v>
      </c>
      <c r="T95" s="1016">
        <v>1059.5</v>
      </c>
    </row>
    <row r="96" spans="1:21" s="19" customFormat="1" x14ac:dyDescent="0.25">
      <c r="A96" s="116"/>
      <c r="B96" s="117"/>
      <c r="C96" s="770"/>
      <c r="D96" s="2814"/>
      <c r="E96" s="514"/>
      <c r="F96" s="69"/>
      <c r="G96" s="108"/>
      <c r="H96" s="704" t="s">
        <v>18</v>
      </c>
      <c r="I96" s="663">
        <f t="shared" si="25"/>
        <v>1259.7</v>
      </c>
      <c r="J96" s="672">
        <f>SUM(J93:J95)</f>
        <v>11.200000000000001</v>
      </c>
      <c r="K96" s="672">
        <f>SUM(K93:K95)</f>
        <v>8.4</v>
      </c>
      <c r="L96" s="664">
        <f>SUM(L93:L95)</f>
        <v>1248.5</v>
      </c>
      <c r="M96" s="663">
        <f t="shared" si="26"/>
        <v>1259.7</v>
      </c>
      <c r="N96" s="672">
        <f>SUM(N93:N95)</f>
        <v>11.200000000000001</v>
      </c>
      <c r="O96" s="672">
        <f>SUM(O93:O95)</f>
        <v>8.4</v>
      </c>
      <c r="P96" s="672">
        <f>SUM(P93:P95)</f>
        <v>1248.5</v>
      </c>
      <c r="Q96" s="663">
        <f t="shared" si="27"/>
        <v>1259.7</v>
      </c>
      <c r="R96" s="672">
        <f>SUM(R93:R95)</f>
        <v>11.200000000000001</v>
      </c>
      <c r="S96" s="672">
        <f>SUM(S93:S95)</f>
        <v>8.4</v>
      </c>
      <c r="T96" s="664">
        <f>SUM(T93:T95)</f>
        <v>1248.5</v>
      </c>
    </row>
    <row r="97" spans="1:26" s="19" customFormat="1" ht="14.25" customHeight="1" x14ac:dyDescent="0.25">
      <c r="A97" s="116"/>
      <c r="B97" s="117"/>
      <c r="C97" s="666"/>
      <c r="D97" s="2813" t="s">
        <v>197</v>
      </c>
      <c r="E97" s="514"/>
      <c r="F97" s="69"/>
      <c r="G97" s="108"/>
      <c r="H97" s="107" t="s">
        <v>52</v>
      </c>
      <c r="I97" s="446">
        <f t="shared" si="25"/>
        <v>259.89999999999998</v>
      </c>
      <c r="J97" s="447"/>
      <c r="K97" s="447"/>
      <c r="L97" s="448">
        <v>259.89999999999998</v>
      </c>
      <c r="M97" s="985">
        <f t="shared" si="26"/>
        <v>259.89999999999998</v>
      </c>
      <c r="N97" s="537"/>
      <c r="O97" s="537"/>
      <c r="P97" s="537">
        <v>259.89999999999998</v>
      </c>
      <c r="Q97" s="985">
        <f t="shared" si="27"/>
        <v>259.89999999999998</v>
      </c>
      <c r="R97" s="537"/>
      <c r="S97" s="537"/>
      <c r="T97" s="1013">
        <v>259.89999999999998</v>
      </c>
    </row>
    <row r="98" spans="1:26" s="19" customFormat="1" ht="14.25" customHeight="1" x14ac:dyDescent="0.25">
      <c r="A98" s="116"/>
      <c r="B98" s="117"/>
      <c r="C98" s="666"/>
      <c r="D98" s="2814"/>
      <c r="E98" s="514"/>
      <c r="F98" s="69"/>
      <c r="G98" s="108"/>
      <c r="H98" s="104" t="s">
        <v>27</v>
      </c>
      <c r="I98" s="531">
        <f t="shared" si="25"/>
        <v>7</v>
      </c>
      <c r="J98" s="529">
        <v>7</v>
      </c>
      <c r="K98" s="529">
        <v>1.4</v>
      </c>
      <c r="L98" s="439"/>
      <c r="M98" s="530">
        <f t="shared" si="26"/>
        <v>7</v>
      </c>
      <c r="N98" s="528">
        <v>7</v>
      </c>
      <c r="O98" s="528">
        <v>1.4</v>
      </c>
      <c r="P98" s="528"/>
      <c r="Q98" s="530">
        <f t="shared" si="27"/>
        <v>7</v>
      </c>
      <c r="R98" s="528">
        <v>7</v>
      </c>
      <c r="S98" s="528">
        <v>1.4</v>
      </c>
      <c r="T98" s="1009"/>
    </row>
    <row r="99" spans="1:26" s="19" customFormat="1" ht="14.25" customHeight="1" x14ac:dyDescent="0.25">
      <c r="A99" s="116"/>
      <c r="B99" s="117"/>
      <c r="C99" s="666"/>
      <c r="D99" s="2814"/>
      <c r="E99" s="514"/>
      <c r="F99" s="69"/>
      <c r="G99" s="108"/>
      <c r="H99" s="104" t="s">
        <v>41</v>
      </c>
      <c r="I99" s="531">
        <f t="shared" si="25"/>
        <v>1455.3</v>
      </c>
      <c r="J99" s="529">
        <v>39.700000000000003</v>
      </c>
      <c r="K99" s="529">
        <v>7.7</v>
      </c>
      <c r="L99" s="439">
        <v>1415.6</v>
      </c>
      <c r="M99" s="530">
        <f t="shared" si="26"/>
        <v>1455.3</v>
      </c>
      <c r="N99" s="528">
        <v>39.700000000000003</v>
      </c>
      <c r="O99" s="528">
        <v>7.7</v>
      </c>
      <c r="P99" s="528">
        <v>1415.6</v>
      </c>
      <c r="Q99" s="530">
        <f t="shared" si="27"/>
        <v>1455.3</v>
      </c>
      <c r="R99" s="528">
        <v>39.700000000000003</v>
      </c>
      <c r="S99" s="528">
        <v>7.7</v>
      </c>
      <c r="T99" s="1009">
        <v>1415.6</v>
      </c>
    </row>
    <row r="100" spans="1:26" s="19" customFormat="1" ht="14.25" customHeight="1" x14ac:dyDescent="0.25">
      <c r="A100" s="116"/>
      <c r="B100" s="117"/>
      <c r="C100" s="666"/>
      <c r="D100" s="2814"/>
      <c r="E100" s="515"/>
      <c r="F100" s="304"/>
      <c r="G100" s="516"/>
      <c r="H100" s="484" t="s">
        <v>18</v>
      </c>
      <c r="I100" s="450">
        <f t="shared" si="25"/>
        <v>1722.2</v>
      </c>
      <c r="J100" s="451">
        <f>SUM(J97:J99)</f>
        <v>46.7</v>
      </c>
      <c r="K100" s="451">
        <f>SUM(K97:K99)</f>
        <v>9.1</v>
      </c>
      <c r="L100" s="452">
        <f>SUM(L97:L99)</f>
        <v>1675.5</v>
      </c>
      <c r="M100" s="450">
        <f t="shared" si="26"/>
        <v>1722.2</v>
      </c>
      <c r="N100" s="451">
        <f>SUM(N97:N99)</f>
        <v>46.7</v>
      </c>
      <c r="O100" s="451">
        <f>SUM(O97:O99)</f>
        <v>9.1</v>
      </c>
      <c r="P100" s="451">
        <f>SUM(P97:P99)</f>
        <v>1675.5</v>
      </c>
      <c r="Q100" s="450">
        <f t="shared" si="27"/>
        <v>1722.2</v>
      </c>
      <c r="R100" s="451">
        <f>SUM(R97:R99)</f>
        <v>46.7</v>
      </c>
      <c r="S100" s="451">
        <f>SUM(S97:S99)</f>
        <v>9.1</v>
      </c>
      <c r="T100" s="452">
        <f>SUM(T97:T99)</f>
        <v>1675.5</v>
      </c>
    </row>
    <row r="101" spans="1:26" s="19" customFormat="1" ht="14.25" customHeight="1" thickBot="1" x14ac:dyDescent="0.3">
      <c r="A101" s="116"/>
      <c r="B101" s="117"/>
      <c r="C101" s="666"/>
      <c r="D101" s="2908"/>
      <c r="E101" s="2905" t="s">
        <v>227</v>
      </c>
      <c r="F101" s="2906"/>
      <c r="G101" s="2906"/>
      <c r="H101" s="2907"/>
      <c r="I101" s="663">
        <f>I100+I96+I92</f>
        <v>4860.1000000000004</v>
      </c>
      <c r="J101" s="868">
        <f t="shared" ref="J101:L101" si="28">J100+J96+J92</f>
        <v>69.7</v>
      </c>
      <c r="K101" s="868">
        <f t="shared" si="28"/>
        <v>26.4</v>
      </c>
      <c r="L101" s="867">
        <f t="shared" si="28"/>
        <v>4790.3999999999996</v>
      </c>
      <c r="M101" s="663">
        <f>M100+M96+M92</f>
        <v>4860.1000000000004</v>
      </c>
      <c r="N101" s="868">
        <f t="shared" ref="N101:P101" si="29">N100+N96+N92</f>
        <v>69.7</v>
      </c>
      <c r="O101" s="868">
        <f t="shared" si="29"/>
        <v>26.4</v>
      </c>
      <c r="P101" s="867">
        <f t="shared" si="29"/>
        <v>4790.3999999999996</v>
      </c>
      <c r="Q101" s="663">
        <f>Q100+Q96+Q92</f>
        <v>4860.1000000000004</v>
      </c>
      <c r="R101" s="868">
        <f t="shared" ref="R101:T101" si="30">R100+R96+R92</f>
        <v>69.7</v>
      </c>
      <c r="S101" s="868">
        <f t="shared" si="30"/>
        <v>26.4</v>
      </c>
      <c r="T101" s="455">
        <f t="shared" si="30"/>
        <v>4790.3999999999996</v>
      </c>
    </row>
    <row r="102" spans="1:26" s="19" customFormat="1" ht="41.25" customHeight="1" thickBot="1" x14ac:dyDescent="0.3">
      <c r="A102" s="802" t="s">
        <v>13</v>
      </c>
      <c r="B102" s="803" t="s">
        <v>22</v>
      </c>
      <c r="C102" s="865" t="s">
        <v>19</v>
      </c>
      <c r="D102" s="705" t="s">
        <v>43</v>
      </c>
      <c r="E102" s="703"/>
      <c r="F102" s="804"/>
      <c r="G102" s="805"/>
      <c r="H102" s="806"/>
      <c r="I102" s="807"/>
      <c r="J102" s="808"/>
      <c r="K102" s="809"/>
      <c r="L102" s="810"/>
      <c r="M102" s="1017"/>
      <c r="N102" s="1018"/>
      <c r="O102" s="1019"/>
      <c r="P102" s="1020"/>
      <c r="Q102" s="1017"/>
      <c r="R102" s="1018"/>
      <c r="S102" s="1019"/>
      <c r="T102" s="1056"/>
      <c r="V102" s="2776"/>
      <c r="W102" s="624"/>
      <c r="X102" s="624"/>
      <c r="Y102" s="624"/>
    </row>
    <row r="103" spans="1:26" s="19" customFormat="1" ht="26.25" customHeight="1" x14ac:dyDescent="0.25">
      <c r="A103" s="118"/>
      <c r="B103" s="119"/>
      <c r="C103" s="665"/>
      <c r="D103" s="2847" t="s">
        <v>207</v>
      </c>
      <c r="E103" s="660" t="s">
        <v>59</v>
      </c>
      <c r="F103" s="499" t="s">
        <v>16</v>
      </c>
      <c r="G103" s="662">
        <v>5</v>
      </c>
      <c r="H103" s="876" t="s">
        <v>27</v>
      </c>
      <c r="I103" s="877">
        <f>J103+L103</f>
        <v>1002.6</v>
      </c>
      <c r="J103" s="659"/>
      <c r="K103" s="659"/>
      <c r="L103" s="878">
        <v>1002.6</v>
      </c>
      <c r="M103" s="1021">
        <f>N103+P103</f>
        <v>1002.6</v>
      </c>
      <c r="N103" s="1022"/>
      <c r="O103" s="1022"/>
      <c r="P103" s="1023">
        <v>1002.6</v>
      </c>
      <c r="Q103" s="1021">
        <f>R103+T103</f>
        <v>1002.6</v>
      </c>
      <c r="R103" s="1022"/>
      <c r="S103" s="1022"/>
      <c r="T103" s="1057">
        <v>1002.6</v>
      </c>
      <c r="V103" s="2776"/>
      <c r="W103" s="624"/>
      <c r="X103" s="624"/>
      <c r="Y103" s="624"/>
    </row>
    <row r="104" spans="1:26" s="19" customFormat="1" ht="26.25" customHeight="1" x14ac:dyDescent="0.25">
      <c r="A104" s="116"/>
      <c r="B104" s="117"/>
      <c r="C104" s="666"/>
      <c r="D104" s="2814"/>
      <c r="E104" s="184"/>
      <c r="F104" s="186"/>
      <c r="G104" s="185"/>
      <c r="H104" s="104"/>
      <c r="I104" s="438"/>
      <c r="J104" s="413"/>
      <c r="K104" s="413"/>
      <c r="L104" s="529"/>
      <c r="M104" s="527"/>
      <c r="N104" s="1008"/>
      <c r="O104" s="1008"/>
      <c r="P104" s="528"/>
      <c r="Q104" s="527"/>
      <c r="R104" s="1008"/>
      <c r="S104" s="1008"/>
      <c r="T104" s="1009"/>
      <c r="V104" s="932"/>
      <c r="W104" s="624"/>
      <c r="X104" s="624"/>
      <c r="Y104" s="624"/>
    </row>
    <row r="105" spans="1:26" s="19" customFormat="1" ht="26.25" customHeight="1" x14ac:dyDescent="0.25">
      <c r="A105" s="116"/>
      <c r="B105" s="117"/>
      <c r="C105" s="666"/>
      <c r="D105" s="2814"/>
      <c r="E105" s="184"/>
      <c r="F105" s="186"/>
      <c r="G105" s="185"/>
      <c r="H105" s="107" t="s">
        <v>41</v>
      </c>
      <c r="I105" s="459">
        <f t="shared" ref="I105:I106" si="31">J105+L105</f>
        <v>511.3</v>
      </c>
      <c r="J105" s="447">
        <v>18.8</v>
      </c>
      <c r="K105" s="447">
        <v>14.4</v>
      </c>
      <c r="L105" s="447">
        <v>492.5</v>
      </c>
      <c r="M105" s="536">
        <f t="shared" ref="M105:M106" si="32">N105+P105</f>
        <v>511.3</v>
      </c>
      <c r="N105" s="537">
        <v>18.8</v>
      </c>
      <c r="O105" s="537">
        <v>14.4</v>
      </c>
      <c r="P105" s="537">
        <v>492.5</v>
      </c>
      <c r="Q105" s="536">
        <f t="shared" ref="Q105:Q106" si="33">R105+T105</f>
        <v>511.3</v>
      </c>
      <c r="R105" s="537">
        <v>18.8</v>
      </c>
      <c r="S105" s="537">
        <v>14.4</v>
      </c>
      <c r="T105" s="1013">
        <v>492.5</v>
      </c>
      <c r="W105" s="670"/>
      <c r="X105" s="670"/>
      <c r="Y105" s="670"/>
    </row>
    <row r="106" spans="1:26" s="19" customFormat="1" ht="26.25" customHeight="1" x14ac:dyDescent="0.25">
      <c r="A106" s="116"/>
      <c r="B106" s="117"/>
      <c r="C106" s="666"/>
      <c r="D106" s="2814"/>
      <c r="E106" s="184"/>
      <c r="F106" s="186"/>
      <c r="G106" s="185"/>
      <c r="H106" s="107" t="s">
        <v>21</v>
      </c>
      <c r="I106" s="459">
        <f t="shared" si="31"/>
        <v>90.2</v>
      </c>
      <c r="J106" s="447">
        <v>3.3</v>
      </c>
      <c r="K106" s="447">
        <v>2.5</v>
      </c>
      <c r="L106" s="447">
        <v>86.9</v>
      </c>
      <c r="M106" s="536">
        <f t="shared" si="32"/>
        <v>90.2</v>
      </c>
      <c r="N106" s="537">
        <v>3.3</v>
      </c>
      <c r="O106" s="537">
        <v>2.5</v>
      </c>
      <c r="P106" s="537">
        <v>86.9</v>
      </c>
      <c r="Q106" s="536">
        <f t="shared" si="33"/>
        <v>90.2</v>
      </c>
      <c r="R106" s="537">
        <v>3.3</v>
      </c>
      <c r="S106" s="537">
        <v>2.5</v>
      </c>
      <c r="T106" s="1013">
        <v>86.9</v>
      </c>
      <c r="W106" s="670"/>
      <c r="X106" s="670"/>
      <c r="Y106" s="670"/>
    </row>
    <row r="107" spans="1:26" s="19" customFormat="1" ht="24.75" customHeight="1" x14ac:dyDescent="0.2">
      <c r="A107" s="116"/>
      <c r="B107" s="117"/>
      <c r="C107" s="666"/>
      <c r="D107" s="2848"/>
      <c r="E107" s="184"/>
      <c r="F107" s="186"/>
      <c r="G107" s="185"/>
      <c r="H107" s="719" t="s">
        <v>18</v>
      </c>
      <c r="I107" s="720">
        <f>J107+L107</f>
        <v>1604.1</v>
      </c>
      <c r="J107" s="721">
        <f>SUM(J103:J106)</f>
        <v>22.1</v>
      </c>
      <c r="K107" s="721">
        <f>SUM(K103:K106)</f>
        <v>16.899999999999999</v>
      </c>
      <c r="L107" s="721">
        <f>SUM(L103:L106)</f>
        <v>1582</v>
      </c>
      <c r="M107" s="720">
        <f>N107+P107</f>
        <v>1604.1</v>
      </c>
      <c r="N107" s="721">
        <f>SUM(N103:N106)</f>
        <v>22.1</v>
      </c>
      <c r="O107" s="721">
        <f>SUM(O103:O106)</f>
        <v>16.899999999999999</v>
      </c>
      <c r="P107" s="721">
        <f>SUM(P103:P106)</f>
        <v>1582</v>
      </c>
      <c r="Q107" s="720">
        <f>R107+T107</f>
        <v>1604.1</v>
      </c>
      <c r="R107" s="721">
        <f>SUM(R103:R106)</f>
        <v>22.1</v>
      </c>
      <c r="S107" s="721">
        <f>SUM(S103:S106)</f>
        <v>16.899999999999999</v>
      </c>
      <c r="T107" s="722">
        <f>SUM(T103:T106)</f>
        <v>1582</v>
      </c>
      <c r="V107" s="649"/>
      <c r="W107" s="671"/>
      <c r="X107" s="671"/>
      <c r="Y107" s="671"/>
      <c r="Z107" s="17"/>
    </row>
    <row r="108" spans="1:26" s="19" customFormat="1" ht="12.75" customHeight="1" x14ac:dyDescent="0.25">
      <c r="A108" s="116"/>
      <c r="B108" s="117"/>
      <c r="C108" s="666"/>
      <c r="D108" s="2890" t="s">
        <v>208</v>
      </c>
      <c r="E108" s="184"/>
      <c r="F108" s="186"/>
      <c r="G108" s="185"/>
      <c r="H108" s="681" t="s">
        <v>27</v>
      </c>
      <c r="I108" s="440">
        <f>J108+L108</f>
        <v>50</v>
      </c>
      <c r="J108" s="453"/>
      <c r="K108" s="453"/>
      <c r="L108" s="441">
        <v>50</v>
      </c>
      <c r="M108" s="1010">
        <f>N108+P108</f>
        <v>50</v>
      </c>
      <c r="N108" s="989"/>
      <c r="O108" s="989"/>
      <c r="P108" s="1011">
        <v>50</v>
      </c>
      <c r="Q108" s="1010">
        <f>R108+T108</f>
        <v>50</v>
      </c>
      <c r="R108" s="989"/>
      <c r="S108" s="989"/>
      <c r="T108" s="1012">
        <v>50</v>
      </c>
    </row>
    <row r="109" spans="1:26" s="19" customFormat="1" ht="14.25" customHeight="1" x14ac:dyDescent="0.25">
      <c r="A109" s="116"/>
      <c r="B109" s="117"/>
      <c r="C109" s="666"/>
      <c r="D109" s="2891"/>
      <c r="E109" s="189"/>
      <c r="G109" s="190"/>
      <c r="H109" s="681"/>
      <c r="I109" s="440"/>
      <c r="J109" s="441"/>
      <c r="K109" s="441"/>
      <c r="L109" s="441"/>
      <c r="M109" s="1010"/>
      <c r="N109" s="1011"/>
      <c r="O109" s="1011"/>
      <c r="P109" s="1011"/>
      <c r="Q109" s="1010"/>
      <c r="R109" s="1011"/>
      <c r="S109" s="1011"/>
      <c r="T109" s="1012"/>
    </row>
    <row r="110" spans="1:26" s="19" customFormat="1" ht="12.75" customHeight="1" x14ac:dyDescent="0.25">
      <c r="A110" s="116"/>
      <c r="B110" s="117"/>
      <c r="C110" s="666"/>
      <c r="D110" s="2892"/>
      <c r="E110" s="189"/>
      <c r="F110" s="186"/>
      <c r="G110" s="190"/>
      <c r="H110" s="719" t="s">
        <v>18</v>
      </c>
      <c r="I110" s="720">
        <f>J110+L110</f>
        <v>50</v>
      </c>
      <c r="J110" s="721"/>
      <c r="K110" s="721"/>
      <c r="L110" s="721">
        <f>SUM(L108:L109)</f>
        <v>50</v>
      </c>
      <c r="M110" s="720">
        <f>N110+P110</f>
        <v>50</v>
      </c>
      <c r="N110" s="721"/>
      <c r="O110" s="721"/>
      <c r="P110" s="721">
        <f>SUM(P108:P109)</f>
        <v>50</v>
      </c>
      <c r="Q110" s="720">
        <f>R110+T110</f>
        <v>50</v>
      </c>
      <c r="R110" s="721"/>
      <c r="S110" s="721"/>
      <c r="T110" s="722">
        <f>SUM(T108:T109)</f>
        <v>50</v>
      </c>
    </row>
    <row r="111" spans="1:26" s="19" customFormat="1" ht="18" customHeight="1" x14ac:dyDescent="0.25">
      <c r="A111" s="116"/>
      <c r="B111" s="117"/>
      <c r="C111" s="666"/>
      <c r="D111" s="2891" t="s">
        <v>209</v>
      </c>
      <c r="E111" s="184"/>
      <c r="F111" s="69"/>
      <c r="G111" s="682"/>
      <c r="H111" s="187" t="s">
        <v>42</v>
      </c>
      <c r="I111" s="438">
        <f>J111+L111</f>
        <v>100</v>
      </c>
      <c r="J111" s="413"/>
      <c r="K111" s="413"/>
      <c r="L111" s="529">
        <v>100</v>
      </c>
      <c r="M111" s="527">
        <f>N111+P111</f>
        <v>100</v>
      </c>
      <c r="N111" s="1008"/>
      <c r="O111" s="1008"/>
      <c r="P111" s="528">
        <v>100</v>
      </c>
      <c r="Q111" s="527">
        <f>R111+T111</f>
        <v>100</v>
      </c>
      <c r="R111" s="1008"/>
      <c r="S111" s="1008"/>
      <c r="T111" s="1009">
        <v>100</v>
      </c>
    </row>
    <row r="112" spans="1:26" s="19" customFormat="1" ht="18" customHeight="1" x14ac:dyDescent="0.25">
      <c r="A112" s="116"/>
      <c r="B112" s="117"/>
      <c r="C112" s="666"/>
      <c r="D112" s="2891"/>
      <c r="E112" s="189"/>
      <c r="G112" s="498"/>
      <c r="H112" s="188" t="s">
        <v>27</v>
      </c>
      <c r="I112" s="459"/>
      <c r="J112" s="447"/>
      <c r="K112" s="447"/>
      <c r="L112" s="447"/>
      <c r="M112" s="536"/>
      <c r="N112" s="537"/>
      <c r="O112" s="537"/>
      <c r="P112" s="537"/>
      <c r="Q112" s="536"/>
      <c r="R112" s="537"/>
      <c r="S112" s="537"/>
      <c r="T112" s="1013"/>
    </row>
    <row r="113" spans="1:22" s="19" customFormat="1" x14ac:dyDescent="0.25">
      <c r="A113" s="116"/>
      <c r="B113" s="117"/>
      <c r="C113" s="666"/>
      <c r="D113" s="2891"/>
      <c r="E113" s="728"/>
      <c r="F113" s="729"/>
      <c r="G113" s="730"/>
      <c r="H113" s="485" t="s">
        <v>18</v>
      </c>
      <c r="I113" s="443">
        <f>J113+L113</f>
        <v>100</v>
      </c>
      <c r="J113" s="444"/>
      <c r="K113" s="444"/>
      <c r="L113" s="444">
        <f>SUM(L111:L112)</f>
        <v>100</v>
      </c>
      <c r="M113" s="443">
        <f>N113+P113</f>
        <v>100</v>
      </c>
      <c r="N113" s="444"/>
      <c r="O113" s="444"/>
      <c r="P113" s="444">
        <f>SUM(P111:P112)</f>
        <v>100</v>
      </c>
      <c r="Q113" s="443">
        <f>R113+T113</f>
        <v>100</v>
      </c>
      <c r="R113" s="444"/>
      <c r="S113" s="444"/>
      <c r="T113" s="445">
        <f>SUM(T111:T112)</f>
        <v>100</v>
      </c>
    </row>
    <row r="114" spans="1:22" x14ac:dyDescent="0.2">
      <c r="A114" s="116"/>
      <c r="B114" s="117"/>
      <c r="C114" s="666"/>
      <c r="D114" s="2893" t="s">
        <v>210</v>
      </c>
      <c r="E114" s="324"/>
      <c r="F114" s="517" t="s">
        <v>16</v>
      </c>
      <c r="G114" s="2895" t="s">
        <v>35</v>
      </c>
      <c r="H114" s="677" t="s">
        <v>27</v>
      </c>
      <c r="I114" s="385">
        <f>J114+L114</f>
        <v>37.299999999999997</v>
      </c>
      <c r="J114" s="386">
        <v>37.299999999999997</v>
      </c>
      <c r="K114" s="386"/>
      <c r="L114" s="391"/>
      <c r="M114" s="628">
        <f>N114+P114</f>
        <v>37.299999999999997</v>
      </c>
      <c r="N114" s="327">
        <v>37.299999999999997</v>
      </c>
      <c r="O114" s="327"/>
      <c r="P114" s="1024"/>
      <c r="Q114" s="628">
        <f>R114+T114</f>
        <v>37.299999999999997</v>
      </c>
      <c r="R114" s="327">
        <v>37.299999999999997</v>
      </c>
      <c r="S114" s="327"/>
      <c r="T114" s="1058"/>
      <c r="V114" s="113"/>
    </row>
    <row r="115" spans="1:22" x14ac:dyDescent="0.2">
      <c r="A115" s="116"/>
      <c r="B115" s="117"/>
      <c r="C115" s="666"/>
      <c r="D115" s="2894"/>
      <c r="E115" s="191"/>
      <c r="F115" s="518"/>
      <c r="G115" s="2896"/>
      <c r="H115" s="673"/>
      <c r="I115" s="674"/>
      <c r="J115" s="675"/>
      <c r="K115" s="675"/>
      <c r="L115" s="735"/>
      <c r="M115" s="1025"/>
      <c r="N115" s="1026"/>
      <c r="O115" s="1026"/>
      <c r="P115" s="1027"/>
      <c r="Q115" s="1025"/>
      <c r="R115" s="1026"/>
      <c r="S115" s="1026"/>
      <c r="T115" s="1059"/>
      <c r="V115" s="113"/>
    </row>
    <row r="116" spans="1:22" x14ac:dyDescent="0.2">
      <c r="A116" s="116"/>
      <c r="B116" s="117"/>
      <c r="C116" s="666"/>
      <c r="D116" s="2893" t="s">
        <v>144</v>
      </c>
      <c r="E116" s="191"/>
      <c r="F116" s="518"/>
      <c r="G116" s="936"/>
      <c r="H116" s="679"/>
      <c r="I116" s="357"/>
      <c r="J116" s="358"/>
      <c r="K116" s="358"/>
      <c r="L116" s="632"/>
      <c r="M116" s="966"/>
      <c r="N116" s="328"/>
      <c r="O116" s="328"/>
      <c r="P116" s="967"/>
      <c r="Q116" s="966"/>
      <c r="R116" s="328"/>
      <c r="S116" s="328"/>
      <c r="T116" s="526"/>
    </row>
    <row r="117" spans="1:22" x14ac:dyDescent="0.2">
      <c r="A117" s="116"/>
      <c r="B117" s="117"/>
      <c r="C117" s="666"/>
      <c r="D117" s="2901"/>
      <c r="E117" s="191"/>
      <c r="F117" s="518"/>
      <c r="G117" s="936"/>
      <c r="H117" s="485" t="s">
        <v>18</v>
      </c>
      <c r="I117" s="732">
        <f>J117+L117</f>
        <v>37.299999999999997</v>
      </c>
      <c r="J117" s="733">
        <f>SUM(J114:J116)</f>
        <v>37.299999999999997</v>
      </c>
      <c r="K117" s="733"/>
      <c r="L117" s="738"/>
      <c r="M117" s="732">
        <f>N117+P117</f>
        <v>37.299999999999997</v>
      </c>
      <c r="N117" s="733">
        <f>SUM(N114:N116)</f>
        <v>37.299999999999997</v>
      </c>
      <c r="O117" s="733"/>
      <c r="P117" s="738"/>
      <c r="Q117" s="732">
        <f>R117+T117</f>
        <v>37.299999999999997</v>
      </c>
      <c r="R117" s="733">
        <f>SUM(R114:R116)</f>
        <v>37.299999999999997</v>
      </c>
      <c r="S117" s="733"/>
      <c r="T117" s="1060"/>
    </row>
    <row r="118" spans="1:22" x14ac:dyDescent="0.2">
      <c r="A118" s="116"/>
      <c r="B118" s="117"/>
      <c r="C118" s="666"/>
      <c r="D118" s="2893" t="s">
        <v>211</v>
      </c>
      <c r="E118" s="324"/>
      <c r="F118" s="938" t="s">
        <v>16</v>
      </c>
      <c r="G118" s="325" t="s">
        <v>26</v>
      </c>
      <c r="H118" s="677" t="s">
        <v>27</v>
      </c>
      <c r="I118" s="385"/>
      <c r="J118" s="386"/>
      <c r="K118" s="386"/>
      <c r="L118" s="391"/>
      <c r="M118" s="628"/>
      <c r="N118" s="327"/>
      <c r="O118" s="327"/>
      <c r="P118" s="1024"/>
      <c r="Q118" s="628"/>
      <c r="R118" s="327"/>
      <c r="S118" s="327"/>
      <c r="T118" s="1058"/>
      <c r="U118" s="196"/>
    </row>
    <row r="119" spans="1:22" x14ac:dyDescent="0.2">
      <c r="A119" s="116"/>
      <c r="B119" s="117"/>
      <c r="C119" s="666"/>
      <c r="D119" s="2805"/>
      <c r="E119" s="191"/>
      <c r="F119" s="925"/>
      <c r="G119" s="936"/>
      <c r="H119" s="667" t="s">
        <v>18</v>
      </c>
      <c r="I119" s="378"/>
      <c r="J119" s="393"/>
      <c r="K119" s="379"/>
      <c r="L119" s="394"/>
      <c r="M119" s="378"/>
      <c r="N119" s="393"/>
      <c r="O119" s="379"/>
      <c r="P119" s="394"/>
      <c r="Q119" s="378"/>
      <c r="R119" s="393"/>
      <c r="S119" s="379"/>
      <c r="T119" s="479"/>
    </row>
    <row r="120" spans="1:22" ht="13.5" thickBot="1" x14ac:dyDescent="0.25">
      <c r="A120" s="116"/>
      <c r="B120" s="734"/>
      <c r="C120" s="866"/>
      <c r="D120" s="2806"/>
      <c r="E120" s="2902" t="s">
        <v>227</v>
      </c>
      <c r="F120" s="2903"/>
      <c r="G120" s="2903"/>
      <c r="H120" s="2904"/>
      <c r="I120" s="367">
        <f>I119+I117+I113+I110+I107</f>
        <v>1791.3999999999999</v>
      </c>
      <c r="J120" s="362">
        <f t="shared" ref="J120:L120" si="34">J119+J117+J113+J110+J107</f>
        <v>59.4</v>
      </c>
      <c r="K120" s="361">
        <f t="shared" si="34"/>
        <v>16.899999999999999</v>
      </c>
      <c r="L120" s="368">
        <f t="shared" si="34"/>
        <v>1732</v>
      </c>
      <c r="M120" s="367">
        <f>M119+M117+M113+M110+M107</f>
        <v>1791.3999999999999</v>
      </c>
      <c r="N120" s="362">
        <f t="shared" ref="N120:P120" si="35">N119+N117+N113+N110+N107</f>
        <v>59.4</v>
      </c>
      <c r="O120" s="361">
        <f t="shared" si="35"/>
        <v>16.899999999999999</v>
      </c>
      <c r="P120" s="472">
        <f t="shared" si="35"/>
        <v>1732</v>
      </c>
      <c r="Q120" s="367">
        <f>Q119+Q117+Q113+Q110+Q107</f>
        <v>1791.3999999999999</v>
      </c>
      <c r="R120" s="362">
        <f t="shared" ref="R120:T120" si="36">R119+R117+R113+R110+R107</f>
        <v>59.4</v>
      </c>
      <c r="S120" s="361">
        <f t="shared" si="36"/>
        <v>16.899999999999999</v>
      </c>
      <c r="T120" s="368">
        <f t="shared" si="36"/>
        <v>1732</v>
      </c>
    </row>
    <row r="121" spans="1:22" s="18" customFormat="1" ht="13.5" thickBot="1" x14ac:dyDescent="0.3">
      <c r="A121" s="23" t="s">
        <v>13</v>
      </c>
      <c r="B121" s="114" t="s">
        <v>22</v>
      </c>
      <c r="C121" s="2811" t="s">
        <v>30</v>
      </c>
      <c r="D121" s="2800"/>
      <c r="E121" s="2800"/>
      <c r="F121" s="2800"/>
      <c r="G121" s="2800"/>
      <c r="H121" s="2812"/>
      <c r="I121" s="255">
        <f>I120+I101</f>
        <v>6651.5</v>
      </c>
      <c r="J121" s="122">
        <f t="shared" ref="J121:L121" si="37">J120+J101</f>
        <v>129.1</v>
      </c>
      <c r="K121" s="123">
        <f t="shared" si="37"/>
        <v>43.3</v>
      </c>
      <c r="L121" s="668">
        <f t="shared" si="37"/>
        <v>6522.4</v>
      </c>
      <c r="M121" s="255">
        <f>M120+M101</f>
        <v>6651.5</v>
      </c>
      <c r="N121" s="122">
        <f t="shared" ref="N121:P121" si="38">N120+N101</f>
        <v>129.1</v>
      </c>
      <c r="O121" s="123">
        <f t="shared" si="38"/>
        <v>43.3</v>
      </c>
      <c r="P121" s="300">
        <f t="shared" si="38"/>
        <v>6522.4</v>
      </c>
      <c r="Q121" s="255">
        <f>Q120+Q101</f>
        <v>6651.5</v>
      </c>
      <c r="R121" s="122">
        <f t="shared" ref="R121:T121" si="39">R120+R101</f>
        <v>129.1</v>
      </c>
      <c r="S121" s="123">
        <f t="shared" si="39"/>
        <v>43.3</v>
      </c>
      <c r="T121" s="668">
        <f t="shared" si="39"/>
        <v>6522.4</v>
      </c>
    </row>
    <row r="122" spans="1:22" ht="13.5" thickBot="1" x14ac:dyDescent="0.25">
      <c r="A122" s="23" t="s">
        <v>13</v>
      </c>
      <c r="B122" s="114" t="s">
        <v>24</v>
      </c>
      <c r="C122" s="2898" t="s">
        <v>96</v>
      </c>
      <c r="D122" s="2899"/>
      <c r="E122" s="2899"/>
      <c r="F122" s="2899"/>
      <c r="G122" s="2899"/>
      <c r="H122" s="2899"/>
      <c r="I122" s="2899"/>
      <c r="J122" s="2899"/>
      <c r="K122" s="2899"/>
      <c r="L122" s="2899"/>
      <c r="M122" s="2899"/>
      <c r="N122" s="2899"/>
      <c r="O122" s="2899"/>
      <c r="P122" s="2899"/>
      <c r="Q122" s="1079"/>
      <c r="R122" s="1041"/>
      <c r="S122" s="1041"/>
      <c r="T122" s="1080"/>
    </row>
    <row r="123" spans="1:22" ht="12.75" customHeight="1" x14ac:dyDescent="0.2">
      <c r="A123" s="2870" t="s">
        <v>13</v>
      </c>
      <c r="B123" s="2873" t="s">
        <v>24</v>
      </c>
      <c r="C123" s="2876" t="s">
        <v>13</v>
      </c>
      <c r="D123" s="2879" t="s">
        <v>151</v>
      </c>
      <c r="E123" s="2880"/>
      <c r="F123" s="2884" t="s">
        <v>36</v>
      </c>
      <c r="G123" s="2885" t="s">
        <v>53</v>
      </c>
      <c r="H123" s="102" t="s">
        <v>27</v>
      </c>
      <c r="I123" s="440"/>
      <c r="J123" s="453"/>
      <c r="K123" s="453"/>
      <c r="L123" s="441"/>
      <c r="M123" s="655"/>
      <c r="N123" s="984"/>
      <c r="O123" s="984"/>
      <c r="P123" s="1073"/>
      <c r="Q123" s="1010"/>
      <c r="R123" s="989"/>
      <c r="S123" s="989"/>
      <c r="T123" s="1012"/>
    </row>
    <row r="124" spans="1:22" x14ac:dyDescent="0.2">
      <c r="A124" s="2871"/>
      <c r="B124" s="2874"/>
      <c r="C124" s="2877"/>
      <c r="D124" s="2798"/>
      <c r="E124" s="2881"/>
      <c r="F124" s="2796"/>
      <c r="G124" s="2886"/>
      <c r="H124" s="604" t="s">
        <v>27</v>
      </c>
      <c r="I124" s="438">
        <f>J124+L124</f>
        <v>300</v>
      </c>
      <c r="J124" s="412"/>
      <c r="K124" s="413"/>
      <c r="L124" s="412">
        <v>300</v>
      </c>
      <c r="M124" s="527">
        <f>N124+P124</f>
        <v>300</v>
      </c>
      <c r="N124" s="1028"/>
      <c r="O124" s="1008"/>
      <c r="P124" s="1028">
        <v>300</v>
      </c>
      <c r="Q124" s="527">
        <f>R124+T124</f>
        <v>300</v>
      </c>
      <c r="R124" s="1028"/>
      <c r="S124" s="1008"/>
      <c r="T124" s="1062">
        <v>300</v>
      </c>
    </row>
    <row r="125" spans="1:22" x14ac:dyDescent="0.2">
      <c r="A125" s="2871"/>
      <c r="B125" s="2874"/>
      <c r="C125" s="2877"/>
      <c r="D125" s="2798"/>
      <c r="E125" s="2881"/>
      <c r="F125" s="2796"/>
      <c r="G125" s="2886"/>
      <c r="H125" s="104" t="s">
        <v>148</v>
      </c>
      <c r="I125" s="438"/>
      <c r="J125" s="412"/>
      <c r="K125" s="413"/>
      <c r="L125" s="412"/>
      <c r="M125" s="527"/>
      <c r="N125" s="1028"/>
      <c r="O125" s="1008"/>
      <c r="P125" s="1028"/>
      <c r="Q125" s="527"/>
      <c r="R125" s="1028"/>
      <c r="S125" s="1008"/>
      <c r="T125" s="1062"/>
    </row>
    <row r="126" spans="1:22" x14ac:dyDescent="0.2">
      <c r="A126" s="2871"/>
      <c r="B126" s="2874"/>
      <c r="C126" s="2877"/>
      <c r="D126" s="2798"/>
      <c r="E126" s="2881"/>
      <c r="F126" s="2796"/>
      <c r="G126" s="2886"/>
      <c r="H126" s="104" t="s">
        <v>21</v>
      </c>
      <c r="I126" s="438">
        <f>J126+L126</f>
        <v>1300</v>
      </c>
      <c r="J126" s="412"/>
      <c r="K126" s="413"/>
      <c r="L126" s="412">
        <v>1300</v>
      </c>
      <c r="M126" s="527">
        <f>N126+P126</f>
        <v>1300</v>
      </c>
      <c r="N126" s="1028"/>
      <c r="O126" s="1008"/>
      <c r="P126" s="1028">
        <v>1300</v>
      </c>
      <c r="Q126" s="527">
        <f>R126+T126</f>
        <v>1300</v>
      </c>
      <c r="R126" s="1028"/>
      <c r="S126" s="1008"/>
      <c r="T126" s="1062">
        <v>1300</v>
      </c>
    </row>
    <row r="127" spans="1:22" ht="13.5" thickBot="1" x14ac:dyDescent="0.25">
      <c r="A127" s="2872"/>
      <c r="B127" s="2875"/>
      <c r="C127" s="2878"/>
      <c r="D127" s="2799"/>
      <c r="E127" s="2882"/>
      <c r="F127" s="2797"/>
      <c r="G127" s="2887"/>
      <c r="H127" s="486" t="s">
        <v>18</v>
      </c>
      <c r="I127" s="347">
        <f>SUM(I123:I126)</f>
        <v>1600</v>
      </c>
      <c r="J127" s="392"/>
      <c r="K127" s="348"/>
      <c r="L127" s="392">
        <f>SUM(L123:L126)</f>
        <v>1600</v>
      </c>
      <c r="M127" s="347">
        <f>SUM(M123:M126)</f>
        <v>1600</v>
      </c>
      <c r="N127" s="392"/>
      <c r="O127" s="348"/>
      <c r="P127" s="392">
        <f>SUM(P123:P126)</f>
        <v>1600</v>
      </c>
      <c r="Q127" s="347">
        <f>SUM(Q123:Q126)</f>
        <v>1600</v>
      </c>
      <c r="R127" s="392"/>
      <c r="S127" s="348"/>
      <c r="T127" s="384">
        <f>SUM(T123:T126)</f>
        <v>1600</v>
      </c>
    </row>
    <row r="128" spans="1:22" ht="51" x14ac:dyDescent="0.2">
      <c r="A128" s="118" t="s">
        <v>13</v>
      </c>
      <c r="B128" s="119" t="s">
        <v>24</v>
      </c>
      <c r="C128" s="937" t="s">
        <v>19</v>
      </c>
      <c r="D128" s="305" t="s">
        <v>97</v>
      </c>
      <c r="E128" s="695"/>
      <c r="F128" s="192"/>
      <c r="G128" s="926" t="s">
        <v>26</v>
      </c>
      <c r="H128" s="26" t="s">
        <v>32</v>
      </c>
      <c r="I128" s="690">
        <f>J128+L128</f>
        <v>2500</v>
      </c>
      <c r="J128" s="339">
        <v>2500</v>
      </c>
      <c r="K128" s="339"/>
      <c r="L128" s="691"/>
      <c r="M128" s="975">
        <f>N128+P128</f>
        <v>2500</v>
      </c>
      <c r="N128" s="949">
        <v>2500</v>
      </c>
      <c r="O128" s="949"/>
      <c r="P128" s="1029"/>
      <c r="Q128" s="975">
        <f>R128+T128</f>
        <v>2500</v>
      </c>
      <c r="R128" s="949">
        <v>2500</v>
      </c>
      <c r="S128" s="949"/>
      <c r="T128" s="976"/>
    </row>
    <row r="129" spans="1:22" ht="25.5" x14ac:dyDescent="0.2">
      <c r="A129" s="116"/>
      <c r="B129" s="117"/>
      <c r="C129" s="934"/>
      <c r="D129" s="916" t="s">
        <v>199</v>
      </c>
      <c r="E129" s="696"/>
      <c r="F129" s="925" t="s">
        <v>13</v>
      </c>
      <c r="G129" s="927"/>
      <c r="H129" s="33" t="s">
        <v>21</v>
      </c>
      <c r="I129" s="396">
        <f t="shared" ref="I129" si="40">J129+L129</f>
        <v>19</v>
      </c>
      <c r="J129" s="396">
        <v>19</v>
      </c>
      <c r="K129" s="396"/>
      <c r="L129" s="688"/>
      <c r="M129" s="966">
        <f t="shared" ref="M129" si="41">N129+P129</f>
        <v>19</v>
      </c>
      <c r="N129" s="978">
        <v>19</v>
      </c>
      <c r="O129" s="978"/>
      <c r="P129" s="1030"/>
      <c r="Q129" s="966">
        <f t="shared" ref="Q129" si="42">R129+T129</f>
        <v>19</v>
      </c>
      <c r="R129" s="978">
        <v>19</v>
      </c>
      <c r="S129" s="978"/>
      <c r="T129" s="979"/>
      <c r="U129" s="196"/>
      <c r="V129" s="113"/>
    </row>
    <row r="130" spans="1:22" ht="38.25" x14ac:dyDescent="0.2">
      <c r="A130" s="116"/>
      <c r="B130" s="117"/>
      <c r="C130" s="934"/>
      <c r="D130" s="930" t="s">
        <v>200</v>
      </c>
      <c r="E130" s="696"/>
      <c r="F130" s="519" t="s">
        <v>36</v>
      </c>
      <c r="G130" s="927"/>
      <c r="H130" s="71"/>
      <c r="I130" s="468"/>
      <c r="J130" s="684"/>
      <c r="K130" s="684"/>
      <c r="L130" s="685"/>
      <c r="M130" s="307"/>
      <c r="N130" s="1031"/>
      <c r="O130" s="1031"/>
      <c r="P130" s="1032"/>
      <c r="Q130" s="307"/>
      <c r="R130" s="1031"/>
      <c r="S130" s="1031"/>
      <c r="T130" s="1063"/>
      <c r="U130" s="196"/>
    </row>
    <row r="131" spans="1:22" ht="51" x14ac:dyDescent="0.2">
      <c r="A131" s="116"/>
      <c r="B131" s="117"/>
      <c r="C131" s="934"/>
      <c r="D131" s="929" t="s">
        <v>201</v>
      </c>
      <c r="E131" s="696"/>
      <c r="F131" s="938"/>
      <c r="G131" s="927"/>
      <c r="H131" s="33"/>
      <c r="I131" s="396"/>
      <c r="J131" s="396"/>
      <c r="K131" s="396"/>
      <c r="L131" s="688"/>
      <c r="M131" s="966"/>
      <c r="N131" s="978"/>
      <c r="O131" s="978"/>
      <c r="P131" s="1030"/>
      <c r="Q131" s="966"/>
      <c r="R131" s="978"/>
      <c r="S131" s="978"/>
      <c r="T131" s="979"/>
    </row>
    <row r="132" spans="1:22" ht="38.25" x14ac:dyDescent="0.2">
      <c r="A132" s="116"/>
      <c r="B132" s="117"/>
      <c r="C132" s="934"/>
      <c r="D132" s="916" t="s">
        <v>202</v>
      </c>
      <c r="E132" s="696"/>
      <c r="F132" s="925"/>
      <c r="G132" s="927"/>
      <c r="H132" s="33"/>
      <c r="I132" s="396"/>
      <c r="J132" s="686"/>
      <c r="K132" s="686"/>
      <c r="L132" s="687"/>
      <c r="M132" s="966"/>
      <c r="N132" s="1033"/>
      <c r="O132" s="1033"/>
      <c r="P132" s="1034"/>
      <c r="Q132" s="966"/>
      <c r="R132" s="1033"/>
      <c r="S132" s="1033"/>
      <c r="T132" s="1064"/>
    </row>
    <row r="133" spans="1:22" ht="25.5" x14ac:dyDescent="0.2">
      <c r="A133" s="116"/>
      <c r="B133" s="117"/>
      <c r="C133" s="2804"/>
      <c r="D133" s="916" t="s">
        <v>203</v>
      </c>
      <c r="E133" s="696"/>
      <c r="F133" s="925"/>
      <c r="G133" s="927"/>
      <c r="H133" s="33"/>
      <c r="I133" s="396"/>
      <c r="J133" s="686"/>
      <c r="K133" s="686"/>
      <c r="L133" s="687"/>
      <c r="M133" s="966"/>
      <c r="N133" s="1033"/>
      <c r="O133" s="1033"/>
      <c r="P133" s="1034"/>
      <c r="Q133" s="966"/>
      <c r="R133" s="1033"/>
      <c r="S133" s="1033"/>
      <c r="T133" s="1064"/>
      <c r="V133" s="113"/>
    </row>
    <row r="134" spans="1:22" ht="12.75" customHeight="1" x14ac:dyDescent="0.2">
      <c r="A134" s="116"/>
      <c r="B134" s="117"/>
      <c r="C134" s="2804"/>
      <c r="D134" s="2805" t="s">
        <v>78</v>
      </c>
      <c r="E134" s="696"/>
      <c r="F134" s="2796"/>
      <c r="G134" s="2807"/>
      <c r="H134" s="33"/>
      <c r="I134" s="396"/>
      <c r="J134" s="358"/>
      <c r="K134" s="358"/>
      <c r="L134" s="632"/>
      <c r="M134" s="966"/>
      <c r="N134" s="328"/>
      <c r="O134" s="328"/>
      <c r="P134" s="967"/>
      <c r="Q134" s="966"/>
      <c r="R134" s="328"/>
      <c r="S134" s="328"/>
      <c r="T134" s="526"/>
    </row>
    <row r="135" spans="1:22" ht="13.5" thickBot="1" x14ac:dyDescent="0.25">
      <c r="A135" s="935"/>
      <c r="B135" s="911"/>
      <c r="C135" s="2804"/>
      <c r="D135" s="2806"/>
      <c r="E135" s="697"/>
      <c r="F135" s="2797"/>
      <c r="G135" s="2808"/>
      <c r="H135" s="470" t="s">
        <v>18</v>
      </c>
      <c r="I135" s="363">
        <f>J135+L135</f>
        <v>2519</v>
      </c>
      <c r="J135" s="363">
        <f>SUM(J128:J134)</f>
        <v>2519</v>
      </c>
      <c r="K135" s="363"/>
      <c r="L135" s="361"/>
      <c r="M135" s="360">
        <f>N135+P135</f>
        <v>2519</v>
      </c>
      <c r="N135" s="363">
        <f>SUM(N128:N134)</f>
        <v>2519</v>
      </c>
      <c r="O135" s="363"/>
      <c r="P135" s="361"/>
      <c r="Q135" s="360">
        <f>R135+T135</f>
        <v>2519</v>
      </c>
      <c r="R135" s="363">
        <f>SUM(R128:R134)</f>
        <v>2519</v>
      </c>
      <c r="S135" s="363"/>
      <c r="T135" s="433"/>
    </row>
    <row r="136" spans="1:22" ht="39" thickBot="1" x14ac:dyDescent="0.25">
      <c r="A136" s="802" t="s">
        <v>13</v>
      </c>
      <c r="B136" s="803" t="s">
        <v>24</v>
      </c>
      <c r="C136" s="884" t="s">
        <v>22</v>
      </c>
      <c r="D136" s="885" t="s">
        <v>80</v>
      </c>
      <c r="E136" s="886"/>
      <c r="F136" s="887" t="s">
        <v>36</v>
      </c>
      <c r="G136" s="888"/>
      <c r="H136" s="889"/>
      <c r="I136" s="890"/>
      <c r="J136" s="891"/>
      <c r="K136" s="891"/>
      <c r="L136" s="1061"/>
      <c r="M136" s="1035"/>
      <c r="N136" s="1036"/>
      <c r="O136" s="1036"/>
      <c r="P136" s="1074"/>
      <c r="Q136" s="1035"/>
      <c r="R136" s="1036"/>
      <c r="S136" s="1036"/>
      <c r="T136" s="1037"/>
    </row>
    <row r="137" spans="1:22" ht="89.25" x14ac:dyDescent="0.2">
      <c r="A137" s="116"/>
      <c r="B137" s="117"/>
      <c r="C137" s="881"/>
      <c r="D137" s="883" t="s">
        <v>212</v>
      </c>
      <c r="E137" s="195"/>
      <c r="F137" s="2796" t="s">
        <v>36</v>
      </c>
      <c r="G137" s="13" t="s">
        <v>95</v>
      </c>
      <c r="H137" s="33" t="s">
        <v>27</v>
      </c>
      <c r="I137" s="354"/>
      <c r="J137" s="358"/>
      <c r="K137" s="358"/>
      <c r="L137" s="632"/>
      <c r="M137" s="307"/>
      <c r="N137" s="328"/>
      <c r="O137" s="328"/>
      <c r="P137" s="967"/>
      <c r="Q137" s="307"/>
      <c r="R137" s="328"/>
      <c r="S137" s="328"/>
      <c r="T137" s="526"/>
    </row>
    <row r="138" spans="1:22" x14ac:dyDescent="0.2">
      <c r="A138" s="207"/>
      <c r="B138" s="117"/>
      <c r="C138" s="881"/>
      <c r="D138" s="2798" t="s">
        <v>81</v>
      </c>
      <c r="E138" s="195"/>
      <c r="F138" s="2796"/>
      <c r="G138" s="313" t="s">
        <v>53</v>
      </c>
      <c r="H138" s="99" t="s">
        <v>21</v>
      </c>
      <c r="I138" s="385">
        <f>J138+L138</f>
        <v>619</v>
      </c>
      <c r="J138" s="400">
        <v>19</v>
      </c>
      <c r="K138" s="400"/>
      <c r="L138" s="401">
        <v>600</v>
      </c>
      <c r="M138" s="628">
        <f>N138+P138</f>
        <v>619</v>
      </c>
      <c r="N138" s="965">
        <v>19</v>
      </c>
      <c r="O138" s="965"/>
      <c r="P138" s="1047">
        <v>600</v>
      </c>
      <c r="Q138" s="628">
        <f>R138+T138</f>
        <v>619</v>
      </c>
      <c r="R138" s="965">
        <v>19</v>
      </c>
      <c r="S138" s="965"/>
      <c r="T138" s="1038">
        <v>600</v>
      </c>
    </row>
    <row r="139" spans="1:22" ht="13.5" thickBot="1" x14ac:dyDescent="0.25">
      <c r="A139" s="333"/>
      <c r="B139" s="904"/>
      <c r="C139" s="882"/>
      <c r="D139" s="2799"/>
      <c r="E139" s="761"/>
      <c r="F139" s="2797"/>
      <c r="G139" s="254"/>
      <c r="H139" s="470" t="s">
        <v>18</v>
      </c>
      <c r="I139" s="360">
        <f t="shared" ref="I139:L139" si="43">SUM(I137:I138)</f>
        <v>619</v>
      </c>
      <c r="J139" s="361">
        <f t="shared" si="43"/>
        <v>19</v>
      </c>
      <c r="K139" s="362">
        <f t="shared" si="43"/>
        <v>0</v>
      </c>
      <c r="L139" s="361">
        <f t="shared" si="43"/>
        <v>600</v>
      </c>
      <c r="M139" s="360">
        <f t="shared" ref="M139:P139" si="44">SUM(M137:M138)</f>
        <v>619</v>
      </c>
      <c r="N139" s="361">
        <f t="shared" si="44"/>
        <v>19</v>
      </c>
      <c r="O139" s="362">
        <f t="shared" si="44"/>
        <v>0</v>
      </c>
      <c r="P139" s="361">
        <f t="shared" si="44"/>
        <v>600</v>
      </c>
      <c r="Q139" s="360">
        <f t="shared" ref="Q139:T139" si="45">SUM(Q137:Q138)</f>
        <v>619</v>
      </c>
      <c r="R139" s="361">
        <f t="shared" si="45"/>
        <v>19</v>
      </c>
      <c r="S139" s="362">
        <f t="shared" si="45"/>
        <v>0</v>
      </c>
      <c r="T139" s="433">
        <f t="shared" si="45"/>
        <v>600</v>
      </c>
    </row>
    <row r="140" spans="1:22" s="18" customFormat="1" ht="13.5" thickBot="1" x14ac:dyDescent="0.3">
      <c r="A140" s="23" t="s">
        <v>13</v>
      </c>
      <c r="B140" s="24" t="s">
        <v>24</v>
      </c>
      <c r="C140" s="2800" t="s">
        <v>30</v>
      </c>
      <c r="D140" s="2800"/>
      <c r="E140" s="2800"/>
      <c r="F140" s="2800"/>
      <c r="G140" s="2800"/>
      <c r="H140" s="2800"/>
      <c r="I140" s="121">
        <f t="shared" ref="I140:L140" si="46">I135+I127+I139</f>
        <v>4738</v>
      </c>
      <c r="J140" s="123">
        <f t="shared" si="46"/>
        <v>2538</v>
      </c>
      <c r="K140" s="122">
        <f t="shared" si="46"/>
        <v>0</v>
      </c>
      <c r="L140" s="123">
        <f t="shared" si="46"/>
        <v>2200</v>
      </c>
      <c r="M140" s="121">
        <f t="shared" ref="M140:P140" si="47">M135+M127+M139</f>
        <v>4738</v>
      </c>
      <c r="N140" s="123">
        <f t="shared" si="47"/>
        <v>2538</v>
      </c>
      <c r="O140" s="122">
        <f t="shared" si="47"/>
        <v>0</v>
      </c>
      <c r="P140" s="123">
        <f t="shared" si="47"/>
        <v>2200</v>
      </c>
      <c r="Q140" s="121">
        <f t="shared" ref="Q140:T140" si="48">Q135+Q127+Q139</f>
        <v>4738</v>
      </c>
      <c r="R140" s="123">
        <f t="shared" si="48"/>
        <v>2538</v>
      </c>
      <c r="S140" s="122">
        <f t="shared" si="48"/>
        <v>0</v>
      </c>
      <c r="T140" s="1065">
        <f t="shared" si="48"/>
        <v>2200</v>
      </c>
    </row>
    <row r="141" spans="1:22" ht="13.5" thickBot="1" x14ac:dyDescent="0.25">
      <c r="A141" s="902" t="s">
        <v>13</v>
      </c>
      <c r="B141" s="124"/>
      <c r="C141" s="2787" t="s">
        <v>44</v>
      </c>
      <c r="D141" s="2787"/>
      <c r="E141" s="2787"/>
      <c r="F141" s="2787"/>
      <c r="G141" s="2787"/>
      <c r="H141" s="2787"/>
      <c r="I141" s="125">
        <f>J141+L141</f>
        <v>105300.70000000001</v>
      </c>
      <c r="J141" s="127">
        <f>J140+J121+J86+J31</f>
        <v>93788.1</v>
      </c>
      <c r="K141" s="126">
        <f>K140+K121+K86+K31</f>
        <v>8591.1</v>
      </c>
      <c r="L141" s="127">
        <f>L140+L121+L86+L31</f>
        <v>11512.6</v>
      </c>
      <c r="M141" s="125">
        <f>N141+P141</f>
        <v>105051.90000000001</v>
      </c>
      <c r="N141" s="127">
        <f>N140+N121+N86+N31</f>
        <v>93587.3</v>
      </c>
      <c r="O141" s="126">
        <f>O140+O121+O86+O31</f>
        <v>8591.1</v>
      </c>
      <c r="P141" s="127">
        <f>P140+P121+P86+P31</f>
        <v>11464.6</v>
      </c>
      <c r="Q141" s="125">
        <f>R141+T141</f>
        <v>104551.90000000001</v>
      </c>
      <c r="R141" s="127">
        <f>R140+R121+R86+R31</f>
        <v>93237.3</v>
      </c>
      <c r="S141" s="126">
        <f>S140+S121+S86+S31</f>
        <v>8591.1</v>
      </c>
      <c r="T141" s="301">
        <f>T140+T121+T86+T31</f>
        <v>11314.6</v>
      </c>
    </row>
    <row r="142" spans="1:22" s="18" customFormat="1" ht="13.5" thickBot="1" x14ac:dyDescent="0.3">
      <c r="A142" s="129" t="s">
        <v>45</v>
      </c>
      <c r="B142" s="2791" t="s">
        <v>46</v>
      </c>
      <c r="C142" s="2792"/>
      <c r="D142" s="2792"/>
      <c r="E142" s="2792"/>
      <c r="F142" s="2792"/>
      <c r="G142" s="2792"/>
      <c r="H142" s="2792"/>
      <c r="I142" s="130">
        <f>J142+L142</f>
        <v>105300.70000000001</v>
      </c>
      <c r="J142" s="132">
        <f>J141</f>
        <v>93788.1</v>
      </c>
      <c r="K142" s="131">
        <f>K141</f>
        <v>8591.1</v>
      </c>
      <c r="L142" s="132">
        <f>L141</f>
        <v>11512.6</v>
      </c>
      <c r="M142" s="130">
        <f>N142+P142</f>
        <v>105051.90000000001</v>
      </c>
      <c r="N142" s="132">
        <f>N141</f>
        <v>93587.3</v>
      </c>
      <c r="O142" s="131">
        <f>O141</f>
        <v>8591.1</v>
      </c>
      <c r="P142" s="132">
        <f>P141</f>
        <v>11464.6</v>
      </c>
      <c r="Q142" s="130">
        <f>R142+T142</f>
        <v>104551.90000000001</v>
      </c>
      <c r="R142" s="132">
        <f>R141</f>
        <v>93237.3</v>
      </c>
      <c r="S142" s="131">
        <f>S141</f>
        <v>8591.1</v>
      </c>
      <c r="T142" s="302">
        <f>T141</f>
        <v>11314.6</v>
      </c>
      <c r="U142" s="19"/>
    </row>
    <row r="143" spans="1:22" s="113" customFormat="1" ht="15" thickBot="1" x14ac:dyDescent="0.25">
      <c r="B143" s="134"/>
      <c r="C143" s="134"/>
      <c r="D143" s="2842" t="s">
        <v>47</v>
      </c>
      <c r="E143" s="2842"/>
      <c r="F143" s="2842"/>
      <c r="G143" s="2842"/>
      <c r="H143" s="2842"/>
      <c r="I143" s="2842"/>
      <c r="J143" s="2842"/>
      <c r="K143" s="2842"/>
      <c r="L143" s="2842"/>
      <c r="M143" s="2842"/>
      <c r="N143" s="2842"/>
      <c r="O143" s="2842"/>
      <c r="P143" s="2842"/>
      <c r="Q143" s="933"/>
      <c r="R143" s="933"/>
      <c r="S143" s="933"/>
      <c r="T143" s="933"/>
    </row>
    <row r="144" spans="1:22" s="18" customFormat="1" ht="13.5" thickBot="1" x14ac:dyDescent="0.3">
      <c r="A144" s="2783" t="s">
        <v>48</v>
      </c>
      <c r="B144" s="2784"/>
      <c r="C144" s="2784"/>
      <c r="D144" s="2784"/>
      <c r="E144" s="2784"/>
      <c r="F144" s="2784"/>
      <c r="G144" s="2784"/>
      <c r="H144" s="2785"/>
      <c r="I144" s="2784" t="s">
        <v>127</v>
      </c>
      <c r="J144" s="2784"/>
      <c r="K144" s="2784"/>
      <c r="L144" s="2785"/>
      <c r="M144" s="2784" t="s">
        <v>127</v>
      </c>
      <c r="N144" s="2784"/>
      <c r="O144" s="2784"/>
      <c r="P144" s="2785"/>
      <c r="Q144" s="2784" t="s">
        <v>127</v>
      </c>
      <c r="R144" s="2784"/>
      <c r="S144" s="2784"/>
      <c r="T144" s="2785"/>
    </row>
    <row r="145" spans="1:20" s="18" customFormat="1" ht="13.5" thickBot="1" x14ac:dyDescent="0.3">
      <c r="A145" s="2772" t="s">
        <v>49</v>
      </c>
      <c r="B145" s="2773"/>
      <c r="C145" s="2773"/>
      <c r="D145" s="2773"/>
      <c r="E145" s="2773"/>
      <c r="F145" s="2773"/>
      <c r="G145" s="2773"/>
      <c r="H145" s="2774"/>
      <c r="I145" s="2838">
        <f>SUM(I146:L149)</f>
        <v>50571.8</v>
      </c>
      <c r="J145" s="2838"/>
      <c r="K145" s="2838"/>
      <c r="L145" s="2839"/>
      <c r="M145" s="2838">
        <f>SUM(M146:P149)</f>
        <v>0</v>
      </c>
      <c r="N145" s="2838"/>
      <c r="O145" s="2838"/>
      <c r="P145" s="2839"/>
      <c r="Q145" s="2838">
        <f>SUM(Q146:T149)</f>
        <v>0</v>
      </c>
      <c r="R145" s="2838"/>
      <c r="S145" s="2838"/>
      <c r="T145" s="2839"/>
    </row>
    <row r="146" spans="1:20" s="18" customFormat="1" x14ac:dyDescent="0.25">
      <c r="A146" s="2780" t="s">
        <v>100</v>
      </c>
      <c r="B146" s="2781"/>
      <c r="C146" s="2781"/>
      <c r="D146" s="2781"/>
      <c r="E146" s="2781"/>
      <c r="F146" s="2781"/>
      <c r="G146" s="2781"/>
      <c r="H146" s="2782"/>
      <c r="I146" s="2840">
        <f>SUMIF(H12:H140,"SB",I12:I140)</f>
        <v>28751.5</v>
      </c>
      <c r="J146" s="2840"/>
      <c r="K146" s="2840"/>
      <c r="L146" s="2841"/>
      <c r="M146" s="2840">
        <f>SUMIF(L12:L140,"SB",M12:M140)</f>
        <v>0</v>
      </c>
      <c r="N146" s="2840"/>
      <c r="O146" s="2840"/>
      <c r="P146" s="2841"/>
      <c r="Q146" s="2840">
        <f>SUMIF(P12:P140,"SB",Q12:Q140)</f>
        <v>0</v>
      </c>
      <c r="R146" s="2840"/>
      <c r="S146" s="2840"/>
      <c r="T146" s="2841"/>
    </row>
    <row r="147" spans="1:20" s="18" customFormat="1" x14ac:dyDescent="0.25">
      <c r="A147" s="2777" t="s">
        <v>101</v>
      </c>
      <c r="B147" s="2778"/>
      <c r="C147" s="2778"/>
      <c r="D147" s="2778"/>
      <c r="E147" s="2778"/>
      <c r="F147" s="2778"/>
      <c r="G147" s="2778"/>
      <c r="H147" s="2779"/>
      <c r="I147" s="2837">
        <f>SUMIF(H12:H140,"SB(sP)",I12:I140)</f>
        <v>4001.2</v>
      </c>
      <c r="J147" s="2819"/>
      <c r="K147" s="2819"/>
      <c r="L147" s="2820"/>
      <c r="M147" s="2837">
        <f>SUMIF(L12:L140,"SB(sP)",M12:M140)</f>
        <v>0</v>
      </c>
      <c r="N147" s="2819"/>
      <c r="O147" s="2819"/>
      <c r="P147" s="2820"/>
      <c r="Q147" s="2837">
        <f>SUMIF(P12:P140,"SB(sP)",Q12:Q140)</f>
        <v>0</v>
      </c>
      <c r="R147" s="2819"/>
      <c r="S147" s="2819"/>
      <c r="T147" s="2820"/>
    </row>
    <row r="148" spans="1:20" s="18" customFormat="1" x14ac:dyDescent="0.25">
      <c r="A148" s="2777" t="s">
        <v>102</v>
      </c>
      <c r="B148" s="2778"/>
      <c r="C148" s="2778"/>
      <c r="D148" s="2778"/>
      <c r="E148" s="2778"/>
      <c r="F148" s="2778"/>
      <c r="G148" s="2778"/>
      <c r="H148" s="2779"/>
      <c r="I148" s="2819">
        <f>SUMIF(H12:H140,"sb(vb)",I12:I140)</f>
        <v>17095.7</v>
      </c>
      <c r="J148" s="2819"/>
      <c r="K148" s="2819"/>
      <c r="L148" s="2820"/>
      <c r="M148" s="2819">
        <f>SUMIF(L12:L140,"sb(vb)",M12:M140)</f>
        <v>0</v>
      </c>
      <c r="N148" s="2819"/>
      <c r="O148" s="2819"/>
      <c r="P148" s="2820"/>
      <c r="Q148" s="2819">
        <f>SUMIF(P12:P140,"sb(vb)",Q12:Q140)</f>
        <v>0</v>
      </c>
      <c r="R148" s="2819"/>
      <c r="S148" s="2819"/>
      <c r="T148" s="2820"/>
    </row>
    <row r="149" spans="1:20" s="18" customFormat="1" ht="13.5" thickBot="1" x14ac:dyDescent="0.3">
      <c r="A149" s="2834" t="s">
        <v>103</v>
      </c>
      <c r="B149" s="2835"/>
      <c r="C149" s="2835"/>
      <c r="D149" s="2835"/>
      <c r="E149" s="2835"/>
      <c r="F149" s="2835"/>
      <c r="G149" s="2835"/>
      <c r="H149" s="2836"/>
      <c r="I149" s="2831">
        <f>SUMIF(H12:H140,"sb(p)",I12:I140)</f>
        <v>723.4</v>
      </c>
      <c r="J149" s="2831"/>
      <c r="K149" s="2831"/>
      <c r="L149" s="2832"/>
      <c r="M149" s="2831">
        <f>SUMIF(L12:L140,"sb(p)",M12:M140)</f>
        <v>0</v>
      </c>
      <c r="N149" s="2831"/>
      <c r="O149" s="2831"/>
      <c r="P149" s="2832"/>
      <c r="Q149" s="2831">
        <f>SUMIF(P12:P140,"sb(p)",Q12:Q140)</f>
        <v>0</v>
      </c>
      <c r="R149" s="2831"/>
      <c r="S149" s="2831"/>
      <c r="T149" s="2832"/>
    </row>
    <row r="150" spans="1:20" s="18" customFormat="1" ht="13.5" thickBot="1" x14ac:dyDescent="0.3">
      <c r="A150" s="2772" t="s">
        <v>50</v>
      </c>
      <c r="B150" s="2773"/>
      <c r="C150" s="2773"/>
      <c r="D150" s="2773"/>
      <c r="E150" s="2773"/>
      <c r="F150" s="2773"/>
      <c r="G150" s="2773"/>
      <c r="H150" s="2774"/>
      <c r="I150" s="2838">
        <f>SUM(I151:L153)</f>
        <v>54728.899999999994</v>
      </c>
      <c r="J150" s="2838"/>
      <c r="K150" s="2838"/>
      <c r="L150" s="2839"/>
      <c r="M150" s="2838">
        <f>SUM(M151:P153)</f>
        <v>0</v>
      </c>
      <c r="N150" s="2838"/>
      <c r="O150" s="2838"/>
      <c r="P150" s="2839"/>
      <c r="Q150" s="2838">
        <f>SUM(Q151:T153)</f>
        <v>0</v>
      </c>
      <c r="R150" s="2838"/>
      <c r="S150" s="2838"/>
      <c r="T150" s="2839"/>
    </row>
    <row r="151" spans="1:20" s="18" customFormat="1" x14ac:dyDescent="0.25">
      <c r="A151" s="2864" t="s">
        <v>104</v>
      </c>
      <c r="B151" s="2865"/>
      <c r="C151" s="2865"/>
      <c r="D151" s="2865"/>
      <c r="E151" s="2865"/>
      <c r="F151" s="2865"/>
      <c r="G151" s="2865"/>
      <c r="H151" s="2866"/>
      <c r="I151" s="2845">
        <f>SUMIF(H32:H140,"es",I32:I140)</f>
        <v>7129.5000000000009</v>
      </c>
      <c r="J151" s="2845"/>
      <c r="K151" s="2845"/>
      <c r="L151" s="2846"/>
      <c r="M151" s="2845">
        <f>SUMIF(L32:L140,"es",M32:M140)</f>
        <v>0</v>
      </c>
      <c r="N151" s="2845"/>
      <c r="O151" s="2845"/>
      <c r="P151" s="2846"/>
      <c r="Q151" s="2845">
        <f>SUMIF(P32:P140,"es",Q32:Q140)</f>
        <v>0</v>
      </c>
      <c r="R151" s="2845"/>
      <c r="S151" s="2845"/>
      <c r="T151" s="2846"/>
    </row>
    <row r="152" spans="1:20" s="18" customFormat="1" x14ac:dyDescent="0.25">
      <c r="A152" s="2777" t="s">
        <v>105</v>
      </c>
      <c r="B152" s="2778"/>
      <c r="C152" s="2778"/>
      <c r="D152" s="2778"/>
      <c r="E152" s="2778"/>
      <c r="F152" s="2778"/>
      <c r="G152" s="2778"/>
      <c r="H152" s="2779"/>
      <c r="I152" s="2819">
        <f>SUMIF(H12:H140,"lrvb",I12:I140)</f>
        <v>47289.7</v>
      </c>
      <c r="J152" s="2819"/>
      <c r="K152" s="2819"/>
      <c r="L152" s="2820"/>
      <c r="M152" s="2819">
        <f>SUMIF(L12:L140,"lrvb",M12:M140)</f>
        <v>0</v>
      </c>
      <c r="N152" s="2819"/>
      <c r="O152" s="2819"/>
      <c r="P152" s="2820"/>
      <c r="Q152" s="2819">
        <f>SUMIF(P12:P140,"lrvb",Q12:Q140)</f>
        <v>0</v>
      </c>
      <c r="R152" s="2819"/>
      <c r="S152" s="2819"/>
      <c r="T152" s="2820"/>
    </row>
    <row r="153" spans="1:20" s="18" customFormat="1" ht="13.5" thickBot="1" x14ac:dyDescent="0.3">
      <c r="A153" s="2867" t="s">
        <v>126</v>
      </c>
      <c r="B153" s="2868"/>
      <c r="C153" s="2868"/>
      <c r="D153" s="2868"/>
      <c r="E153" s="2868"/>
      <c r="F153" s="2868"/>
      <c r="G153" s="2868"/>
      <c r="H153" s="2869"/>
      <c r="I153" s="2843">
        <f>SUMIF(H32:H140,"kt",I32:I140)</f>
        <v>309.7</v>
      </c>
      <c r="J153" s="2843"/>
      <c r="K153" s="2843"/>
      <c r="L153" s="2844"/>
      <c r="M153" s="2843">
        <f>SUMIF(L32:L140,"kt",M32:M140)</f>
        <v>0</v>
      </c>
      <c r="N153" s="2843"/>
      <c r="O153" s="2843"/>
      <c r="P153" s="2844"/>
      <c r="Q153" s="2843">
        <f>SUMIF(P32:P140,"kt",Q32:Q140)</f>
        <v>0</v>
      </c>
      <c r="R153" s="2843"/>
      <c r="S153" s="2843"/>
      <c r="T153" s="2844"/>
    </row>
    <row r="154" spans="1:20" s="18" customFormat="1" ht="13.5" thickBot="1" x14ac:dyDescent="0.3">
      <c r="A154" s="2816" t="s">
        <v>51</v>
      </c>
      <c r="B154" s="2817"/>
      <c r="C154" s="2817"/>
      <c r="D154" s="2817"/>
      <c r="E154" s="2817"/>
      <c r="F154" s="2817"/>
      <c r="G154" s="2817"/>
      <c r="H154" s="2818"/>
      <c r="I154" s="2828">
        <f>I150+I145</f>
        <v>105300.7</v>
      </c>
      <c r="J154" s="2828"/>
      <c r="K154" s="2828"/>
      <c r="L154" s="2829"/>
      <c r="M154" s="2828">
        <f>M150+M145</f>
        <v>0</v>
      </c>
      <c r="N154" s="2828"/>
      <c r="O154" s="2828"/>
      <c r="P154" s="2829"/>
      <c r="Q154" s="2828">
        <f>Q150+Q145</f>
        <v>0</v>
      </c>
      <c r="R154" s="2828"/>
      <c r="S154" s="2828"/>
      <c r="T154" s="2829"/>
    </row>
    <row r="155" spans="1:20" x14ac:dyDescent="0.2">
      <c r="B155" s="141"/>
      <c r="C155" s="141"/>
      <c r="D155" s="141"/>
      <c r="E155" s="141"/>
      <c r="F155" s="141"/>
      <c r="J155" s="2815"/>
      <c r="K155" s="2815"/>
      <c r="N155" s="2815"/>
      <c r="O155" s="2815"/>
      <c r="R155" s="2815"/>
      <c r="S155" s="2815"/>
    </row>
    <row r="156" spans="1:20" x14ac:dyDescent="0.2">
      <c r="I156" s="196"/>
      <c r="J156" s="338"/>
      <c r="K156" s="196"/>
      <c r="M156" s="196"/>
      <c r="N156" s="338"/>
      <c r="O156" s="196"/>
      <c r="Q156" s="196"/>
      <c r="R156" s="338"/>
      <c r="S156" s="196"/>
    </row>
    <row r="158" spans="1:20" x14ac:dyDescent="0.2">
      <c r="J158" s="196"/>
      <c r="N158" s="196"/>
      <c r="R158" s="196"/>
    </row>
    <row r="160" spans="1:20" x14ac:dyDescent="0.2">
      <c r="E160" s="17"/>
      <c r="F160" s="17"/>
      <c r="G160" s="142"/>
    </row>
  </sheetData>
  <mergeCells count="171">
    <mergeCell ref="B142:H142"/>
    <mergeCell ref="Q149:T149"/>
    <mergeCell ref="Q5:T5"/>
    <mergeCell ref="Q6:Q7"/>
    <mergeCell ref="R6:S6"/>
    <mergeCell ref="T6:T7"/>
    <mergeCell ref="Q144:T144"/>
    <mergeCell ref="Q145:T145"/>
    <mergeCell ref="Q146:T146"/>
    <mergeCell ref="Q147:T147"/>
    <mergeCell ref="Q148:T148"/>
    <mergeCell ref="F137:F139"/>
    <mergeCell ref="D138:D139"/>
    <mergeCell ref="C140:H140"/>
    <mergeCell ref="C141:H141"/>
    <mergeCell ref="C133:C135"/>
    <mergeCell ref="N6:O6"/>
    <mergeCell ref="P6:P7"/>
    <mergeCell ref="M144:P144"/>
    <mergeCell ref="M145:P145"/>
    <mergeCell ref="M146:P146"/>
    <mergeCell ref="M147:P147"/>
    <mergeCell ref="M148:P148"/>
    <mergeCell ref="D134:D135"/>
    <mergeCell ref="A4:T4"/>
    <mergeCell ref="A1:T1"/>
    <mergeCell ref="A2:T2"/>
    <mergeCell ref="A3:T3"/>
    <mergeCell ref="A8:T8"/>
    <mergeCell ref="A9:T9"/>
    <mergeCell ref="B10:T10"/>
    <mergeCell ref="C11:T11"/>
    <mergeCell ref="I149:L149"/>
    <mergeCell ref="M149:P149"/>
    <mergeCell ref="I147:L147"/>
    <mergeCell ref="I148:L148"/>
    <mergeCell ref="I145:L145"/>
    <mergeCell ref="I146:L146"/>
    <mergeCell ref="D143:P143"/>
    <mergeCell ref="A144:H144"/>
    <mergeCell ref="I144:L144"/>
    <mergeCell ref="A149:H149"/>
    <mergeCell ref="A147:H147"/>
    <mergeCell ref="A148:H148"/>
    <mergeCell ref="A145:H145"/>
    <mergeCell ref="A146:H146"/>
    <mergeCell ref="M5:P5"/>
    <mergeCell ref="M6:M7"/>
    <mergeCell ref="R155:S155"/>
    <mergeCell ref="Q150:T150"/>
    <mergeCell ref="Q151:T151"/>
    <mergeCell ref="Q152:T152"/>
    <mergeCell ref="Q153:T153"/>
    <mergeCell ref="Q154:T154"/>
    <mergeCell ref="N155:O155"/>
    <mergeCell ref="A153:H153"/>
    <mergeCell ref="I153:L153"/>
    <mergeCell ref="A154:H154"/>
    <mergeCell ref="I154:L154"/>
    <mergeCell ref="M153:P153"/>
    <mergeCell ref="M154:P154"/>
    <mergeCell ref="A151:H151"/>
    <mergeCell ref="I151:L151"/>
    <mergeCell ref="A152:H152"/>
    <mergeCell ref="I152:L152"/>
    <mergeCell ref="M151:P151"/>
    <mergeCell ref="M152:P152"/>
    <mergeCell ref="A150:H150"/>
    <mergeCell ref="I150:L150"/>
    <mergeCell ref="M150:P150"/>
    <mergeCell ref="J155:K155"/>
    <mergeCell ref="F134:F135"/>
    <mergeCell ref="G134:G135"/>
    <mergeCell ref="C121:H121"/>
    <mergeCell ref="C122:P122"/>
    <mergeCell ref="A123:A127"/>
    <mergeCell ref="B123:B127"/>
    <mergeCell ref="C123:C127"/>
    <mergeCell ref="D123:D127"/>
    <mergeCell ref="E123:E127"/>
    <mergeCell ref="F123:F127"/>
    <mergeCell ref="G123:G127"/>
    <mergeCell ref="D116:D117"/>
    <mergeCell ref="D118:D120"/>
    <mergeCell ref="E120:H120"/>
    <mergeCell ref="D108:D110"/>
    <mergeCell ref="D111:D113"/>
    <mergeCell ref="D114:D115"/>
    <mergeCell ref="G114:G115"/>
    <mergeCell ref="V102:V103"/>
    <mergeCell ref="D103:D107"/>
    <mergeCell ref="D89:D92"/>
    <mergeCell ref="D93:D96"/>
    <mergeCell ref="D97:D101"/>
    <mergeCell ref="E101:H101"/>
    <mergeCell ref="C86:H86"/>
    <mergeCell ref="C87:P87"/>
    <mergeCell ref="D83:D85"/>
    <mergeCell ref="E83:E85"/>
    <mergeCell ref="F83:F85"/>
    <mergeCell ref="G83:G85"/>
    <mergeCell ref="A66:A67"/>
    <mergeCell ref="B66:B67"/>
    <mergeCell ref="C66:C67"/>
    <mergeCell ref="D66:D67"/>
    <mergeCell ref="E66:E67"/>
    <mergeCell ref="A75:A76"/>
    <mergeCell ref="B75:B76"/>
    <mergeCell ref="D75:D77"/>
    <mergeCell ref="A78:A79"/>
    <mergeCell ref="B78:B79"/>
    <mergeCell ref="D78:D80"/>
    <mergeCell ref="A68:A69"/>
    <mergeCell ref="B68:B69"/>
    <mergeCell ref="D68:D70"/>
    <mergeCell ref="A71:A72"/>
    <mergeCell ref="B71:B72"/>
    <mergeCell ref="D71:D74"/>
    <mergeCell ref="V35:V36"/>
    <mergeCell ref="D36:D37"/>
    <mergeCell ref="D39:D40"/>
    <mergeCell ref="D42:D43"/>
    <mergeCell ref="D44:D45"/>
    <mergeCell ref="D46:D47"/>
    <mergeCell ref="F66:F67"/>
    <mergeCell ref="G66:G67"/>
    <mergeCell ref="F57:F58"/>
    <mergeCell ref="G57:G58"/>
    <mergeCell ref="V62:V64"/>
    <mergeCell ref="D64:D65"/>
    <mergeCell ref="C32:P32"/>
    <mergeCell ref="A27:A28"/>
    <mergeCell ref="B27:B28"/>
    <mergeCell ref="C27:C28"/>
    <mergeCell ref="D27:D28"/>
    <mergeCell ref="D54:D56"/>
    <mergeCell ref="A57:A58"/>
    <mergeCell ref="B57:B58"/>
    <mergeCell ref="C57:C58"/>
    <mergeCell ref="D57:D58"/>
    <mergeCell ref="E57:E58"/>
    <mergeCell ref="D48:D50"/>
    <mergeCell ref="D51:D53"/>
    <mergeCell ref="A23:A24"/>
    <mergeCell ref="B23:B24"/>
    <mergeCell ref="C23:C24"/>
    <mergeCell ref="D23:D24"/>
    <mergeCell ref="E23:E24"/>
    <mergeCell ref="A29:A30"/>
    <mergeCell ref="B29:B30"/>
    <mergeCell ref="D29:D30"/>
    <mergeCell ref="C31:H31"/>
    <mergeCell ref="G5:G7"/>
    <mergeCell ref="H5:H7"/>
    <mergeCell ref="I5:L5"/>
    <mergeCell ref="I6:I7"/>
    <mergeCell ref="J6:K6"/>
    <mergeCell ref="L6:L7"/>
    <mergeCell ref="F23:F24"/>
    <mergeCell ref="G23:G24"/>
    <mergeCell ref="D25:D26"/>
    <mergeCell ref="D21:D22"/>
    <mergeCell ref="A5:A7"/>
    <mergeCell ref="B5:B7"/>
    <mergeCell ref="C5:C7"/>
    <mergeCell ref="D5:D7"/>
    <mergeCell ref="E5:E7"/>
    <mergeCell ref="F5:F7"/>
    <mergeCell ref="D17:D18"/>
    <mergeCell ref="D19:D20"/>
    <mergeCell ref="D12:D16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7"/>
  <sheetViews>
    <sheetView tabSelected="1" zoomScaleNormal="100" zoomScaleSheetLayoutView="80" workbookViewId="0">
      <selection activeCell="V10" sqref="V10"/>
    </sheetView>
  </sheetViews>
  <sheetFormatPr defaultRowHeight="12.75" x14ac:dyDescent="0.2"/>
  <cols>
    <col min="1" max="1" width="2.7109375" style="17" customWidth="1"/>
    <col min="2" max="2" width="2.7109375" style="142" customWidth="1"/>
    <col min="3" max="3" width="2.85546875" style="17" customWidth="1"/>
    <col min="4" max="4" width="29.7109375" style="17" customWidth="1"/>
    <col min="5" max="5" width="3.7109375" style="142" customWidth="1"/>
    <col min="6" max="6" width="2.7109375" style="145" customWidth="1"/>
    <col min="7" max="7" width="7.5703125" style="142" customWidth="1"/>
    <col min="8" max="8" width="10.140625" style="2739" customWidth="1"/>
    <col min="9" max="9" width="9.7109375" style="2740" customWidth="1"/>
    <col min="10" max="10" width="10" style="2740" customWidth="1"/>
    <col min="11" max="11" width="25" style="2741" customWidth="1"/>
    <col min="12" max="12" width="5.7109375" style="142" customWidth="1"/>
    <col min="13" max="13" width="5.28515625" style="142" customWidth="1"/>
    <col min="14" max="14" width="5.28515625" style="2742" customWidth="1"/>
    <col min="15" max="16384" width="9.140625" style="17"/>
  </cols>
  <sheetData>
    <row r="1" spans="1:19" x14ac:dyDescent="0.2">
      <c r="A1" s="3096" t="s">
        <v>238</v>
      </c>
      <c r="B1" s="3096"/>
      <c r="C1" s="3096"/>
      <c r="D1" s="3096"/>
      <c r="E1" s="3096"/>
      <c r="F1" s="3096"/>
      <c r="G1" s="3096"/>
      <c r="H1" s="3096"/>
      <c r="I1" s="3096"/>
      <c r="J1" s="3096"/>
      <c r="K1" s="3096"/>
      <c r="L1" s="3096"/>
      <c r="M1" s="3096"/>
      <c r="N1" s="3096"/>
    </row>
    <row r="2" spans="1:19" s="18" customFormat="1" x14ac:dyDescent="0.25">
      <c r="A2" s="3017" t="s">
        <v>83</v>
      </c>
      <c r="B2" s="3017"/>
      <c r="C2" s="3017"/>
      <c r="D2" s="3017"/>
      <c r="E2" s="3017"/>
      <c r="F2" s="3017"/>
      <c r="G2" s="3017"/>
      <c r="H2" s="3017"/>
      <c r="I2" s="3017"/>
      <c r="J2" s="3017"/>
      <c r="K2" s="3017"/>
      <c r="L2" s="3017"/>
      <c r="M2" s="3017"/>
      <c r="N2" s="3017"/>
    </row>
    <row r="3" spans="1:19" s="18" customFormat="1" x14ac:dyDescent="0.25">
      <c r="A3" s="3018" t="s">
        <v>230</v>
      </c>
      <c r="B3" s="3018"/>
      <c r="C3" s="3018"/>
      <c r="D3" s="3018"/>
      <c r="E3" s="3018"/>
      <c r="F3" s="3018"/>
      <c r="G3" s="3018"/>
      <c r="H3" s="3018"/>
      <c r="I3" s="3018"/>
      <c r="J3" s="3018"/>
      <c r="K3" s="3018"/>
      <c r="L3" s="3018"/>
      <c r="M3" s="3018"/>
      <c r="N3" s="3018"/>
    </row>
    <row r="4" spans="1:19" s="18" customFormat="1" ht="13.5" thickBot="1" x14ac:dyDescent="0.3">
      <c r="A4" s="3019" t="s">
        <v>340</v>
      </c>
      <c r="B4" s="3019"/>
      <c r="C4" s="3019"/>
      <c r="D4" s="3019"/>
      <c r="E4" s="3019"/>
      <c r="F4" s="3019"/>
      <c r="G4" s="3019"/>
      <c r="H4" s="3019"/>
      <c r="I4" s="3019"/>
      <c r="J4" s="3019"/>
      <c r="K4" s="3019"/>
      <c r="L4" s="3019"/>
      <c r="M4" s="3019"/>
      <c r="N4" s="3019"/>
    </row>
    <row r="5" spans="1:19" s="19" customFormat="1" ht="12.75" customHeight="1" thickBot="1" x14ac:dyDescent="0.3">
      <c r="A5" s="3020" t="s">
        <v>1</v>
      </c>
      <c r="B5" s="3023" t="s">
        <v>2</v>
      </c>
      <c r="C5" s="3026" t="s">
        <v>3</v>
      </c>
      <c r="D5" s="3029" t="s">
        <v>4</v>
      </c>
      <c r="E5" s="3032" t="s">
        <v>5</v>
      </c>
      <c r="F5" s="3111" t="s">
        <v>6</v>
      </c>
      <c r="G5" s="3046" t="s">
        <v>7</v>
      </c>
      <c r="H5" s="3097" t="s">
        <v>241</v>
      </c>
      <c r="I5" s="3108" t="s">
        <v>314</v>
      </c>
      <c r="J5" s="3108" t="s">
        <v>315</v>
      </c>
      <c r="K5" s="3038" t="s">
        <v>231</v>
      </c>
      <c r="L5" s="3039"/>
      <c r="M5" s="3039"/>
      <c r="N5" s="3040"/>
    </row>
    <row r="6" spans="1:19" s="19" customFormat="1" ht="12" customHeight="1" x14ac:dyDescent="0.25">
      <c r="A6" s="3021"/>
      <c r="B6" s="3024"/>
      <c r="C6" s="3027"/>
      <c r="D6" s="3030"/>
      <c r="E6" s="3033"/>
      <c r="F6" s="3112"/>
      <c r="G6" s="3047"/>
      <c r="H6" s="3098"/>
      <c r="I6" s="3109"/>
      <c r="J6" s="3109"/>
      <c r="K6" s="3103" t="s">
        <v>4</v>
      </c>
      <c r="L6" s="3105" t="s">
        <v>341</v>
      </c>
      <c r="M6" s="3106"/>
      <c r="N6" s="3107"/>
    </row>
    <row r="7" spans="1:19" s="19" customFormat="1" ht="86.25" customHeight="1" thickBot="1" x14ac:dyDescent="0.3">
      <c r="A7" s="3022"/>
      <c r="B7" s="3025"/>
      <c r="C7" s="3028"/>
      <c r="D7" s="3031"/>
      <c r="E7" s="3034"/>
      <c r="F7" s="3113"/>
      <c r="G7" s="3048"/>
      <c r="H7" s="3099"/>
      <c r="I7" s="3110"/>
      <c r="J7" s="3110"/>
      <c r="K7" s="3104"/>
      <c r="L7" s="2308" t="s">
        <v>62</v>
      </c>
      <c r="M7" s="2308" t="s">
        <v>128</v>
      </c>
      <c r="N7" s="2309" t="s">
        <v>242</v>
      </c>
    </row>
    <row r="8" spans="1:19" s="18" customFormat="1" x14ac:dyDescent="0.25">
      <c r="A8" s="3069" t="s">
        <v>205</v>
      </c>
      <c r="B8" s="3070"/>
      <c r="C8" s="3070"/>
      <c r="D8" s="3070"/>
      <c r="E8" s="3070"/>
      <c r="F8" s="3070"/>
      <c r="G8" s="3070"/>
      <c r="H8" s="3070"/>
      <c r="I8" s="3070"/>
      <c r="J8" s="3070"/>
      <c r="K8" s="3070"/>
      <c r="L8" s="3070"/>
      <c r="M8" s="3070"/>
      <c r="N8" s="3071"/>
    </row>
    <row r="9" spans="1:19" s="18" customFormat="1" ht="13.5" thickBot="1" x14ac:dyDescent="0.3">
      <c r="A9" s="3072" t="s">
        <v>12</v>
      </c>
      <c r="B9" s="3073"/>
      <c r="C9" s="3073"/>
      <c r="D9" s="3073"/>
      <c r="E9" s="3073"/>
      <c r="F9" s="3073"/>
      <c r="G9" s="3073"/>
      <c r="H9" s="3073"/>
      <c r="I9" s="3073"/>
      <c r="J9" s="3073"/>
      <c r="K9" s="3073"/>
      <c r="L9" s="3073"/>
      <c r="M9" s="3073"/>
      <c r="N9" s="3074"/>
      <c r="S9" s="19"/>
    </row>
    <row r="10" spans="1:19" s="19" customFormat="1" ht="15" customHeight="1" thickBot="1" x14ac:dyDescent="0.3">
      <c r="A10" s="21" t="s">
        <v>13</v>
      </c>
      <c r="B10" s="3075" t="s">
        <v>14</v>
      </c>
      <c r="C10" s="3075"/>
      <c r="D10" s="3075"/>
      <c r="E10" s="3075"/>
      <c r="F10" s="3075"/>
      <c r="G10" s="3075"/>
      <c r="H10" s="3075"/>
      <c r="I10" s="3075"/>
      <c r="J10" s="3075"/>
      <c r="K10" s="3075"/>
      <c r="L10" s="3075"/>
      <c r="M10" s="3075"/>
      <c r="N10" s="3076"/>
    </row>
    <row r="11" spans="1:19" s="19" customFormat="1" ht="13.5" thickBot="1" x14ac:dyDescent="0.3">
      <c r="A11" s="23" t="s">
        <v>13</v>
      </c>
      <c r="B11" s="24" t="s">
        <v>13</v>
      </c>
      <c r="C11" s="3077" t="s">
        <v>15</v>
      </c>
      <c r="D11" s="3077"/>
      <c r="E11" s="3077"/>
      <c r="F11" s="3077"/>
      <c r="G11" s="3078"/>
      <c r="H11" s="3078"/>
      <c r="I11" s="3078"/>
      <c r="J11" s="3078"/>
      <c r="K11" s="3078"/>
      <c r="L11" s="3078"/>
      <c r="M11" s="3078"/>
      <c r="N11" s="3079"/>
    </row>
    <row r="12" spans="1:19" s="19" customFormat="1" ht="43.5" customHeight="1" x14ac:dyDescent="0.25">
      <c r="A12" s="2286" t="s">
        <v>13</v>
      </c>
      <c r="B12" s="25" t="s">
        <v>13</v>
      </c>
      <c r="C12" s="2290" t="s">
        <v>13</v>
      </c>
      <c r="D12" s="2826" t="s">
        <v>63</v>
      </c>
      <c r="E12" s="164"/>
      <c r="F12" s="2310" t="s">
        <v>26</v>
      </c>
      <c r="G12" s="2311" t="s">
        <v>17</v>
      </c>
      <c r="H12" s="2312">
        <f>2290.4/3.4528*1000</f>
        <v>663345.69045412424</v>
      </c>
      <c r="I12" s="2313">
        <f>2290.4/3.4528*1000</f>
        <v>663345.69045412424</v>
      </c>
      <c r="J12" s="2314">
        <f>2290.4/3.4528*1000</f>
        <v>663345.69045412424</v>
      </c>
      <c r="K12" s="873" t="s">
        <v>303</v>
      </c>
      <c r="L12" s="2315">
        <v>5</v>
      </c>
      <c r="M12" s="2316">
        <v>5</v>
      </c>
      <c r="N12" s="2317">
        <v>5</v>
      </c>
    </row>
    <row r="13" spans="1:19" s="19" customFormat="1" x14ac:dyDescent="0.25">
      <c r="A13" s="2292"/>
      <c r="B13" s="28"/>
      <c r="C13" s="29"/>
      <c r="D13" s="2921"/>
      <c r="E13" s="165"/>
      <c r="F13" s="2318"/>
      <c r="G13" s="2319" t="s">
        <v>27</v>
      </c>
      <c r="H13" s="2320">
        <f>22047.5/3.4528*1000</f>
        <v>6385397.3586654309</v>
      </c>
      <c r="I13" s="2321">
        <f>21089.3/3.4528*1000</f>
        <v>6107883.4569045408</v>
      </c>
      <c r="J13" s="2322">
        <f>21089.3/3.4528*1000</f>
        <v>6107883.4569045408</v>
      </c>
      <c r="K13" s="3100" t="s">
        <v>130</v>
      </c>
      <c r="L13" s="2323">
        <v>4600</v>
      </c>
      <c r="M13" s="2324">
        <v>4500</v>
      </c>
      <c r="N13" s="2325">
        <v>4500</v>
      </c>
    </row>
    <row r="14" spans="1:19" s="19" customFormat="1" x14ac:dyDescent="0.25">
      <c r="A14" s="2292"/>
      <c r="B14" s="28"/>
      <c r="C14" s="29"/>
      <c r="D14" s="2921"/>
      <c r="E14" s="165"/>
      <c r="F14" s="2318"/>
      <c r="G14" s="2319"/>
      <c r="H14" s="2320"/>
      <c r="I14" s="2321"/>
      <c r="J14" s="2322"/>
      <c r="K14" s="3101"/>
      <c r="L14" s="6"/>
      <c r="M14" s="2326"/>
      <c r="N14" s="2327"/>
    </row>
    <row r="15" spans="1:19" s="19" customFormat="1" ht="26.25" customHeight="1" x14ac:dyDescent="0.25">
      <c r="A15" s="2292"/>
      <c r="B15" s="28"/>
      <c r="C15" s="29"/>
      <c r="D15" s="2921"/>
      <c r="E15" s="2328"/>
      <c r="F15" s="2318"/>
      <c r="G15" s="2319"/>
      <c r="H15" s="2320"/>
      <c r="I15" s="2321"/>
      <c r="J15" s="2322"/>
      <c r="K15" s="2329" t="s">
        <v>174</v>
      </c>
      <c r="L15" s="2330">
        <v>183</v>
      </c>
      <c r="M15" s="2324">
        <v>183</v>
      </c>
      <c r="N15" s="2331">
        <v>183</v>
      </c>
    </row>
    <row r="16" spans="1:19" s="19" customFormat="1" ht="28.5" customHeight="1" x14ac:dyDescent="0.25">
      <c r="A16" s="2292"/>
      <c r="B16" s="28"/>
      <c r="C16" s="29"/>
      <c r="D16" s="2332" t="s">
        <v>291</v>
      </c>
      <c r="E16" s="165"/>
      <c r="F16" s="2318"/>
      <c r="G16" s="2319"/>
      <c r="H16" s="2320"/>
      <c r="I16" s="2321"/>
      <c r="J16" s="2322"/>
      <c r="K16" s="2333" t="s">
        <v>129</v>
      </c>
      <c r="L16" s="2323">
        <v>18220</v>
      </c>
      <c r="M16" s="2324">
        <v>18220</v>
      </c>
      <c r="N16" s="2325">
        <v>18220</v>
      </c>
    </row>
    <row r="17" spans="1:14" s="19" customFormat="1" x14ac:dyDescent="0.25">
      <c r="A17" s="2292"/>
      <c r="B17" s="28"/>
      <c r="C17" s="29"/>
      <c r="D17" s="3102" t="s">
        <v>292</v>
      </c>
      <c r="E17" s="165"/>
      <c r="F17" s="2318"/>
      <c r="G17" s="2319"/>
      <c r="H17" s="2320"/>
      <c r="I17" s="2334"/>
      <c r="J17" s="2335"/>
      <c r="K17" s="505"/>
      <c r="L17" s="2336"/>
      <c r="M17" s="2337"/>
      <c r="N17" s="2338"/>
    </row>
    <row r="18" spans="1:14" s="19" customFormat="1" ht="13.5" thickBot="1" x14ac:dyDescent="0.3">
      <c r="A18" s="2292"/>
      <c r="B18" s="28"/>
      <c r="C18" s="29"/>
      <c r="D18" s="2827"/>
      <c r="E18" s="165"/>
      <c r="F18" s="2318"/>
      <c r="G18" s="471" t="s">
        <v>18</v>
      </c>
      <c r="H18" s="2339">
        <f>SUM(H12:H17)</f>
        <v>7048743.0491195554</v>
      </c>
      <c r="I18" s="2340">
        <f>SUM(I12:I17)</f>
        <v>6771229.1473586652</v>
      </c>
      <c r="J18" s="2340">
        <f>SUM(J12:J17)</f>
        <v>6771229.1473586652</v>
      </c>
      <c r="K18" s="2300"/>
      <c r="L18" s="2341"/>
      <c r="M18" s="2342"/>
      <c r="N18" s="2343"/>
    </row>
    <row r="19" spans="1:14" s="19" customFormat="1" ht="24.75" customHeight="1" x14ac:dyDescent="0.25">
      <c r="A19" s="2286" t="s">
        <v>13</v>
      </c>
      <c r="B19" s="25" t="s">
        <v>13</v>
      </c>
      <c r="C19" s="2290" t="s">
        <v>19</v>
      </c>
      <c r="D19" s="2821" t="s">
        <v>64</v>
      </c>
      <c r="E19" s="164"/>
      <c r="F19" s="2310" t="s">
        <v>26</v>
      </c>
      <c r="G19" s="5" t="s">
        <v>17</v>
      </c>
      <c r="H19" s="2344">
        <f>5495.8/3.4528*1000</f>
        <v>1591693.6978683968</v>
      </c>
      <c r="I19" s="2345">
        <f>5829.8/3.4528*1000</f>
        <v>1688426.7840593143</v>
      </c>
      <c r="J19" s="2345">
        <f>5829.8/3.4528*1000</f>
        <v>1688426.7840593143</v>
      </c>
      <c r="K19" s="2821" t="s">
        <v>175</v>
      </c>
      <c r="L19" s="2346">
        <v>464</v>
      </c>
      <c r="M19" s="2347">
        <v>464</v>
      </c>
      <c r="N19" s="2348">
        <v>464</v>
      </c>
    </row>
    <row r="20" spans="1:14" s="19" customFormat="1" ht="15.75" customHeight="1" thickBot="1" x14ac:dyDescent="0.3">
      <c r="A20" s="2292"/>
      <c r="B20" s="28"/>
      <c r="C20" s="29"/>
      <c r="D20" s="2806"/>
      <c r="E20" s="165"/>
      <c r="F20" s="2318"/>
      <c r="G20" s="471" t="s">
        <v>18</v>
      </c>
      <c r="H20" s="2339">
        <f>H19</f>
        <v>1591693.6978683968</v>
      </c>
      <c r="I20" s="2340">
        <f>SUM(I19:I19)</f>
        <v>1688426.7840593143</v>
      </c>
      <c r="J20" s="2349">
        <f>SUM(J19:J19)</f>
        <v>1688426.7840593143</v>
      </c>
      <c r="K20" s="2806"/>
      <c r="L20" s="2350"/>
      <c r="M20" s="2351"/>
      <c r="N20" s="2352"/>
    </row>
    <row r="21" spans="1:14" s="19" customFormat="1" ht="27" customHeight="1" x14ac:dyDescent="0.25">
      <c r="A21" s="2286" t="s">
        <v>13</v>
      </c>
      <c r="B21" s="25" t="s">
        <v>13</v>
      </c>
      <c r="C21" s="2290" t="s">
        <v>22</v>
      </c>
      <c r="D21" s="2821" t="s">
        <v>66</v>
      </c>
      <c r="E21" s="164"/>
      <c r="F21" s="2310" t="s">
        <v>26</v>
      </c>
      <c r="G21" s="2311" t="s">
        <v>17</v>
      </c>
      <c r="H21" s="2344">
        <f>548/3.4528*1000</f>
        <v>158711.77015755331</v>
      </c>
      <c r="I21" s="2353">
        <f>548/3.4528*1000</f>
        <v>158711.77015755331</v>
      </c>
      <c r="J21" s="2353">
        <f>548/3.4528*1000</f>
        <v>158711.77015755331</v>
      </c>
      <c r="K21" s="2821" t="s">
        <v>67</v>
      </c>
      <c r="L21" s="3120">
        <v>17</v>
      </c>
      <c r="M21" s="3122">
        <v>17</v>
      </c>
      <c r="N21" s="3124">
        <v>17</v>
      </c>
    </row>
    <row r="22" spans="1:14" s="19" customFormat="1" ht="13.5" thickBot="1" x14ac:dyDescent="0.3">
      <c r="A22" s="2287"/>
      <c r="B22" s="37"/>
      <c r="C22" s="2291"/>
      <c r="D22" s="2806"/>
      <c r="E22" s="756"/>
      <c r="F22" s="2354"/>
      <c r="G22" s="471" t="s">
        <v>18</v>
      </c>
      <c r="H22" s="2339">
        <f>H21</f>
        <v>158711.77015755331</v>
      </c>
      <c r="I22" s="2355">
        <f>+I21</f>
        <v>158711.77015755331</v>
      </c>
      <c r="J22" s="2355">
        <f>+J21</f>
        <v>158711.77015755331</v>
      </c>
      <c r="K22" s="2806"/>
      <c r="L22" s="3121"/>
      <c r="M22" s="3123"/>
      <c r="N22" s="3125"/>
    </row>
    <row r="23" spans="1:14" s="19" customFormat="1" ht="28.5" customHeight="1" x14ac:dyDescent="0.25">
      <c r="A23" s="2286" t="s">
        <v>13</v>
      </c>
      <c r="B23" s="25" t="s">
        <v>13</v>
      </c>
      <c r="C23" s="2290" t="s">
        <v>24</v>
      </c>
      <c r="D23" s="2826" t="s">
        <v>68</v>
      </c>
      <c r="E23" s="164"/>
      <c r="F23" s="2310" t="s">
        <v>26</v>
      </c>
      <c r="G23" s="2311" t="s">
        <v>17</v>
      </c>
      <c r="H23" s="2312">
        <f>2626.4/3.4528*1000</f>
        <v>760658.01668211317</v>
      </c>
      <c r="I23" s="2313">
        <f>2626.4/3.4528*1000</f>
        <v>760658.01668211317</v>
      </c>
      <c r="J23" s="2313">
        <f>2626.4/3.4528*1000</f>
        <v>760658.01668211317</v>
      </c>
      <c r="K23" s="2821" t="s">
        <v>329</v>
      </c>
      <c r="L23" s="3114">
        <v>2700</v>
      </c>
      <c r="M23" s="3116">
        <v>2700</v>
      </c>
      <c r="N23" s="3118">
        <v>2700</v>
      </c>
    </row>
    <row r="24" spans="1:14" s="19" customFormat="1" ht="13.5" thickBot="1" x14ac:dyDescent="0.3">
      <c r="A24" s="2287"/>
      <c r="B24" s="37"/>
      <c r="C24" s="2291"/>
      <c r="D24" s="2827"/>
      <c r="E24" s="756"/>
      <c r="F24" s="2354"/>
      <c r="G24" s="471" t="s">
        <v>18</v>
      </c>
      <c r="H24" s="2339">
        <f>H23</f>
        <v>760658.01668211317</v>
      </c>
      <c r="I24" s="2355">
        <f>+I23</f>
        <v>760658.01668211317</v>
      </c>
      <c r="J24" s="2355">
        <f>+J23</f>
        <v>760658.01668211317</v>
      </c>
      <c r="K24" s="2806"/>
      <c r="L24" s="3115"/>
      <c r="M24" s="3117"/>
      <c r="N24" s="3119"/>
    </row>
    <row r="25" spans="1:14" s="19" customFormat="1" ht="42.75" customHeight="1" x14ac:dyDescent="0.25">
      <c r="A25" s="2928" t="s">
        <v>13</v>
      </c>
      <c r="B25" s="2929" t="s">
        <v>13</v>
      </c>
      <c r="C25" s="2953" t="s">
        <v>28</v>
      </c>
      <c r="D25" s="2826" t="s">
        <v>20</v>
      </c>
      <c r="E25" s="3132"/>
      <c r="F25" s="3126" t="s">
        <v>26</v>
      </c>
      <c r="G25" s="2356" t="s">
        <v>21</v>
      </c>
      <c r="H25" s="2357">
        <f>36503/3.4528*1000</f>
        <v>10571999.536607971</v>
      </c>
      <c r="I25" s="2358">
        <f>36503/3.4528*1000</f>
        <v>10571999.536607971</v>
      </c>
      <c r="J25" s="2358">
        <f>36503/3.4528*1000</f>
        <v>10571999.536607971</v>
      </c>
      <c r="K25" s="873" t="s">
        <v>69</v>
      </c>
      <c r="L25" s="2359">
        <v>6460</v>
      </c>
      <c r="M25" s="2360">
        <v>6419</v>
      </c>
      <c r="N25" s="2361">
        <v>6419</v>
      </c>
    </row>
    <row r="26" spans="1:14" s="19" customFormat="1" ht="13.5" thickBot="1" x14ac:dyDescent="0.3">
      <c r="A26" s="2986"/>
      <c r="B26" s="2987"/>
      <c r="C26" s="2954"/>
      <c r="D26" s="2827"/>
      <c r="E26" s="3133"/>
      <c r="F26" s="3127"/>
      <c r="G26" s="471" t="s">
        <v>18</v>
      </c>
      <c r="H26" s="2339">
        <f>H25</f>
        <v>10571999.536607971</v>
      </c>
      <c r="I26" s="2355">
        <f>+I25</f>
        <v>10571999.536607971</v>
      </c>
      <c r="J26" s="2340">
        <f>+J25</f>
        <v>10571999.536607971</v>
      </c>
      <c r="K26" s="782"/>
      <c r="L26" s="2362"/>
      <c r="M26" s="2363"/>
      <c r="N26" s="2364"/>
    </row>
    <row r="27" spans="1:14" s="19" customFormat="1" ht="14.25" customHeight="1" x14ac:dyDescent="0.25">
      <c r="A27" s="2286" t="s">
        <v>13</v>
      </c>
      <c r="B27" s="25" t="s">
        <v>13</v>
      </c>
      <c r="C27" s="2290" t="s">
        <v>36</v>
      </c>
      <c r="D27" s="2826" t="s">
        <v>23</v>
      </c>
      <c r="E27" s="163"/>
      <c r="F27" s="2365" t="s">
        <v>26</v>
      </c>
      <c r="G27" s="163" t="s">
        <v>21</v>
      </c>
      <c r="H27" s="2366">
        <f>8981/3.4528*1000</f>
        <v>2601077.3864689525</v>
      </c>
      <c r="I27" s="2345">
        <f>9002/3.4528*1000</f>
        <v>2607159.4068582021</v>
      </c>
      <c r="J27" s="2345">
        <f>9002/3.4528*1000</f>
        <v>2607159.4068582021</v>
      </c>
      <c r="K27" s="3128" t="s">
        <v>69</v>
      </c>
      <c r="L27" s="3130">
        <v>3457</v>
      </c>
      <c r="M27" s="3136">
        <v>3702</v>
      </c>
      <c r="N27" s="3138">
        <v>3702</v>
      </c>
    </row>
    <row r="28" spans="1:14" s="19" customFormat="1" ht="13.5" thickBot="1" x14ac:dyDescent="0.3">
      <c r="A28" s="2287"/>
      <c r="B28" s="37"/>
      <c r="C28" s="2291"/>
      <c r="D28" s="2827"/>
      <c r="E28" s="756"/>
      <c r="F28" s="2354"/>
      <c r="G28" s="471" t="s">
        <v>18</v>
      </c>
      <c r="H28" s="2339">
        <f>H27</f>
        <v>2601077.3864689525</v>
      </c>
      <c r="I28" s="2355">
        <f t="shared" ref="I28:J28" si="0">+I27</f>
        <v>2607159.4068582021</v>
      </c>
      <c r="J28" s="2355">
        <f t="shared" si="0"/>
        <v>2607159.4068582021</v>
      </c>
      <c r="K28" s="3129"/>
      <c r="L28" s="3131"/>
      <c r="M28" s="3137"/>
      <c r="N28" s="3139"/>
    </row>
    <row r="29" spans="1:14" s="18" customFormat="1" ht="27.75" customHeight="1" x14ac:dyDescent="0.25">
      <c r="A29" s="2928" t="s">
        <v>13</v>
      </c>
      <c r="B29" s="2929" t="s">
        <v>13</v>
      </c>
      <c r="C29" s="2876" t="s">
        <v>38</v>
      </c>
      <c r="D29" s="329" t="s">
        <v>25</v>
      </c>
      <c r="E29" s="163"/>
      <c r="F29" s="2367" t="s">
        <v>26</v>
      </c>
      <c r="G29" s="2368" t="s">
        <v>27</v>
      </c>
      <c r="H29" s="2369">
        <f>532.1/3.4528*1000</f>
        <v>154106.81186283598</v>
      </c>
      <c r="I29" s="2321">
        <f>532.1/3.4528*1000</f>
        <v>154106.81186283598</v>
      </c>
      <c r="J29" s="2321">
        <f>532.1/3.4528*1000</f>
        <v>154106.81186283598</v>
      </c>
      <c r="K29" s="3140" t="s">
        <v>109</v>
      </c>
      <c r="L29" s="3114">
        <v>1983</v>
      </c>
      <c r="M29" s="3116">
        <v>1980</v>
      </c>
      <c r="N29" s="3118">
        <v>1980</v>
      </c>
    </row>
    <row r="30" spans="1:14" s="19" customFormat="1" ht="13.5" thickBot="1" x14ac:dyDescent="0.3">
      <c r="A30" s="2871"/>
      <c r="B30" s="2874"/>
      <c r="C30" s="2877"/>
      <c r="D30" s="2370"/>
      <c r="E30" s="165"/>
      <c r="F30" s="2318"/>
      <c r="G30" s="471" t="s">
        <v>18</v>
      </c>
      <c r="H30" s="2339">
        <f>H29</f>
        <v>154106.81186283598</v>
      </c>
      <c r="I30" s="2355">
        <f t="shared" ref="I30:J30" si="1">+I29</f>
        <v>154106.81186283598</v>
      </c>
      <c r="J30" s="2355">
        <f t="shared" si="1"/>
        <v>154106.81186283598</v>
      </c>
      <c r="K30" s="3141"/>
      <c r="L30" s="3115"/>
      <c r="M30" s="3117"/>
      <c r="N30" s="3142"/>
    </row>
    <row r="31" spans="1:14" s="19" customFormat="1" ht="25.5" customHeight="1" x14ac:dyDescent="0.25">
      <c r="A31" s="2928" t="s">
        <v>13</v>
      </c>
      <c r="B31" s="2929" t="s">
        <v>13</v>
      </c>
      <c r="C31" s="45" t="s">
        <v>70</v>
      </c>
      <c r="D31" s="2826" t="s">
        <v>29</v>
      </c>
      <c r="E31" s="164"/>
      <c r="F31" s="662">
        <v>3</v>
      </c>
      <c r="G31" s="163" t="s">
        <v>27</v>
      </c>
      <c r="H31" s="2366">
        <f>570.1/3.4528*1000</f>
        <v>165112.37256719187</v>
      </c>
      <c r="I31" s="2371">
        <f>570.1/3.4528*1000</f>
        <v>165112.37256719187</v>
      </c>
      <c r="J31" s="2371">
        <f>570.1/3.4528*1000</f>
        <v>165112.37256719187</v>
      </c>
      <c r="K31" s="2372" t="s">
        <v>176</v>
      </c>
      <c r="L31" s="2373">
        <v>4900</v>
      </c>
      <c r="M31" s="2374">
        <v>4900</v>
      </c>
      <c r="N31" s="2375">
        <v>4900</v>
      </c>
    </row>
    <row r="32" spans="1:14" s="19" customFormat="1" ht="16.5" customHeight="1" thickBot="1" x14ac:dyDescent="0.3">
      <c r="A32" s="2986"/>
      <c r="B32" s="2987"/>
      <c r="C32" s="49"/>
      <c r="D32" s="2827"/>
      <c r="E32" s="165"/>
      <c r="F32" s="2376"/>
      <c r="G32" s="2377" t="s">
        <v>18</v>
      </c>
      <c r="H32" s="2378">
        <f>H31</f>
        <v>165112.37256719187</v>
      </c>
      <c r="I32" s="2379">
        <f>+I31</f>
        <v>165112.37256719187</v>
      </c>
      <c r="J32" s="2340">
        <f>+J31</f>
        <v>165112.37256719187</v>
      </c>
      <c r="K32" s="2380"/>
      <c r="L32" s="2381"/>
      <c r="M32" s="2363"/>
      <c r="N32" s="2364"/>
    </row>
    <row r="33" spans="1:19" s="18" customFormat="1" ht="13.5" thickBot="1" x14ac:dyDescent="0.3">
      <c r="A33" s="23" t="s">
        <v>13</v>
      </c>
      <c r="B33" s="24" t="s">
        <v>13</v>
      </c>
      <c r="C33" s="2988" t="s">
        <v>30</v>
      </c>
      <c r="D33" s="2989"/>
      <c r="E33" s="2989"/>
      <c r="F33" s="2989"/>
      <c r="G33" s="2990"/>
      <c r="H33" s="2382">
        <f>H32+H30+H28+H26+H24+H22+H20+H18</f>
        <v>23052102.641334571</v>
      </c>
      <c r="I33" s="2383">
        <f>I32+I30+I28+I26+I24+I22+I20+I18</f>
        <v>22877403.846153848</v>
      </c>
      <c r="J33" s="2384">
        <f>J32+J30+J28+J26+J24+J22+J20+J18</f>
        <v>22877403.846153848</v>
      </c>
      <c r="K33" s="2991"/>
      <c r="L33" s="2992"/>
      <c r="M33" s="2992"/>
      <c r="N33" s="2993"/>
      <c r="Q33" s="610"/>
      <c r="S33" s="19"/>
    </row>
    <row r="34" spans="1:19" s="18" customFormat="1" ht="13.5" thickBot="1" x14ac:dyDescent="0.3">
      <c r="A34" s="101" t="s">
        <v>13</v>
      </c>
      <c r="B34" s="24" t="s">
        <v>19</v>
      </c>
      <c r="C34" s="3134" t="s">
        <v>31</v>
      </c>
      <c r="D34" s="3134"/>
      <c r="E34" s="3134"/>
      <c r="F34" s="3134"/>
      <c r="G34" s="3134"/>
      <c r="H34" s="3134"/>
      <c r="I34" s="3134"/>
      <c r="J34" s="3134"/>
      <c r="K34" s="3134"/>
      <c r="L34" s="3134"/>
      <c r="M34" s="3134"/>
      <c r="N34" s="3135"/>
      <c r="P34" s="19"/>
      <c r="Q34" s="19"/>
    </row>
    <row r="35" spans="1:19" s="19" customFormat="1" ht="14.25" customHeight="1" x14ac:dyDescent="0.25">
      <c r="A35" s="2286" t="s">
        <v>13</v>
      </c>
      <c r="B35" s="2288" t="s">
        <v>19</v>
      </c>
      <c r="C35" s="2385" t="s">
        <v>13</v>
      </c>
      <c r="D35" s="3246" t="s">
        <v>56</v>
      </c>
      <c r="E35" s="2386"/>
      <c r="F35" s="662">
        <v>3</v>
      </c>
      <c r="G35" s="2387" t="s">
        <v>27</v>
      </c>
      <c r="H35" s="2388">
        <f>9377/3.4528*1000</f>
        <v>2715766.9138090829</v>
      </c>
      <c r="I35" s="2389">
        <f>9825.1/3.4528*1000</f>
        <v>2845545.6441149213</v>
      </c>
      <c r="J35" s="2390">
        <f>9872.8/3.4528*1000</f>
        <v>2859360.5189990732</v>
      </c>
      <c r="K35" s="3244" t="s">
        <v>178</v>
      </c>
      <c r="L35" s="2391">
        <v>418</v>
      </c>
      <c r="M35" s="2392">
        <v>418</v>
      </c>
      <c r="N35" s="2393">
        <v>418</v>
      </c>
      <c r="O35" s="2394"/>
      <c r="P35" s="3155"/>
      <c r="Q35" s="2395"/>
    </row>
    <row r="36" spans="1:19" s="19" customFormat="1" ht="14.25" customHeight="1" x14ac:dyDescent="0.25">
      <c r="A36" s="2292"/>
      <c r="B36" s="2293"/>
      <c r="C36" s="68"/>
      <c r="D36" s="3247"/>
      <c r="E36" s="601"/>
      <c r="F36" s="513"/>
      <c r="G36" s="2319" t="s">
        <v>32</v>
      </c>
      <c r="H36" s="2396">
        <f>1689.5/3.4528*1000</f>
        <v>489313.02131603338</v>
      </c>
      <c r="I36" s="2389">
        <f>1820.2/3.4528*1000</f>
        <v>527166.35773864703</v>
      </c>
      <c r="J36" s="2397">
        <f>1830.2/3.4528*1000</f>
        <v>530062.55792400369</v>
      </c>
      <c r="K36" s="3245"/>
      <c r="L36" s="2398"/>
      <c r="M36" s="2399"/>
      <c r="N36" s="2400"/>
      <c r="O36" s="2394"/>
      <c r="P36" s="3155"/>
    </row>
    <row r="37" spans="1:19" s="19" customFormat="1" ht="14.25" customHeight="1" x14ac:dyDescent="0.25">
      <c r="A37" s="2292"/>
      <c r="B37" s="2293"/>
      <c r="C37" s="68"/>
      <c r="D37" s="2401"/>
      <c r="E37" s="601"/>
      <c r="F37" s="513"/>
      <c r="G37" s="2402" t="s">
        <v>17</v>
      </c>
      <c r="H37" s="2403">
        <f>1668/3.4528*1000</f>
        <v>483086.19091751624</v>
      </c>
      <c r="I37" s="2404">
        <f>1674.9/3.4528*1000</f>
        <v>485084.56904541247</v>
      </c>
      <c r="J37" s="2405">
        <f>1674.9/3.4528*1000</f>
        <v>485084.56904541247</v>
      </c>
      <c r="K37" s="3245"/>
      <c r="L37" s="6"/>
      <c r="M37" s="2406"/>
      <c r="N37" s="2407"/>
      <c r="O37" s="2394"/>
      <c r="P37" s="3155"/>
    </row>
    <row r="38" spans="1:19" s="19" customFormat="1" ht="14.25" customHeight="1" x14ac:dyDescent="0.25">
      <c r="A38" s="2292"/>
      <c r="B38" s="2293"/>
      <c r="C38" s="68"/>
      <c r="D38" s="2401"/>
      <c r="E38" s="601"/>
      <c r="F38" s="513"/>
      <c r="G38" s="2408" t="s">
        <v>21</v>
      </c>
      <c r="H38" s="2409">
        <f>681/3.4528*1000</f>
        <v>197231.23262279891</v>
      </c>
      <c r="I38" s="2410">
        <f>691/3.4528*1000</f>
        <v>200127.43280815569</v>
      </c>
      <c r="J38" s="2411">
        <f>691/3.4528*1000</f>
        <v>200127.43280815569</v>
      </c>
      <c r="K38" s="2412" t="s">
        <v>179</v>
      </c>
      <c r="L38" s="2413">
        <v>718</v>
      </c>
      <c r="M38" s="2414">
        <v>718</v>
      </c>
      <c r="N38" s="2415">
        <v>718</v>
      </c>
      <c r="O38" s="2394"/>
      <c r="P38" s="3155"/>
    </row>
    <row r="39" spans="1:19" s="19" customFormat="1" ht="14.25" customHeight="1" x14ac:dyDescent="0.25">
      <c r="A39" s="2292"/>
      <c r="B39" s="2293"/>
      <c r="C39" s="68"/>
      <c r="D39" s="2401"/>
      <c r="E39" s="601"/>
      <c r="F39" s="513"/>
      <c r="G39" s="2402" t="s">
        <v>42</v>
      </c>
      <c r="H39" s="2403">
        <f>88.1/3.4528*1000</f>
        <v>25515.523632993514</v>
      </c>
      <c r="I39" s="2416">
        <f>4/3.4528*1000</f>
        <v>1158.4800741427248</v>
      </c>
      <c r="J39" s="2417">
        <f>4/3.4528*1000</f>
        <v>1158.4800741427248</v>
      </c>
      <c r="K39" s="2418"/>
      <c r="L39" s="2398"/>
      <c r="M39" s="2399"/>
      <c r="N39" s="2419"/>
      <c r="O39" s="2394"/>
      <c r="P39" s="3155"/>
    </row>
    <row r="40" spans="1:19" s="19" customFormat="1" ht="17.25" customHeight="1" x14ac:dyDescent="0.25">
      <c r="A40" s="2292"/>
      <c r="B40" s="2293"/>
      <c r="C40" s="68"/>
      <c r="D40" s="169" t="s">
        <v>177</v>
      </c>
      <c r="E40" s="601"/>
      <c r="F40" s="513"/>
      <c r="H40" s="2396"/>
      <c r="I40" s="2420"/>
      <c r="J40" s="2421"/>
      <c r="K40" s="2422"/>
      <c r="L40" s="2381"/>
      <c r="M40" s="2363"/>
      <c r="N40" s="2364"/>
      <c r="O40" s="608"/>
      <c r="P40" s="3155"/>
      <c r="Q40" s="608"/>
      <c r="R40" s="608"/>
    </row>
    <row r="41" spans="1:19" s="19" customFormat="1" ht="24.75" customHeight="1" x14ac:dyDescent="0.25">
      <c r="A41" s="2292"/>
      <c r="B41" s="2293"/>
      <c r="C41" s="68"/>
      <c r="D41" s="169" t="s">
        <v>142</v>
      </c>
      <c r="E41" s="601"/>
      <c r="F41" s="513"/>
      <c r="G41" s="2319"/>
      <c r="H41" s="2396"/>
      <c r="I41" s="2410"/>
      <c r="J41" s="2411"/>
      <c r="K41" s="2423"/>
      <c r="L41" s="2424"/>
      <c r="M41" s="2425"/>
      <c r="N41" s="2426"/>
      <c r="P41" s="3155"/>
    </row>
    <row r="42" spans="1:19" s="19" customFormat="1" ht="27" customHeight="1" x14ac:dyDescent="0.25">
      <c r="A42" s="2292"/>
      <c r="B42" s="2293"/>
      <c r="C42" s="68"/>
      <c r="D42" s="2814" t="s">
        <v>180</v>
      </c>
      <c r="E42" s="601"/>
      <c r="F42" s="513"/>
      <c r="G42" s="2328"/>
      <c r="H42" s="2427"/>
      <c r="I42" s="2428"/>
      <c r="J42" s="2411"/>
      <c r="K42" s="2429"/>
      <c r="L42" s="2430"/>
      <c r="M42" s="2431"/>
      <c r="N42" s="2432"/>
    </row>
    <row r="43" spans="1:19" s="19" customFormat="1" ht="23.25" customHeight="1" x14ac:dyDescent="0.25">
      <c r="A43" s="2292"/>
      <c r="B43" s="2293"/>
      <c r="C43" s="68"/>
      <c r="D43" s="2814"/>
      <c r="E43" s="601"/>
      <c r="F43" s="513"/>
      <c r="G43" s="2328"/>
      <c r="H43" s="2427"/>
      <c r="I43" s="2410"/>
      <c r="J43" s="2411"/>
      <c r="K43" s="2429"/>
      <c r="L43" s="2430"/>
      <c r="M43" s="2431"/>
      <c r="N43" s="2432"/>
    </row>
    <row r="44" spans="1:19" s="19" customFormat="1" ht="15" customHeight="1" x14ac:dyDescent="0.25">
      <c r="A44" s="2292"/>
      <c r="B44" s="2293"/>
      <c r="C44" s="68"/>
      <c r="D44" s="169" t="s">
        <v>181</v>
      </c>
      <c r="E44" s="601"/>
      <c r="F44" s="513"/>
      <c r="G44" s="2319"/>
      <c r="H44" s="2396"/>
      <c r="I44" s="2433"/>
      <c r="J44" s="2434"/>
      <c r="K44" s="2422"/>
      <c r="L44" s="2435"/>
      <c r="M44" s="2436"/>
      <c r="N44" s="2437"/>
    </row>
    <row r="45" spans="1:19" s="19" customFormat="1" ht="25.5" x14ac:dyDescent="0.25">
      <c r="A45" s="2292"/>
      <c r="B45" s="2293"/>
      <c r="C45" s="68"/>
      <c r="D45" s="169" t="s">
        <v>306</v>
      </c>
      <c r="E45" s="599"/>
      <c r="F45" s="513"/>
      <c r="G45" s="2319"/>
      <c r="H45" s="2396"/>
      <c r="I45" s="2438"/>
      <c r="J45" s="2439"/>
      <c r="K45" s="2422"/>
      <c r="L45" s="2319"/>
      <c r="M45" s="2440"/>
      <c r="N45" s="2364"/>
    </row>
    <row r="46" spans="1:19" s="19" customFormat="1" ht="38.25" x14ac:dyDescent="0.25">
      <c r="A46" s="2292"/>
      <c r="B46" s="2293"/>
      <c r="C46" s="68"/>
      <c r="D46" s="169" t="s">
        <v>307</v>
      </c>
      <c r="E46" s="599"/>
      <c r="F46" s="513"/>
      <c r="G46" s="2319"/>
      <c r="H46" s="2396"/>
      <c r="I46" s="2438"/>
      <c r="J46" s="2439"/>
      <c r="K46" s="2422"/>
      <c r="L46" s="2319"/>
      <c r="M46" s="2440"/>
      <c r="N46" s="2364"/>
    </row>
    <row r="47" spans="1:19" s="19" customFormat="1" ht="30" customHeight="1" x14ac:dyDescent="0.25">
      <c r="A47" s="2292"/>
      <c r="B47" s="2293"/>
      <c r="C47" s="68"/>
      <c r="D47" s="169" t="s">
        <v>183</v>
      </c>
      <c r="E47" s="599"/>
      <c r="F47" s="513"/>
      <c r="G47" s="2319"/>
      <c r="H47" s="2396"/>
      <c r="I47" s="2428"/>
      <c r="J47" s="2411"/>
      <c r="K47" s="2422"/>
      <c r="L47" s="2424"/>
      <c r="M47" s="2431"/>
      <c r="N47" s="2432"/>
    </row>
    <row r="48" spans="1:19" s="19" customFormat="1" x14ac:dyDescent="0.25">
      <c r="A48" s="2292"/>
      <c r="B48" s="2293"/>
      <c r="C48" s="68"/>
      <c r="D48" s="2814" t="s">
        <v>184</v>
      </c>
      <c r="E48" s="599"/>
      <c r="F48" s="513"/>
      <c r="G48" s="2319"/>
      <c r="H48" s="2396"/>
      <c r="I48" s="2438"/>
      <c r="J48" s="2439"/>
      <c r="K48" s="2422"/>
      <c r="L48" s="2441"/>
      <c r="M48" s="2442"/>
      <c r="N48" s="2443"/>
    </row>
    <row r="49" spans="1:18" s="19" customFormat="1" ht="12" customHeight="1" x14ac:dyDescent="0.25">
      <c r="A49" s="2292"/>
      <c r="B49" s="2293"/>
      <c r="C49" s="13"/>
      <c r="D49" s="2814"/>
      <c r="E49" s="171"/>
      <c r="F49" s="513"/>
      <c r="G49" s="2319"/>
      <c r="H49" s="2396"/>
      <c r="I49" s="2438"/>
      <c r="J49" s="2439"/>
      <c r="K49" s="2444"/>
      <c r="L49" s="2381"/>
      <c r="M49" s="2363"/>
      <c r="N49" s="2364"/>
    </row>
    <row r="50" spans="1:18" s="19" customFormat="1" x14ac:dyDescent="0.25">
      <c r="A50" s="2292"/>
      <c r="B50" s="2293"/>
      <c r="C50" s="2445"/>
      <c r="D50" s="2814" t="s">
        <v>304</v>
      </c>
      <c r="E50" s="600"/>
      <c r="F50" s="2446"/>
      <c r="G50" s="2319"/>
      <c r="H50" s="2396"/>
      <c r="I50" s="2447"/>
      <c r="J50" s="2448"/>
      <c r="K50" s="2422"/>
      <c r="L50" s="2381"/>
      <c r="M50" s="2363"/>
      <c r="N50" s="2364"/>
    </row>
    <row r="51" spans="1:18" s="19" customFormat="1" ht="12" customHeight="1" x14ac:dyDescent="0.25">
      <c r="A51" s="2292"/>
      <c r="B51" s="2293"/>
      <c r="C51" s="2445"/>
      <c r="D51" s="2814"/>
      <c r="E51" s="600"/>
      <c r="F51" s="2446"/>
      <c r="G51" s="2319"/>
      <c r="H51" s="2396"/>
      <c r="I51" s="2433"/>
      <c r="J51" s="2434"/>
      <c r="K51" s="2444"/>
      <c r="L51" s="2381"/>
      <c r="M51" s="2363"/>
      <c r="N51" s="2364"/>
    </row>
    <row r="52" spans="1:18" s="67" customFormat="1" x14ac:dyDescent="0.25">
      <c r="A52" s="2292"/>
      <c r="B52" s="2293"/>
      <c r="C52" s="2449"/>
      <c r="D52" s="2814" t="s">
        <v>186</v>
      </c>
      <c r="E52" s="601"/>
      <c r="F52" s="513"/>
      <c r="G52" s="2319"/>
      <c r="H52" s="2396"/>
      <c r="I52" s="2433"/>
      <c r="J52" s="2434"/>
      <c r="K52" s="2422"/>
      <c r="L52" s="2450"/>
      <c r="M52" s="2363"/>
      <c r="N52" s="2364"/>
    </row>
    <row r="53" spans="1:18" s="67" customFormat="1" ht="16.5" customHeight="1" x14ac:dyDescent="0.25">
      <c r="A53" s="2292"/>
      <c r="B53" s="2293"/>
      <c r="C53" s="2449"/>
      <c r="D53" s="2814"/>
      <c r="E53" s="601"/>
      <c r="F53" s="513"/>
      <c r="G53" s="2319"/>
      <c r="H53" s="2396"/>
      <c r="I53" s="2433"/>
      <c r="J53" s="2434"/>
      <c r="K53" s="2422"/>
      <c r="L53" s="2381"/>
      <c r="M53" s="2363"/>
      <c r="N53" s="2364"/>
    </row>
    <row r="54" spans="1:18" s="19" customFormat="1" ht="41.25" customHeight="1" x14ac:dyDescent="0.25">
      <c r="A54" s="2451"/>
      <c r="B54" s="2452"/>
      <c r="C54" s="2749"/>
      <c r="D54" s="2767" t="s">
        <v>188</v>
      </c>
      <c r="E54" s="2453"/>
      <c r="F54" s="2454"/>
      <c r="G54" s="2387"/>
      <c r="H54" s="2455"/>
      <c r="I54" s="2389"/>
      <c r="J54" s="2397"/>
      <c r="K54" s="2768"/>
      <c r="L54" s="2456"/>
      <c r="M54" s="2457"/>
      <c r="N54" s="2458"/>
    </row>
    <row r="55" spans="1:18" s="19" customFormat="1" ht="20.25" customHeight="1" x14ac:dyDescent="0.25">
      <c r="A55" s="2756"/>
      <c r="B55" s="2757"/>
      <c r="C55" s="2758"/>
      <c r="D55" s="2890" t="s">
        <v>305</v>
      </c>
      <c r="E55" s="2759"/>
      <c r="F55" s="2760"/>
      <c r="G55" s="2402"/>
      <c r="H55" s="2403"/>
      <c r="I55" s="2669"/>
      <c r="J55" s="2620"/>
      <c r="K55" s="3143"/>
      <c r="L55" s="3145"/>
      <c r="M55" s="3147"/>
      <c r="N55" s="3149"/>
    </row>
    <row r="56" spans="1:18" s="19" customFormat="1" ht="20.25" customHeight="1" x14ac:dyDescent="0.25">
      <c r="A56" s="2753"/>
      <c r="B56" s="28"/>
      <c r="C56" s="68"/>
      <c r="D56" s="2891"/>
      <c r="E56" s="2754"/>
      <c r="F56" s="2755"/>
      <c r="G56" s="2319"/>
      <c r="H56" s="2396"/>
      <c r="I56" s="2433"/>
      <c r="J56" s="2434"/>
      <c r="K56" s="3144"/>
      <c r="L56" s="3146"/>
      <c r="M56" s="3148"/>
      <c r="N56" s="3150"/>
    </row>
    <row r="57" spans="1:18" s="19" customFormat="1" ht="18.75" customHeight="1" x14ac:dyDescent="0.25">
      <c r="A57" s="2305"/>
      <c r="B57" s="2306"/>
      <c r="C57" s="68"/>
      <c r="D57" s="2814" t="s">
        <v>72</v>
      </c>
      <c r="E57" s="2638"/>
      <c r="F57" s="2639"/>
      <c r="G57" s="2319"/>
      <c r="H57" s="2396"/>
      <c r="I57" s="2433"/>
      <c r="J57" s="2434"/>
      <c r="K57" s="2460"/>
      <c r="L57" s="2461"/>
      <c r="M57" s="2462"/>
      <c r="N57" s="2463"/>
    </row>
    <row r="58" spans="1:18" s="19" customFormat="1" ht="23.25" customHeight="1" x14ac:dyDescent="0.25">
      <c r="A58" s="2305"/>
      <c r="B58" s="28"/>
      <c r="C58" s="68"/>
      <c r="D58" s="2814"/>
      <c r="E58" s="2638"/>
      <c r="F58" s="2639"/>
      <c r="G58" s="2319"/>
      <c r="H58" s="2396"/>
      <c r="I58" s="2433"/>
      <c r="J58" s="2434"/>
      <c r="K58" s="2460"/>
      <c r="L58" s="2461"/>
      <c r="M58" s="2462"/>
      <c r="N58" s="2463"/>
    </row>
    <row r="59" spans="1:18" s="19" customFormat="1" ht="17.25" customHeight="1" x14ac:dyDescent="0.25">
      <c r="A59" s="2305"/>
      <c r="B59" s="28"/>
      <c r="C59" s="68"/>
      <c r="D59" s="2814" t="s">
        <v>299</v>
      </c>
      <c r="E59" s="2638"/>
      <c r="F59" s="2639"/>
      <c r="G59" s="2319"/>
      <c r="H59" s="2396"/>
      <c r="I59" s="2433"/>
      <c r="J59" s="2434"/>
      <c r="K59" s="3156" t="s">
        <v>330</v>
      </c>
      <c r="L59" s="2464" t="s">
        <v>298</v>
      </c>
      <c r="M59" s="2459">
        <v>8</v>
      </c>
      <c r="N59" s="2465">
        <v>8</v>
      </c>
    </row>
    <row r="60" spans="1:18" s="19" customFormat="1" ht="12.75" customHeight="1" thickBot="1" x14ac:dyDescent="0.3">
      <c r="A60" s="2307"/>
      <c r="B60" s="37"/>
      <c r="C60" s="2761"/>
      <c r="D60" s="2908"/>
      <c r="E60" s="2762"/>
      <c r="F60" s="2376"/>
      <c r="G60" s="2763" t="s">
        <v>18</v>
      </c>
      <c r="H60" s="2520">
        <f>SUM(H35:H57)</f>
        <v>3910912.8822984248</v>
      </c>
      <c r="I60" s="2645">
        <f>SUM(I35:I57)</f>
        <v>4059082.4837812791</v>
      </c>
      <c r="J60" s="2520">
        <f>SUM(J35:J57)</f>
        <v>4075793.5588507876</v>
      </c>
      <c r="K60" s="3141"/>
      <c r="L60" s="2764"/>
      <c r="M60" s="2765"/>
      <c r="N60" s="2766"/>
    </row>
    <row r="61" spans="1:18" s="18" customFormat="1" ht="39.75" customHeight="1" x14ac:dyDescent="0.25">
      <c r="A61" s="2964" t="s">
        <v>13</v>
      </c>
      <c r="B61" s="2966" t="s">
        <v>19</v>
      </c>
      <c r="C61" s="2968" t="s">
        <v>19</v>
      </c>
      <c r="D61" s="2821" t="s">
        <v>54</v>
      </c>
      <c r="E61" s="2955"/>
      <c r="F61" s="3151" t="s">
        <v>26</v>
      </c>
      <c r="G61" s="74" t="s">
        <v>27</v>
      </c>
      <c r="H61" s="2466">
        <f>960/3.4528*1000</f>
        <v>278035.2177942539</v>
      </c>
      <c r="I61" s="2467">
        <f>960/3.4528*1000</f>
        <v>278035.2177942539</v>
      </c>
      <c r="J61" s="2467">
        <f>960/3.4528*1000</f>
        <v>278035.2177942539</v>
      </c>
      <c r="K61" s="3153" t="s">
        <v>331</v>
      </c>
      <c r="L61" s="2468">
        <v>70</v>
      </c>
      <c r="M61" s="2469">
        <v>70</v>
      </c>
      <c r="N61" s="2470">
        <v>70</v>
      </c>
    </row>
    <row r="62" spans="1:18" s="19" customFormat="1" ht="13.5" thickBot="1" x14ac:dyDescent="0.3">
      <c r="A62" s="2965"/>
      <c r="B62" s="2967"/>
      <c r="C62" s="2969"/>
      <c r="D62" s="2806"/>
      <c r="E62" s="2956"/>
      <c r="F62" s="3152"/>
      <c r="G62" s="470" t="s">
        <v>18</v>
      </c>
      <c r="H62" s="2340">
        <f>H61</f>
        <v>278035.2177942539</v>
      </c>
      <c r="I62" s="2471">
        <f>SUM(I61)</f>
        <v>278035.2177942539</v>
      </c>
      <c r="J62" s="2340">
        <f>SUM(J61)</f>
        <v>278035.2177942539</v>
      </c>
      <c r="K62" s="3154"/>
      <c r="L62" s="2472"/>
      <c r="M62" s="2473"/>
      <c r="N62" s="2474"/>
    </row>
    <row r="63" spans="1:18" s="18" customFormat="1" ht="27.75" customHeight="1" x14ac:dyDescent="0.25">
      <c r="A63" s="2297" t="s">
        <v>13</v>
      </c>
      <c r="B63" s="2298" t="s">
        <v>19</v>
      </c>
      <c r="C63" s="2290" t="s">
        <v>22</v>
      </c>
      <c r="D63" s="3157" t="s">
        <v>55</v>
      </c>
      <c r="E63" s="2475"/>
      <c r="F63" s="2476" t="s">
        <v>26</v>
      </c>
      <c r="G63" s="74" t="s">
        <v>27</v>
      </c>
      <c r="H63" s="2466">
        <f>1217.9/3.4528*1000</f>
        <v>352728.22057460615</v>
      </c>
      <c r="I63" s="2477">
        <f>1008.9/3.4528*1000</f>
        <v>292197.63670064876</v>
      </c>
      <c r="J63" s="2477">
        <f>1008.9/3.4528*1000</f>
        <v>292197.63670064876</v>
      </c>
      <c r="K63" s="2478" t="s">
        <v>193</v>
      </c>
      <c r="L63" s="2479">
        <v>89</v>
      </c>
      <c r="M63" s="2469">
        <v>71</v>
      </c>
      <c r="N63" s="2480">
        <v>71</v>
      </c>
      <c r="R63" s="19"/>
    </row>
    <row r="64" spans="1:18" s="18" customFormat="1" ht="53.25" customHeight="1" x14ac:dyDescent="0.25">
      <c r="A64" s="78"/>
      <c r="B64" s="79"/>
      <c r="C64" s="29"/>
      <c r="D64" s="3158"/>
      <c r="E64" s="2481"/>
      <c r="F64" s="2482"/>
      <c r="G64" s="501"/>
      <c r="H64" s="2427"/>
      <c r="I64" s="2433"/>
      <c r="J64" s="2434"/>
      <c r="K64" s="3159" t="s">
        <v>194</v>
      </c>
      <c r="L64" s="2483">
        <v>208</v>
      </c>
      <c r="M64" s="2484">
        <v>208</v>
      </c>
      <c r="N64" s="2485">
        <v>208</v>
      </c>
      <c r="R64" s="19"/>
    </row>
    <row r="65" spans="1:22" s="18" customFormat="1" ht="39.75" customHeight="1" x14ac:dyDescent="0.25">
      <c r="A65" s="78"/>
      <c r="B65" s="79"/>
      <c r="C65" s="29"/>
      <c r="D65" s="505" t="s">
        <v>189</v>
      </c>
      <c r="E65" s="2481"/>
      <c r="F65" s="2482"/>
      <c r="G65" s="501"/>
      <c r="H65" s="2427"/>
      <c r="I65" s="2428"/>
      <c r="J65" s="2411"/>
      <c r="K65" s="3160"/>
      <c r="L65" s="2486"/>
      <c r="M65" s="2487"/>
      <c r="N65" s="2488"/>
      <c r="V65" s="19"/>
    </row>
    <row r="66" spans="1:22" s="18" customFormat="1" ht="38.25" x14ac:dyDescent="0.25">
      <c r="A66" s="78"/>
      <c r="B66" s="79"/>
      <c r="C66" s="29"/>
      <c r="D66" s="505" t="s">
        <v>190</v>
      </c>
      <c r="E66" s="2481"/>
      <c r="F66" s="2482"/>
      <c r="G66" s="501"/>
      <c r="H66" s="2427"/>
      <c r="I66" s="2433"/>
      <c r="J66" s="2434"/>
      <c r="K66" s="505"/>
      <c r="L66" s="2489"/>
      <c r="M66" s="2431"/>
      <c r="N66" s="2432"/>
    </row>
    <row r="67" spans="1:22" s="18" customFormat="1" ht="40.5" customHeight="1" x14ac:dyDescent="0.25">
      <c r="A67" s="78"/>
      <c r="B67" s="79"/>
      <c r="C67" s="29"/>
      <c r="D67" s="505" t="s">
        <v>191</v>
      </c>
      <c r="E67" s="2481"/>
      <c r="F67" s="2482"/>
      <c r="G67" s="501"/>
      <c r="H67" s="2427"/>
      <c r="I67" s="2433"/>
      <c r="J67" s="2434"/>
      <c r="K67" s="505"/>
      <c r="L67" s="2490"/>
      <c r="M67" s="2431"/>
      <c r="N67" s="2432"/>
    </row>
    <row r="68" spans="1:22" s="18" customFormat="1" ht="68.25" customHeight="1" x14ac:dyDescent="0.25">
      <c r="A68" s="78"/>
      <c r="B68" s="79"/>
      <c r="C68" s="29"/>
      <c r="D68" s="2370" t="s">
        <v>192</v>
      </c>
      <c r="E68" s="2481"/>
      <c r="F68" s="2482"/>
      <c r="G68" s="501"/>
      <c r="H68" s="2427"/>
      <c r="I68" s="2433"/>
      <c r="J68" s="2434"/>
      <c r="K68" s="505"/>
      <c r="L68" s="165"/>
      <c r="M68" s="2431"/>
      <c r="N68" s="2491"/>
      <c r="Q68" s="19"/>
    </row>
    <row r="69" spans="1:22" s="18" customFormat="1" ht="31.5" customHeight="1" x14ac:dyDescent="0.25">
      <c r="A69" s="78"/>
      <c r="B69" s="79"/>
      <c r="C69" s="29"/>
      <c r="D69" s="2805" t="s">
        <v>289</v>
      </c>
      <c r="E69" s="2481"/>
      <c r="F69" s="2482"/>
      <c r="G69" s="609"/>
      <c r="H69" s="2427"/>
      <c r="I69" s="2433"/>
      <c r="J69" s="2434"/>
      <c r="K69" s="2805"/>
      <c r="L69" s="165"/>
      <c r="M69" s="2431"/>
      <c r="N69" s="2491"/>
    </row>
    <row r="70" spans="1:22" s="18" customFormat="1" ht="31.5" customHeight="1" x14ac:dyDescent="0.25">
      <c r="A70" s="78"/>
      <c r="B70" s="79"/>
      <c r="C70" s="29"/>
      <c r="D70" s="2805"/>
      <c r="E70" s="2481"/>
      <c r="F70" s="2482"/>
      <c r="G70" s="609"/>
      <c r="H70" s="2427"/>
      <c r="I70" s="2492"/>
      <c r="J70" s="2493"/>
      <c r="K70" s="2805"/>
      <c r="L70" s="165"/>
      <c r="M70" s="2431"/>
      <c r="N70" s="2491"/>
    </row>
    <row r="71" spans="1:22" s="19" customFormat="1" ht="13.5" thickBot="1" x14ac:dyDescent="0.3">
      <c r="A71" s="9"/>
      <c r="B71" s="2299"/>
      <c r="C71" s="11"/>
      <c r="D71" s="2806"/>
      <c r="E71" s="2494"/>
      <c r="F71" s="175"/>
      <c r="G71" s="470" t="s">
        <v>18</v>
      </c>
      <c r="H71" s="2340">
        <f>SUM(H63:H70)</f>
        <v>352728.22057460615</v>
      </c>
      <c r="I71" s="2339">
        <f t="shared" ref="I71:J71" si="2">SUM(I63:I70)</f>
        <v>292197.63670064876</v>
      </c>
      <c r="J71" s="2339">
        <f t="shared" si="2"/>
        <v>292197.63670064876</v>
      </c>
      <c r="K71" s="782"/>
      <c r="L71" s="2495"/>
      <c r="M71" s="2496"/>
      <c r="N71" s="2497"/>
    </row>
    <row r="72" spans="1:22" s="18" customFormat="1" ht="28.5" customHeight="1" x14ac:dyDescent="0.25">
      <c r="A72" s="2949" t="s">
        <v>13</v>
      </c>
      <c r="B72" s="2951" t="s">
        <v>19</v>
      </c>
      <c r="C72" s="2953" t="s">
        <v>24</v>
      </c>
      <c r="D72" s="2498" t="s">
        <v>318</v>
      </c>
      <c r="E72" s="2955"/>
      <c r="F72" s="3161" t="s">
        <v>26</v>
      </c>
      <c r="G72" s="74" t="s">
        <v>27</v>
      </c>
      <c r="H72" s="2466">
        <f>110/3.4528*1000</f>
        <v>31858.202038924934</v>
      </c>
      <c r="I72" s="2499">
        <f>110/3.4528*1000</f>
        <v>31858.202038924934</v>
      </c>
      <c r="J72" s="2499">
        <f>110/3.4528*1000</f>
        <v>31858.202038924934</v>
      </c>
      <c r="K72" s="3153" t="s">
        <v>168</v>
      </c>
      <c r="L72" s="3164">
        <v>24</v>
      </c>
      <c r="M72" s="3167">
        <v>24</v>
      </c>
      <c r="N72" s="3170">
        <v>24</v>
      </c>
    </row>
    <row r="73" spans="1:22" s="18" customFormat="1" ht="43.5" customHeight="1" x14ac:dyDescent="0.25">
      <c r="A73" s="3173"/>
      <c r="B73" s="3174"/>
      <c r="C73" s="3175"/>
      <c r="D73" s="2303" t="s">
        <v>33</v>
      </c>
      <c r="E73" s="3176"/>
      <c r="F73" s="3162"/>
      <c r="G73" s="501"/>
      <c r="H73" s="2427"/>
      <c r="I73" s="2334"/>
      <c r="J73" s="2335"/>
      <c r="K73" s="3160"/>
      <c r="L73" s="3165"/>
      <c r="M73" s="3168"/>
      <c r="N73" s="3171"/>
    </row>
    <row r="74" spans="1:22" s="18" customFormat="1" ht="65.25" customHeight="1" x14ac:dyDescent="0.25">
      <c r="A74" s="3173"/>
      <c r="B74" s="3174"/>
      <c r="C74" s="3175"/>
      <c r="D74" s="2798" t="s">
        <v>319</v>
      </c>
      <c r="E74" s="3176"/>
      <c r="F74" s="3162"/>
      <c r="G74" s="2500" t="s">
        <v>27</v>
      </c>
      <c r="H74" s="2409">
        <f>160/3.4528*1000</f>
        <v>46339.202965708995</v>
      </c>
      <c r="I74" s="2405"/>
      <c r="J74" s="2501"/>
      <c r="K74" s="3160"/>
      <c r="L74" s="3165"/>
      <c r="M74" s="3168"/>
      <c r="N74" s="3171"/>
    </row>
    <row r="75" spans="1:22" s="18" customFormat="1" ht="15.75" customHeight="1" thickBot="1" x14ac:dyDescent="0.3">
      <c r="A75" s="2950"/>
      <c r="B75" s="2952"/>
      <c r="C75" s="2954"/>
      <c r="D75" s="2799"/>
      <c r="E75" s="2956"/>
      <c r="F75" s="3163"/>
      <c r="G75" s="477" t="s">
        <v>18</v>
      </c>
      <c r="H75" s="2502">
        <f>SUM(H72:H74)</f>
        <v>78197.405004633925</v>
      </c>
      <c r="I75" s="2340">
        <f>SUM(I72)</f>
        <v>31858.202038924934</v>
      </c>
      <c r="J75" s="2503">
        <f>SUM(J72)</f>
        <v>31858.202038924934</v>
      </c>
      <c r="K75" s="3154"/>
      <c r="L75" s="3166"/>
      <c r="M75" s="3169"/>
      <c r="N75" s="3172"/>
    </row>
    <row r="76" spans="1:22" s="18" customFormat="1" ht="12" customHeight="1" x14ac:dyDescent="0.25">
      <c r="A76" s="2928" t="s">
        <v>13</v>
      </c>
      <c r="B76" s="2929" t="s">
        <v>19</v>
      </c>
      <c r="C76" s="2294" t="s">
        <v>28</v>
      </c>
      <c r="D76" s="2826" t="s">
        <v>34</v>
      </c>
      <c r="E76" s="178"/>
      <c r="F76" s="2504" t="s">
        <v>35</v>
      </c>
      <c r="G76" s="84" t="s">
        <v>27</v>
      </c>
      <c r="H76" s="2505">
        <f>100/3.4528*1000</f>
        <v>28962.001853568119</v>
      </c>
      <c r="I76" s="2506">
        <f>100/3.4528*1000</f>
        <v>28962.001853568119</v>
      </c>
      <c r="J76" s="2506">
        <f>100/3.4528*1000</f>
        <v>28962.001853568119</v>
      </c>
      <c r="K76" s="3181" t="s">
        <v>332</v>
      </c>
      <c r="L76" s="3183">
        <v>6</v>
      </c>
      <c r="M76" s="3177">
        <v>6</v>
      </c>
      <c r="N76" s="3179">
        <v>6</v>
      </c>
    </row>
    <row r="77" spans="1:22" s="18" customFormat="1" x14ac:dyDescent="0.25">
      <c r="A77" s="2871"/>
      <c r="B77" s="2874"/>
      <c r="C77" s="2295"/>
      <c r="D77" s="2921"/>
      <c r="E77" s="179"/>
      <c r="F77" s="2507"/>
      <c r="G77" s="87" t="s">
        <v>21</v>
      </c>
      <c r="H77" s="2427">
        <f>151.2/3.4528*1000</f>
        <v>43790.546802594996</v>
      </c>
      <c r="I77" s="2508">
        <f>151.2/3.4528*1000</f>
        <v>43790.546802594996</v>
      </c>
      <c r="J77" s="2508">
        <f>151.2/3.4528*1000</f>
        <v>43790.546802594996</v>
      </c>
      <c r="K77" s="3182"/>
      <c r="L77" s="3184"/>
      <c r="M77" s="3178"/>
      <c r="N77" s="3180"/>
    </row>
    <row r="78" spans="1:22" s="18" customFormat="1" ht="13.5" thickBot="1" x14ac:dyDescent="0.3">
      <c r="A78" s="2292"/>
      <c r="B78" s="2293"/>
      <c r="C78" s="2295"/>
      <c r="D78" s="2827"/>
      <c r="E78" s="179"/>
      <c r="F78" s="2507"/>
      <c r="G78" s="477" t="s">
        <v>18</v>
      </c>
      <c r="H78" s="2502">
        <f>SUM(H76:H77)</f>
        <v>72752.548656163111</v>
      </c>
      <c r="I78" s="2340">
        <f>SUM(I76:I77)</f>
        <v>72752.548656163111</v>
      </c>
      <c r="J78" s="2340">
        <f>SUM(J76:J77)</f>
        <v>72752.548656163111</v>
      </c>
      <c r="K78" s="2509"/>
      <c r="L78" s="2510"/>
      <c r="M78" s="2511"/>
      <c r="N78" s="2512"/>
    </row>
    <row r="79" spans="1:22" s="18" customFormat="1" ht="12" customHeight="1" x14ac:dyDescent="0.25">
      <c r="A79" s="2928" t="s">
        <v>13</v>
      </c>
      <c r="B79" s="2929" t="s">
        <v>19</v>
      </c>
      <c r="C79" s="2294" t="s">
        <v>36</v>
      </c>
      <c r="D79" s="2821" t="s">
        <v>37</v>
      </c>
      <c r="E79" s="178"/>
      <c r="F79" s="2476" t="s">
        <v>26</v>
      </c>
      <c r="G79" s="90" t="s">
        <v>27</v>
      </c>
      <c r="H79" s="2513">
        <f>74.8/3.4528*1000</f>
        <v>21663.577386468951</v>
      </c>
      <c r="I79" s="2514">
        <f>72.3/3.4528*1000</f>
        <v>20939.527340129749</v>
      </c>
      <c r="J79" s="2514">
        <f>72.3/3.4528*1000</f>
        <v>20939.527340129749</v>
      </c>
      <c r="K79" s="3153" t="s">
        <v>333</v>
      </c>
      <c r="L79" s="2468">
        <v>21</v>
      </c>
      <c r="M79" s="2469">
        <v>21</v>
      </c>
      <c r="N79" s="2480">
        <v>21</v>
      </c>
    </row>
    <row r="80" spans="1:22" s="18" customFormat="1" x14ac:dyDescent="0.2">
      <c r="A80" s="2871"/>
      <c r="B80" s="2874"/>
      <c r="C80" s="2295"/>
      <c r="D80" s="2805"/>
      <c r="E80" s="180"/>
      <c r="F80" s="2515"/>
      <c r="G80" s="33" t="s">
        <v>21</v>
      </c>
      <c r="H80" s="2396">
        <f>722.4/3.4528*1000</f>
        <v>209221.5013901761</v>
      </c>
      <c r="I80" s="2405">
        <f>692/3.4528*1000</f>
        <v>200417.05282669139</v>
      </c>
      <c r="J80" s="2405">
        <f>692/3.4528*1000</f>
        <v>200417.05282669139</v>
      </c>
      <c r="K80" s="3160"/>
      <c r="L80" s="2516"/>
      <c r="M80" s="2487"/>
      <c r="N80" s="2517"/>
    </row>
    <row r="81" spans="1:17" s="18" customFormat="1" x14ac:dyDescent="0.2">
      <c r="A81" s="2292"/>
      <c r="B81" s="2293"/>
      <c r="C81" s="2295"/>
      <c r="D81" s="2805"/>
      <c r="E81" s="180"/>
      <c r="F81" s="2515"/>
      <c r="G81" s="31" t="s">
        <v>21</v>
      </c>
      <c r="H81" s="2403">
        <f>36.1/3.4528*1000</f>
        <v>10455.282669138091</v>
      </c>
      <c r="I81" s="2518">
        <f>38.1/3.4528*1000</f>
        <v>11034.522706209455</v>
      </c>
      <c r="J81" s="2518">
        <f>38.1/3.4528*1000</f>
        <v>11034.522706209455</v>
      </c>
      <c r="K81" s="2509"/>
      <c r="L81" s="2516"/>
      <c r="M81" s="2487"/>
      <c r="N81" s="2517"/>
    </row>
    <row r="82" spans="1:17" s="18" customFormat="1" ht="13.5" thickBot="1" x14ac:dyDescent="0.25">
      <c r="A82" s="2287"/>
      <c r="B82" s="2289"/>
      <c r="C82" s="2302"/>
      <c r="D82" s="2806"/>
      <c r="E82" s="181"/>
      <c r="F82" s="2519"/>
      <c r="G82" s="483" t="s">
        <v>18</v>
      </c>
      <c r="H82" s="2520">
        <f>SUM(H79:H81)</f>
        <v>241340.36144578311</v>
      </c>
      <c r="I82" s="2340">
        <f>SUM(I79:I81)</f>
        <v>232391.10287303058</v>
      </c>
      <c r="J82" s="2503">
        <f>SUM(J79:J81)</f>
        <v>232391.10287303058</v>
      </c>
      <c r="K82" s="2521"/>
      <c r="L82" s="2510"/>
      <c r="M82" s="2511"/>
      <c r="N82" s="2512"/>
    </row>
    <row r="83" spans="1:17" s="18" customFormat="1" ht="12" customHeight="1" x14ac:dyDescent="0.25">
      <c r="A83" s="2928" t="s">
        <v>13</v>
      </c>
      <c r="B83" s="2929" t="s">
        <v>19</v>
      </c>
      <c r="C83" s="2294" t="s">
        <v>38</v>
      </c>
      <c r="D83" s="2822" t="s">
        <v>375</v>
      </c>
      <c r="E83" s="178"/>
      <c r="F83" s="2476" t="s">
        <v>71</v>
      </c>
      <c r="G83" s="74" t="s">
        <v>21</v>
      </c>
      <c r="H83" s="2466">
        <f>500/3.4528*1000</f>
        <v>144810.00926784059</v>
      </c>
      <c r="I83" s="2467">
        <f>500/3.4528*1000</f>
        <v>144810.00926784059</v>
      </c>
      <c r="J83" s="2467">
        <f>500/3.4528*1000</f>
        <v>144810.00926784059</v>
      </c>
      <c r="K83" s="3153" t="s">
        <v>333</v>
      </c>
      <c r="L83" s="2468"/>
      <c r="M83" s="2469"/>
      <c r="N83" s="2480"/>
    </row>
    <row r="84" spans="1:17" s="18" customFormat="1" x14ac:dyDescent="0.2">
      <c r="A84" s="2871"/>
      <c r="B84" s="2874"/>
      <c r="C84" s="2295"/>
      <c r="D84" s="2930"/>
      <c r="E84" s="180"/>
      <c r="F84" s="2522">
        <v>3</v>
      </c>
      <c r="G84" s="33"/>
      <c r="H84" s="2396"/>
      <c r="I84" s="2334"/>
      <c r="J84" s="2335"/>
      <c r="K84" s="3160"/>
      <c r="L84" s="2516"/>
      <c r="M84" s="2487"/>
      <c r="N84" s="2517"/>
    </row>
    <row r="85" spans="1:17" s="18" customFormat="1" ht="13.5" thickBot="1" x14ac:dyDescent="0.25">
      <c r="A85" s="2292"/>
      <c r="B85" s="2293"/>
      <c r="C85" s="2302"/>
      <c r="D85" s="2931"/>
      <c r="E85" s="180"/>
      <c r="F85" s="2515">
        <v>6</v>
      </c>
      <c r="G85" s="483" t="s">
        <v>18</v>
      </c>
      <c r="H85" s="2520">
        <f>SUM(H83:H84)</f>
        <v>144810.00926784059</v>
      </c>
      <c r="I85" s="2340">
        <f>SUM(I83:I84)</f>
        <v>144810.00926784059</v>
      </c>
      <c r="J85" s="2503">
        <f>SUM(J83:J84)</f>
        <v>144810.00926784059</v>
      </c>
      <c r="K85" s="2509"/>
      <c r="L85" s="2516"/>
      <c r="M85" s="2487"/>
      <c r="N85" s="2517"/>
    </row>
    <row r="86" spans="1:17" s="18" customFormat="1" ht="12" customHeight="1" x14ac:dyDescent="0.25">
      <c r="A86" s="2928" t="s">
        <v>13</v>
      </c>
      <c r="B86" s="2929" t="s">
        <v>19</v>
      </c>
      <c r="C86" s="2294" t="s">
        <v>70</v>
      </c>
      <c r="D86" s="3188" t="s">
        <v>376</v>
      </c>
      <c r="E86" s="3191"/>
      <c r="F86" s="3196" t="s">
        <v>26</v>
      </c>
      <c r="G86" s="38"/>
      <c r="H86" s="2388"/>
      <c r="I86" s="2523"/>
      <c r="J86" s="2390"/>
      <c r="K86" s="3268" t="s">
        <v>334</v>
      </c>
      <c r="L86" s="2524"/>
      <c r="M86" s="2316"/>
      <c r="N86" s="2525"/>
    </row>
    <row r="87" spans="1:17" s="18" customFormat="1" ht="29.25" customHeight="1" x14ac:dyDescent="0.25">
      <c r="A87" s="2871"/>
      <c r="B87" s="2874"/>
      <c r="C87" s="2295"/>
      <c r="D87" s="3189"/>
      <c r="E87" s="3192"/>
      <c r="F87" s="3197"/>
      <c r="G87" s="33" t="s">
        <v>41</v>
      </c>
      <c r="H87" s="2396">
        <f>390.2/3.4528*1000</f>
        <v>113009.7312326228</v>
      </c>
      <c r="I87" s="2526"/>
      <c r="J87" s="2439"/>
      <c r="K87" s="3269"/>
      <c r="L87" s="2330">
        <v>50</v>
      </c>
      <c r="M87" s="2324"/>
      <c r="N87" s="2331"/>
    </row>
    <row r="88" spans="1:17" s="18" customFormat="1" ht="66.75" customHeight="1" x14ac:dyDescent="0.25">
      <c r="A88" s="2292"/>
      <c r="B88" s="2293"/>
      <c r="C88" s="2295"/>
      <c r="D88" s="3189"/>
      <c r="E88" s="3192"/>
      <c r="F88" s="3197"/>
      <c r="G88" s="31" t="s">
        <v>17</v>
      </c>
      <c r="H88" s="2527">
        <f>347.8/3.4528*1000</f>
        <v>100729.84244670992</v>
      </c>
      <c r="I88" s="2526"/>
      <c r="J88" s="2528"/>
      <c r="K88" s="2529" t="s">
        <v>213</v>
      </c>
      <c r="L88" s="2530">
        <v>25</v>
      </c>
      <c r="M88" s="2531"/>
      <c r="N88" s="2532"/>
    </row>
    <row r="89" spans="1:17" s="18" customFormat="1" x14ac:dyDescent="0.25">
      <c r="A89" s="2292"/>
      <c r="B89" s="2293"/>
      <c r="C89" s="2295"/>
      <c r="D89" s="3189"/>
      <c r="E89" s="3192"/>
      <c r="F89" s="3197"/>
      <c r="G89" s="31" t="s">
        <v>17</v>
      </c>
      <c r="H89" s="2455">
        <f>327.2/3.4528*1000</f>
        <v>94763.670064874881</v>
      </c>
      <c r="I89" s="2526"/>
      <c r="J89" s="2439"/>
      <c r="K89" s="3218" t="s">
        <v>255</v>
      </c>
      <c r="L89" s="2533">
        <v>25</v>
      </c>
      <c r="M89" s="2534"/>
      <c r="N89" s="2331"/>
      <c r="O89" s="6"/>
    </row>
    <row r="90" spans="1:17" s="18" customFormat="1" ht="56.25" customHeight="1" thickBot="1" x14ac:dyDescent="0.3">
      <c r="A90" s="2287"/>
      <c r="B90" s="2289"/>
      <c r="C90" s="2302"/>
      <c r="D90" s="3190"/>
      <c r="E90" s="3193"/>
      <c r="F90" s="3198"/>
      <c r="G90" s="470" t="s">
        <v>18</v>
      </c>
      <c r="H90" s="2340">
        <f>SUM(H86:H89)</f>
        <v>308503.2437442076</v>
      </c>
      <c r="I90" s="2349"/>
      <c r="J90" s="2340"/>
      <c r="K90" s="3270"/>
      <c r="L90" s="2536"/>
      <c r="M90" s="2537"/>
      <c r="N90" s="2538"/>
    </row>
    <row r="91" spans="1:17" s="18" customFormat="1" ht="32.25" customHeight="1" x14ac:dyDescent="0.25">
      <c r="A91" s="2286" t="s">
        <v>13</v>
      </c>
      <c r="B91" s="2288" t="s">
        <v>19</v>
      </c>
      <c r="C91" s="2294" t="s">
        <v>84</v>
      </c>
      <c r="D91" s="2826" t="s">
        <v>377</v>
      </c>
      <c r="E91" s="3191"/>
      <c r="F91" s="3196" t="s">
        <v>26</v>
      </c>
      <c r="G91" s="2356" t="s">
        <v>41</v>
      </c>
      <c r="H91" s="2357">
        <f>653.8/3.4528*1000</f>
        <v>189353.56811862835</v>
      </c>
      <c r="I91" s="2390"/>
      <c r="J91" s="2539"/>
      <c r="K91" s="2540" t="s">
        <v>215</v>
      </c>
      <c r="L91" s="2541">
        <v>948.45</v>
      </c>
      <c r="M91" s="2542"/>
      <c r="N91" s="2543"/>
    </row>
    <row r="92" spans="1:17" s="18" customFormat="1" ht="18" customHeight="1" x14ac:dyDescent="0.25">
      <c r="A92" s="2292"/>
      <c r="B92" s="2293"/>
      <c r="C92" s="2295"/>
      <c r="D92" s="2921"/>
      <c r="E92" s="3192"/>
      <c r="F92" s="3197"/>
      <c r="G92" s="5" t="s">
        <v>21</v>
      </c>
      <c r="H92" s="2544">
        <f>115.4/3.4528*1000</f>
        <v>33422.150139017613</v>
      </c>
      <c r="I92" s="2434"/>
      <c r="J92" s="2433"/>
      <c r="K92" s="3277" t="s">
        <v>335</v>
      </c>
      <c r="L92" s="3212">
        <v>30</v>
      </c>
      <c r="M92" s="3264">
        <v>30</v>
      </c>
      <c r="N92" s="3266">
        <v>30</v>
      </c>
    </row>
    <row r="93" spans="1:17" s="18" customFormat="1" ht="13.5" thickBot="1" x14ac:dyDescent="0.3">
      <c r="A93" s="2287"/>
      <c r="B93" s="2289"/>
      <c r="C93" s="2302"/>
      <c r="D93" s="2827"/>
      <c r="E93" s="3193"/>
      <c r="F93" s="3198"/>
      <c r="G93" s="2545" t="s">
        <v>18</v>
      </c>
      <c r="H93" s="2546">
        <f>SUM(H91:H92)</f>
        <v>222775.71825764596</v>
      </c>
      <c r="I93" s="2340"/>
      <c r="J93" s="2339"/>
      <c r="K93" s="3141"/>
      <c r="L93" s="3213"/>
      <c r="M93" s="3265"/>
      <c r="N93" s="3267"/>
      <c r="Q93" s="19"/>
    </row>
    <row r="94" spans="1:17" s="18" customFormat="1" ht="17.25" customHeight="1" x14ac:dyDescent="0.25">
      <c r="A94" s="2286" t="s">
        <v>13</v>
      </c>
      <c r="B94" s="2288" t="s">
        <v>19</v>
      </c>
      <c r="C94" s="2294" t="s">
        <v>16</v>
      </c>
      <c r="D94" s="3194" t="s">
        <v>294</v>
      </c>
      <c r="E94" s="3191"/>
      <c r="F94" s="3196" t="s">
        <v>26</v>
      </c>
      <c r="G94" s="26" t="s">
        <v>27</v>
      </c>
      <c r="H94" s="2547">
        <f>40/3.4528*1000</f>
        <v>11584.800741427249</v>
      </c>
      <c r="I94" s="2548"/>
      <c r="J94" s="2549"/>
      <c r="K94" s="2550" t="s">
        <v>295</v>
      </c>
      <c r="L94" s="2551">
        <v>1</v>
      </c>
      <c r="M94" s="2552"/>
      <c r="N94" s="2553"/>
    </row>
    <row r="95" spans="1:17" s="18" customFormat="1" ht="15" customHeight="1" x14ac:dyDescent="0.25">
      <c r="A95" s="2292"/>
      <c r="B95" s="2293"/>
      <c r="C95" s="2295"/>
      <c r="D95" s="2891"/>
      <c r="E95" s="3192"/>
      <c r="F95" s="3197"/>
      <c r="G95" s="33"/>
      <c r="H95" s="2396"/>
      <c r="I95" s="2434"/>
      <c r="J95" s="2554"/>
      <c r="K95" s="3159" t="s">
        <v>336</v>
      </c>
      <c r="L95" s="2555">
        <v>1</v>
      </c>
      <c r="M95" s="2556"/>
      <c r="N95" s="2557"/>
    </row>
    <row r="96" spans="1:17" s="18" customFormat="1" ht="13.5" thickBot="1" x14ac:dyDescent="0.3">
      <c r="A96" s="2287"/>
      <c r="B96" s="2289"/>
      <c r="C96" s="2302"/>
      <c r="D96" s="3195"/>
      <c r="E96" s="3193"/>
      <c r="F96" s="3198"/>
      <c r="G96" s="470" t="s">
        <v>18</v>
      </c>
      <c r="H96" s="2340">
        <f>SUM(H94:H95)</f>
        <v>11584.800741427249</v>
      </c>
      <c r="I96" s="2340"/>
      <c r="J96" s="2349"/>
      <c r="K96" s="3154"/>
      <c r="L96" s="2558"/>
      <c r="M96" s="2342"/>
      <c r="N96" s="2343"/>
    </row>
    <row r="97" spans="1:14" s="18" customFormat="1" ht="13.5" thickBot="1" x14ac:dyDescent="0.3">
      <c r="A97" s="23" t="s">
        <v>13</v>
      </c>
      <c r="B97" s="24" t="s">
        <v>19</v>
      </c>
      <c r="C97" s="2800" t="s">
        <v>30</v>
      </c>
      <c r="D97" s="2800"/>
      <c r="E97" s="2800"/>
      <c r="F97" s="2800"/>
      <c r="G97" s="2812"/>
      <c r="H97" s="2384">
        <f>H96+H93+H90+H85+H82+H78+H75+H71+H62+H60</f>
        <v>5621640.4077849872</v>
      </c>
      <c r="I97" s="2383">
        <f t="shared" ref="I97:J97" si="3">I96+I93+I90+I85+I82+I78+I75+I71+I62+I60</f>
        <v>5111127.2011121409</v>
      </c>
      <c r="J97" s="2384">
        <f t="shared" si="3"/>
        <v>5127838.2761816494</v>
      </c>
      <c r="K97" s="2934"/>
      <c r="L97" s="2935"/>
      <c r="M97" s="2935"/>
      <c r="N97" s="2936"/>
    </row>
    <row r="98" spans="1:14" s="18" customFormat="1" ht="13.5" thickBot="1" x14ac:dyDescent="0.3">
      <c r="A98" s="101" t="s">
        <v>13</v>
      </c>
      <c r="B98" s="24" t="s">
        <v>22</v>
      </c>
      <c r="C98" s="2910" t="s">
        <v>39</v>
      </c>
      <c r="D98" s="2910"/>
      <c r="E98" s="2910"/>
      <c r="F98" s="2910"/>
      <c r="G98" s="2910"/>
      <c r="H98" s="2910"/>
      <c r="I98" s="2910"/>
      <c r="J98" s="2910"/>
      <c r="K98" s="2910"/>
      <c r="L98" s="2910"/>
      <c r="M98" s="2910"/>
      <c r="N98" s="2911"/>
    </row>
    <row r="99" spans="1:14" s="19" customFormat="1" ht="38.25" x14ac:dyDescent="0.25">
      <c r="A99" s="118" t="s">
        <v>13</v>
      </c>
      <c r="B99" s="2288" t="s">
        <v>22</v>
      </c>
      <c r="C99" s="665" t="s">
        <v>13</v>
      </c>
      <c r="D99" s="2559" t="s">
        <v>40</v>
      </c>
      <c r="E99" s="2560"/>
      <c r="F99" s="2561"/>
      <c r="G99" s="876"/>
      <c r="H99" s="2562"/>
      <c r="I99" s="2506"/>
      <c r="J99" s="2563"/>
      <c r="K99" s="2564"/>
      <c r="L99" s="2565"/>
      <c r="M99" s="2566"/>
      <c r="N99" s="2567"/>
    </row>
    <row r="100" spans="1:14" s="19" customFormat="1" ht="21" customHeight="1" x14ac:dyDescent="0.25">
      <c r="A100" s="116"/>
      <c r="B100" s="2293"/>
      <c r="C100" s="666"/>
      <c r="D100" s="2814" t="s">
        <v>378</v>
      </c>
      <c r="E100" s="2568" t="s">
        <v>94</v>
      </c>
      <c r="F100" s="513">
        <v>5</v>
      </c>
      <c r="G100" s="110" t="s">
        <v>52</v>
      </c>
      <c r="H100" s="2569">
        <f>62/3.4528*1000</f>
        <v>17956.441149212234</v>
      </c>
      <c r="I100" s="2397"/>
      <c r="J100" s="2570"/>
      <c r="K100" s="3245" t="s">
        <v>337</v>
      </c>
      <c r="L100" s="2398"/>
      <c r="M100" s="2399"/>
      <c r="N100" s="2571"/>
    </row>
    <row r="101" spans="1:14" s="19" customFormat="1" ht="21" customHeight="1" x14ac:dyDescent="0.25">
      <c r="A101" s="116"/>
      <c r="B101" s="2293"/>
      <c r="C101" s="666"/>
      <c r="D101" s="2814"/>
      <c r="E101" s="2568"/>
      <c r="F101" s="513"/>
      <c r="G101" s="104" t="s">
        <v>27</v>
      </c>
      <c r="H101" s="2572">
        <f>62.6/3.4528*1000</f>
        <v>18130.213160333642</v>
      </c>
      <c r="I101" s="2434"/>
      <c r="J101" s="2554"/>
      <c r="K101" s="3245"/>
      <c r="L101" s="2398"/>
      <c r="M101" s="2399"/>
      <c r="N101" s="2571"/>
    </row>
    <row r="102" spans="1:14" s="19" customFormat="1" ht="21" customHeight="1" x14ac:dyDescent="0.25">
      <c r="A102" s="116"/>
      <c r="B102" s="2293"/>
      <c r="C102" s="666"/>
      <c r="D102" s="2814"/>
      <c r="E102" s="2568"/>
      <c r="F102" s="513"/>
      <c r="G102" s="109" t="s">
        <v>41</v>
      </c>
      <c r="H102" s="2573">
        <f>434.9/3.4528*1000</f>
        <v>125955.74606116774</v>
      </c>
      <c r="I102" s="2574"/>
      <c r="J102" s="2575"/>
      <c r="K102" s="3245"/>
      <c r="L102" s="2398"/>
      <c r="M102" s="2399"/>
      <c r="N102" s="2571"/>
    </row>
    <row r="103" spans="1:14" s="19" customFormat="1" x14ac:dyDescent="0.25">
      <c r="A103" s="116"/>
      <c r="B103" s="2293"/>
      <c r="C103" s="666"/>
      <c r="D103" s="2848"/>
      <c r="E103" s="2576"/>
      <c r="F103" s="2454"/>
      <c r="G103" s="719" t="s">
        <v>18</v>
      </c>
      <c r="H103" s="2577">
        <f>SUM(H100:H102)</f>
        <v>162042.40037071361</v>
      </c>
      <c r="I103" s="2578"/>
      <c r="J103" s="2579"/>
      <c r="K103" s="3276"/>
      <c r="L103" s="2580">
        <v>100</v>
      </c>
      <c r="M103" s="2581"/>
      <c r="N103" s="2582"/>
    </row>
    <row r="104" spans="1:14" s="19" customFormat="1" ht="21" customHeight="1" x14ac:dyDescent="0.25">
      <c r="A104" s="116"/>
      <c r="B104" s="2293"/>
      <c r="C104" s="666"/>
      <c r="D104" s="2813" t="s">
        <v>379</v>
      </c>
      <c r="E104" s="2583" t="s">
        <v>94</v>
      </c>
      <c r="F104" s="108">
        <v>5</v>
      </c>
      <c r="G104" s="109" t="s">
        <v>52</v>
      </c>
      <c r="H104" s="2573">
        <f>75.4/3.4528*1000</f>
        <v>21837.349397590366</v>
      </c>
      <c r="I104" s="2397"/>
      <c r="J104" s="2570"/>
      <c r="K104" s="3185" t="s">
        <v>338</v>
      </c>
      <c r="L104" s="2398"/>
      <c r="M104" s="2399"/>
      <c r="N104" s="2571"/>
    </row>
    <row r="105" spans="1:14" s="19" customFormat="1" ht="21" customHeight="1" x14ac:dyDescent="0.25">
      <c r="A105" s="116"/>
      <c r="B105" s="2293"/>
      <c r="C105" s="666"/>
      <c r="D105" s="2814"/>
      <c r="E105" s="2583"/>
      <c r="F105" s="108"/>
      <c r="G105" s="104" t="s">
        <v>27</v>
      </c>
      <c r="H105" s="2572">
        <f>58.7/3.4528*1000</f>
        <v>17000.695088044489</v>
      </c>
      <c r="I105" s="2434"/>
      <c r="J105" s="2554"/>
      <c r="K105" s="3186"/>
      <c r="L105" s="2398"/>
      <c r="M105" s="2399"/>
      <c r="N105" s="2571"/>
    </row>
    <row r="106" spans="1:14" s="19" customFormat="1" ht="21" customHeight="1" x14ac:dyDescent="0.25">
      <c r="A106" s="116"/>
      <c r="B106" s="2293"/>
      <c r="C106" s="666"/>
      <c r="D106" s="2814"/>
      <c r="E106" s="2583"/>
      <c r="F106" s="108"/>
      <c r="G106" s="110" t="s">
        <v>41</v>
      </c>
      <c r="H106" s="2569">
        <f>540.7/3.4528*1000</f>
        <v>156597.54402224283</v>
      </c>
      <c r="I106" s="2574"/>
      <c r="J106" s="2575"/>
      <c r="K106" s="3186"/>
      <c r="L106" s="2398"/>
      <c r="M106" s="2399"/>
      <c r="N106" s="2571"/>
    </row>
    <row r="107" spans="1:14" s="19" customFormat="1" ht="15" customHeight="1" x14ac:dyDescent="0.25">
      <c r="A107" s="116"/>
      <c r="B107" s="2293"/>
      <c r="C107" s="666"/>
      <c r="D107" s="2814"/>
      <c r="E107" s="2583"/>
      <c r="F107" s="108"/>
      <c r="G107" s="704" t="s">
        <v>18</v>
      </c>
      <c r="H107" s="2584">
        <f>SUM(H104:H106)</f>
        <v>195435.58850787769</v>
      </c>
      <c r="I107" s="2585"/>
      <c r="J107" s="2586"/>
      <c r="K107" s="3186"/>
      <c r="L107" s="2398">
        <v>100</v>
      </c>
      <c r="M107" s="2399"/>
      <c r="N107" s="2571"/>
    </row>
    <row r="108" spans="1:14" s="19" customFormat="1" ht="13.5" customHeight="1" x14ac:dyDescent="0.25">
      <c r="A108" s="116"/>
      <c r="B108" s="2293"/>
      <c r="C108" s="666"/>
      <c r="D108" s="2813" t="s">
        <v>380</v>
      </c>
      <c r="E108" s="2587" t="s">
        <v>94</v>
      </c>
      <c r="F108" s="2588">
        <v>5</v>
      </c>
      <c r="G108" s="107" t="s">
        <v>27</v>
      </c>
      <c r="H108" s="2589">
        <f>80.3/3.4528*1000</f>
        <v>23256.487488415201</v>
      </c>
      <c r="I108" s="2574"/>
      <c r="J108" s="2575"/>
      <c r="K108" s="2590" t="s">
        <v>324</v>
      </c>
      <c r="L108" s="2413"/>
      <c r="M108" s="2414"/>
      <c r="N108" s="2415"/>
    </row>
    <row r="109" spans="1:14" s="19" customFormat="1" ht="13.5" customHeight="1" x14ac:dyDescent="0.25">
      <c r="A109" s="116"/>
      <c r="B109" s="2293"/>
      <c r="C109" s="666"/>
      <c r="D109" s="2814"/>
      <c r="E109" s="2583"/>
      <c r="F109" s="108"/>
      <c r="G109" s="107" t="s">
        <v>41</v>
      </c>
      <c r="H109" s="2589">
        <f>338.5/3.4528*1000</f>
        <v>98036.376274328097</v>
      </c>
      <c r="I109" s="2434"/>
      <c r="J109" s="2554"/>
      <c r="K109" s="2591"/>
      <c r="L109" s="2398"/>
      <c r="M109" s="2399"/>
      <c r="N109" s="2571"/>
    </row>
    <row r="110" spans="1:14" s="19" customFormat="1" ht="14.25" customHeight="1" x14ac:dyDescent="0.25">
      <c r="A110" s="116"/>
      <c r="B110" s="2293"/>
      <c r="C110" s="666"/>
      <c r="D110" s="2814"/>
      <c r="E110" s="2583"/>
      <c r="F110" s="108"/>
      <c r="G110" s="719" t="s">
        <v>18</v>
      </c>
      <c r="H110" s="2577">
        <f>SUM(H108:H109)</f>
        <v>121292.86376274331</v>
      </c>
      <c r="I110" s="2592"/>
      <c r="J110" s="2593"/>
      <c r="K110" s="2591" t="s">
        <v>325</v>
      </c>
      <c r="L110" s="2398"/>
      <c r="M110" s="2399"/>
      <c r="N110" s="2571"/>
    </row>
    <row r="111" spans="1:14" s="67" customFormat="1" ht="14.25" customHeight="1" thickBot="1" x14ac:dyDescent="0.3">
      <c r="A111" s="2594"/>
      <c r="B111" s="2289"/>
      <c r="C111" s="866"/>
      <c r="D111" s="2908"/>
      <c r="E111" s="3273" t="s">
        <v>227</v>
      </c>
      <c r="F111" s="3274"/>
      <c r="G111" s="3275"/>
      <c r="H111" s="2595">
        <f>H110+H107+H103</f>
        <v>478770.85264133458</v>
      </c>
      <c r="I111" s="2339"/>
      <c r="J111" s="2339"/>
      <c r="K111" s="2596"/>
      <c r="L111" s="2597">
        <v>100</v>
      </c>
      <c r="M111" s="2598"/>
      <c r="N111" s="2599"/>
    </row>
    <row r="112" spans="1:14" s="19" customFormat="1" ht="42" customHeight="1" x14ac:dyDescent="0.25">
      <c r="A112" s="118" t="s">
        <v>13</v>
      </c>
      <c r="B112" s="2288" t="s">
        <v>22</v>
      </c>
      <c r="C112" s="665" t="s">
        <v>19</v>
      </c>
      <c r="D112" s="14" t="s">
        <v>43</v>
      </c>
      <c r="E112" s="2386"/>
      <c r="F112" s="2600"/>
      <c r="G112" s="2601"/>
      <c r="H112" s="2602"/>
      <c r="I112" s="2603"/>
      <c r="J112" s="2603"/>
      <c r="K112" s="2604"/>
      <c r="L112" s="2605"/>
      <c r="M112" s="2606"/>
      <c r="N112" s="2607"/>
    </row>
    <row r="113" spans="1:19" s="19" customFormat="1" ht="38.25" x14ac:dyDescent="0.2">
      <c r="A113" s="116"/>
      <c r="B113" s="2293"/>
      <c r="C113" s="666"/>
      <c r="D113" s="2813" t="s">
        <v>381</v>
      </c>
      <c r="E113" s="2568" t="s">
        <v>59</v>
      </c>
      <c r="F113" s="513">
        <v>5</v>
      </c>
      <c r="G113" s="104" t="s">
        <v>27</v>
      </c>
      <c r="H113" s="2572">
        <f>283.2/3.4528*1000</f>
        <v>82020.389249304906</v>
      </c>
      <c r="I113" s="2608"/>
      <c r="J113" s="2575"/>
      <c r="K113" s="2609" t="s">
        <v>339</v>
      </c>
      <c r="L113" s="2610">
        <v>100</v>
      </c>
      <c r="M113" s="3199"/>
      <c r="N113" s="3271"/>
    </row>
    <row r="114" spans="1:19" s="19" customFormat="1" ht="32.25" customHeight="1" x14ac:dyDescent="0.25">
      <c r="A114" s="116"/>
      <c r="B114" s="2293"/>
      <c r="C114" s="666"/>
      <c r="D114" s="2814"/>
      <c r="E114" s="2611"/>
      <c r="F114" s="185"/>
      <c r="G114" s="188" t="s">
        <v>41</v>
      </c>
      <c r="H114" s="2612">
        <f>73.6/3.4528*1000</f>
        <v>21316.033364226132</v>
      </c>
      <c r="I114" s="2608"/>
      <c r="J114" s="2575"/>
      <c r="K114" s="2613"/>
      <c r="L114" s="2614"/>
      <c r="M114" s="3200"/>
      <c r="N114" s="3272"/>
    </row>
    <row r="115" spans="1:19" s="19" customFormat="1" ht="49.5" customHeight="1" x14ac:dyDescent="0.25">
      <c r="A115" s="116"/>
      <c r="B115" s="2293"/>
      <c r="C115" s="666"/>
      <c r="D115" s="2814"/>
      <c r="E115" s="2611"/>
      <c r="F115" s="185"/>
      <c r="G115" s="188" t="s">
        <v>21</v>
      </c>
      <c r="H115" s="2612">
        <f>13/3.4528*1000</f>
        <v>3765.0602409638554</v>
      </c>
      <c r="I115" s="2608"/>
      <c r="J115" s="2575"/>
      <c r="K115" s="2613"/>
      <c r="L115" s="2614"/>
      <c r="M115" s="2399"/>
      <c r="N115" s="2571"/>
    </row>
    <row r="116" spans="1:19" s="19" customFormat="1" ht="11.25" customHeight="1" x14ac:dyDescent="0.25">
      <c r="A116" s="116"/>
      <c r="B116" s="2293"/>
      <c r="C116" s="666"/>
      <c r="D116" s="2848"/>
      <c r="E116" s="2611"/>
      <c r="F116" s="185"/>
      <c r="G116" s="2615" t="s">
        <v>18</v>
      </c>
      <c r="H116" s="2616">
        <f>SUM(H113:H115)</f>
        <v>107101.48285449488</v>
      </c>
      <c r="I116" s="2592"/>
      <c r="J116" s="2593"/>
      <c r="K116" s="2617"/>
      <c r="L116" s="2618"/>
      <c r="M116" s="2326"/>
      <c r="N116" s="2619"/>
    </row>
    <row r="117" spans="1:19" s="19" customFormat="1" ht="12.75" customHeight="1" x14ac:dyDescent="0.25">
      <c r="A117" s="116"/>
      <c r="B117" s="2293"/>
      <c r="C117" s="666"/>
      <c r="D117" s="2891" t="s">
        <v>322</v>
      </c>
      <c r="E117" s="2611"/>
      <c r="F117" s="185"/>
      <c r="G117" s="107" t="s">
        <v>27</v>
      </c>
      <c r="H117" s="2589">
        <f>30/3.4528*1000</f>
        <v>8688.6005560704343</v>
      </c>
      <c r="I117" s="2620"/>
      <c r="J117" s="2621"/>
      <c r="K117" s="3186" t="s">
        <v>164</v>
      </c>
      <c r="L117" s="624">
        <v>1</v>
      </c>
      <c r="M117" s="2399"/>
      <c r="N117" s="2571"/>
    </row>
    <row r="118" spans="1:19" s="19" customFormat="1" ht="15" customHeight="1" x14ac:dyDescent="0.25">
      <c r="A118" s="116"/>
      <c r="B118" s="2293"/>
      <c r="C118" s="666"/>
      <c r="D118" s="2891"/>
      <c r="E118" s="2622"/>
      <c r="F118" s="190"/>
      <c r="G118" s="110"/>
      <c r="H118" s="2569"/>
      <c r="I118" s="2397"/>
      <c r="J118" s="2570"/>
      <c r="K118" s="3186"/>
      <c r="L118" s="624"/>
      <c r="M118" s="2399"/>
      <c r="N118" s="2571"/>
    </row>
    <row r="119" spans="1:19" s="19" customFormat="1" x14ac:dyDescent="0.25">
      <c r="A119" s="116"/>
      <c r="B119" s="2293"/>
      <c r="C119" s="666"/>
      <c r="D119" s="2892"/>
      <c r="E119" s="2622"/>
      <c r="F119" s="190"/>
      <c r="G119" s="2615" t="s">
        <v>18</v>
      </c>
      <c r="H119" s="2616">
        <f>SUM(H117:H118)</f>
        <v>8688.6005560704343</v>
      </c>
      <c r="I119" s="2592"/>
      <c r="J119" s="2593"/>
      <c r="K119" s="3187"/>
      <c r="L119" s="2618"/>
      <c r="M119" s="2326"/>
      <c r="N119" s="2619"/>
    </row>
    <row r="120" spans="1:19" s="19" customFormat="1" ht="15" customHeight="1" x14ac:dyDescent="0.25">
      <c r="A120" s="116"/>
      <c r="B120" s="2293"/>
      <c r="C120" s="666"/>
      <c r="D120" s="2890" t="s">
        <v>271</v>
      </c>
      <c r="E120" s="2611"/>
      <c r="F120" s="185"/>
      <c r="G120" s="107" t="s">
        <v>27</v>
      </c>
      <c r="H120" s="2589"/>
      <c r="I120" s="2620">
        <f>17.9/3.4528*1000</f>
        <v>5184.1983317886925</v>
      </c>
      <c r="J120" s="2621">
        <f>3.4/3.4528*1000</f>
        <v>984.70806302131609</v>
      </c>
      <c r="K120" s="3185" t="s">
        <v>164</v>
      </c>
      <c r="L120" s="2623"/>
      <c r="M120" s="2414"/>
      <c r="N120" s="2415">
        <v>1</v>
      </c>
    </row>
    <row r="121" spans="1:19" s="19" customFormat="1" ht="15" customHeight="1" x14ac:dyDescent="0.25">
      <c r="A121" s="116"/>
      <c r="B121" s="2293"/>
      <c r="C121" s="666"/>
      <c r="D121" s="2891"/>
      <c r="E121" s="2622"/>
      <c r="F121" s="190"/>
      <c r="G121" s="107" t="s">
        <v>41</v>
      </c>
      <c r="H121" s="2589"/>
      <c r="I121" s="2620">
        <f>45/3.4528*1000</f>
        <v>13032.900834105654</v>
      </c>
      <c r="J121" s="2574">
        <f>19.3/3.4528*1000</f>
        <v>5589.6663577386471</v>
      </c>
      <c r="K121" s="3186"/>
      <c r="L121" s="624"/>
      <c r="M121" s="2399"/>
      <c r="N121" s="2571"/>
    </row>
    <row r="122" spans="1:19" s="19" customFormat="1" x14ac:dyDescent="0.25">
      <c r="A122" s="116"/>
      <c r="B122" s="2293"/>
      <c r="C122" s="666"/>
      <c r="D122" s="2892"/>
      <c r="E122" s="2624"/>
      <c r="F122" s="2625"/>
      <c r="G122" s="2615" t="s">
        <v>18</v>
      </c>
      <c r="H122" s="2616"/>
      <c r="I122" s="2592">
        <f>SUM(I120:I121)</f>
        <v>18217.099165894346</v>
      </c>
      <c r="J122" s="2593">
        <f>SUM(J120:J121)</f>
        <v>6574.374420759963</v>
      </c>
      <c r="K122" s="3187"/>
      <c r="L122" s="2618"/>
      <c r="M122" s="2326"/>
      <c r="N122" s="2619"/>
    </row>
    <row r="123" spans="1:19" ht="39.75" customHeight="1" x14ac:dyDescent="0.2">
      <c r="A123" s="116"/>
      <c r="B123" s="2293"/>
      <c r="C123" s="770"/>
      <c r="D123" s="2746" t="s">
        <v>301</v>
      </c>
      <c r="E123" s="324"/>
      <c r="F123" s="2627" t="s">
        <v>35</v>
      </c>
      <c r="G123" s="2628" t="s">
        <v>27</v>
      </c>
      <c r="H123" s="2629">
        <f>10/3.4528*1000</f>
        <v>2896.2001853568122</v>
      </c>
      <c r="I123" s="2574"/>
      <c r="J123" s="2574"/>
      <c r="K123" s="2747" t="s">
        <v>321</v>
      </c>
      <c r="L123" s="2630">
        <v>100</v>
      </c>
      <c r="M123" s="2631"/>
      <c r="N123" s="2532"/>
      <c r="Q123" s="113"/>
      <c r="R123" s="113"/>
      <c r="S123" s="113"/>
    </row>
    <row r="124" spans="1:19" s="19" customFormat="1" ht="36.75" customHeight="1" x14ac:dyDescent="0.25">
      <c r="A124" s="116"/>
      <c r="B124" s="2293"/>
      <c r="C124" s="666"/>
      <c r="D124" s="2891" t="s">
        <v>342</v>
      </c>
      <c r="E124" s="2568"/>
      <c r="F124" s="682"/>
      <c r="G124" s="109" t="s">
        <v>27</v>
      </c>
      <c r="H124" s="2573">
        <f>100/3.4528*1000</f>
        <v>28962.001853568119</v>
      </c>
      <c r="I124" s="2508">
        <f>1100/3.4528*1000</f>
        <v>318582.02038924932</v>
      </c>
      <c r="J124" s="2634"/>
      <c r="K124" s="2591" t="s">
        <v>164</v>
      </c>
      <c r="L124" s="2744">
        <v>1</v>
      </c>
      <c r="M124" s="2745"/>
      <c r="N124" s="2571"/>
    </row>
    <row r="125" spans="1:19" s="19" customFormat="1" ht="19.5" customHeight="1" x14ac:dyDescent="0.25">
      <c r="A125" s="116"/>
      <c r="B125" s="2293"/>
      <c r="C125" s="666"/>
      <c r="D125" s="2891"/>
      <c r="E125" s="2568"/>
      <c r="F125" s="682"/>
      <c r="G125" s="2632"/>
      <c r="H125" s="2633"/>
      <c r="I125" s="2508"/>
      <c r="J125" s="2634"/>
      <c r="K125" s="2635" t="s">
        <v>288</v>
      </c>
      <c r="L125" s="2636"/>
      <c r="M125" s="2637">
        <v>100</v>
      </c>
      <c r="N125" s="2415"/>
    </row>
    <row r="126" spans="1:19" s="19" customFormat="1" ht="38.25" customHeight="1" x14ac:dyDescent="0.25">
      <c r="A126" s="116"/>
      <c r="B126" s="2293"/>
      <c r="C126" s="666"/>
      <c r="D126" s="2890" t="s">
        <v>257</v>
      </c>
      <c r="E126" s="3256"/>
      <c r="F126" s="3208"/>
      <c r="G126" s="107" t="s">
        <v>27</v>
      </c>
      <c r="H126" s="2589">
        <f>60/3.4528*1000</f>
        <v>17377.201112140869</v>
      </c>
      <c r="I126" s="2640"/>
      <c r="J126" s="2641"/>
      <c r="K126" s="3209" t="s">
        <v>256</v>
      </c>
      <c r="L126" s="3205">
        <v>300</v>
      </c>
      <c r="M126" s="3199"/>
      <c r="N126" s="3202"/>
    </row>
    <row r="127" spans="1:19" s="18" customFormat="1" ht="13.5" customHeight="1" x14ac:dyDescent="0.25">
      <c r="A127" s="116"/>
      <c r="B127" s="2293"/>
      <c r="C127" s="666"/>
      <c r="D127" s="2891"/>
      <c r="E127" s="3256"/>
      <c r="F127" s="3208"/>
      <c r="G127" s="2642" t="s">
        <v>18</v>
      </c>
      <c r="H127" s="2378">
        <f>SUM(H123:H126)</f>
        <v>49235.403151065795</v>
      </c>
      <c r="I127" s="2643">
        <f t="shared" ref="I127:J127" si="4">SUM(I123:I126)</f>
        <v>318582.02038924932</v>
      </c>
      <c r="J127" s="2643">
        <f t="shared" si="4"/>
        <v>0</v>
      </c>
      <c r="K127" s="3210"/>
      <c r="L127" s="3206"/>
      <c r="M127" s="3200"/>
      <c r="N127" s="3203"/>
    </row>
    <row r="128" spans="1:19" s="18" customFormat="1" ht="13.5" customHeight="1" thickBot="1" x14ac:dyDescent="0.3">
      <c r="A128" s="2594"/>
      <c r="B128" s="37"/>
      <c r="C128" s="2644"/>
      <c r="D128" s="3255"/>
      <c r="E128" s="3252" t="s">
        <v>227</v>
      </c>
      <c r="F128" s="3253"/>
      <c r="G128" s="3254"/>
      <c r="H128" s="2349">
        <f>H127+H122+H119+H116</f>
        <v>165025.48656163111</v>
      </c>
      <c r="I128" s="2645">
        <f t="shared" ref="I128:J128" si="5">I127+I122+I119+I116</f>
        <v>336799.11955514364</v>
      </c>
      <c r="J128" s="2645">
        <f t="shared" si="5"/>
        <v>6574.374420759963</v>
      </c>
      <c r="K128" s="3211"/>
      <c r="L128" s="3207"/>
      <c r="M128" s="3201"/>
      <c r="N128" s="3204"/>
    </row>
    <row r="129" spans="1:17" s="18" customFormat="1" ht="13.5" thickBot="1" x14ac:dyDescent="0.3">
      <c r="A129" s="23" t="s">
        <v>13</v>
      </c>
      <c r="B129" s="114" t="s">
        <v>22</v>
      </c>
      <c r="C129" s="2811" t="s">
        <v>30</v>
      </c>
      <c r="D129" s="2800"/>
      <c r="E129" s="2800"/>
      <c r="F129" s="2800"/>
      <c r="G129" s="2812"/>
      <c r="H129" s="2646">
        <f>H128+H111</f>
        <v>643796.33920296573</v>
      </c>
      <c r="I129" s="2647">
        <f t="shared" ref="I129:J129" si="6">I128+I111</f>
        <v>336799.11955514364</v>
      </c>
      <c r="J129" s="2647">
        <f t="shared" si="6"/>
        <v>6574.374420759963</v>
      </c>
      <c r="K129" s="2991"/>
      <c r="L129" s="2992"/>
      <c r="M129" s="2992"/>
      <c r="N129" s="2993"/>
    </row>
    <row r="130" spans="1:17" ht="13.5" thickBot="1" x14ac:dyDescent="0.25">
      <c r="A130" s="23" t="s">
        <v>13</v>
      </c>
      <c r="B130" s="114" t="s">
        <v>24</v>
      </c>
      <c r="C130" s="2898" t="s">
        <v>96</v>
      </c>
      <c r="D130" s="2899"/>
      <c r="E130" s="2899"/>
      <c r="F130" s="2899"/>
      <c r="G130" s="2899"/>
      <c r="H130" s="2899"/>
      <c r="I130" s="2899"/>
      <c r="J130" s="2899"/>
      <c r="K130" s="2899"/>
      <c r="L130" s="2899"/>
      <c r="M130" s="2899"/>
      <c r="N130" s="2900"/>
    </row>
    <row r="131" spans="1:17" x14ac:dyDescent="0.2">
      <c r="A131" s="118" t="s">
        <v>13</v>
      </c>
      <c r="B131" s="119" t="s">
        <v>24</v>
      </c>
      <c r="C131" s="874" t="s">
        <v>13</v>
      </c>
      <c r="D131" s="2648" t="s">
        <v>268</v>
      </c>
      <c r="E131" s="2649"/>
      <c r="F131" s="2650"/>
      <c r="G131" s="102"/>
      <c r="H131" s="2366"/>
      <c r="I131" s="2477"/>
      <c r="J131" s="2548"/>
      <c r="K131" s="2604"/>
      <c r="L131" s="2373"/>
      <c r="M131" s="2374"/>
      <c r="N131" s="2375"/>
    </row>
    <row r="132" spans="1:17" ht="12" customHeight="1" x14ac:dyDescent="0.2">
      <c r="A132" s="116"/>
      <c r="B132" s="117"/>
      <c r="C132" s="792"/>
      <c r="D132" s="2651" t="s">
        <v>302</v>
      </c>
      <c r="E132" s="2626"/>
      <c r="F132" s="2652" t="s">
        <v>53</v>
      </c>
      <c r="G132" s="104" t="s">
        <v>27</v>
      </c>
      <c r="H132" s="2572">
        <f>400/3.4528*1000</f>
        <v>115848.00741427248</v>
      </c>
      <c r="I132" s="2653"/>
      <c r="J132" s="2574"/>
      <c r="K132" s="3185" t="s">
        <v>326</v>
      </c>
      <c r="L132" s="2654"/>
      <c r="M132" s="2655"/>
      <c r="N132" s="2656"/>
    </row>
    <row r="133" spans="1:17" ht="27.75" customHeight="1" x14ac:dyDescent="0.2">
      <c r="A133" s="116"/>
      <c r="B133" s="117"/>
      <c r="C133" s="792"/>
      <c r="D133" s="2657"/>
      <c r="E133" s="2658"/>
      <c r="F133" s="2659"/>
      <c r="G133" s="110" t="s">
        <v>21</v>
      </c>
      <c r="H133" s="2573"/>
      <c r="I133" s="2433"/>
      <c r="J133" s="2434"/>
      <c r="K133" s="3186"/>
      <c r="L133" s="2660"/>
      <c r="M133" s="2661"/>
      <c r="N133" s="2662"/>
    </row>
    <row r="134" spans="1:17" x14ac:dyDescent="0.2">
      <c r="A134" s="116"/>
      <c r="B134" s="117"/>
      <c r="C134" s="792"/>
      <c r="D134" s="2657"/>
      <c r="E134" s="2658"/>
      <c r="F134" s="2659"/>
      <c r="G134" s="2663" t="s">
        <v>18</v>
      </c>
      <c r="H134" s="2664">
        <f>SUM(H132:H133)</f>
        <v>115848.00741427248</v>
      </c>
      <c r="I134" s="2379"/>
      <c r="J134" s="2535"/>
      <c r="K134" s="3187"/>
      <c r="L134" s="2665"/>
      <c r="M134" s="2666"/>
      <c r="N134" s="2667">
        <v>100</v>
      </c>
    </row>
    <row r="135" spans="1:17" ht="12" customHeight="1" x14ac:dyDescent="0.2">
      <c r="A135" s="116"/>
      <c r="B135" s="117"/>
      <c r="C135" s="792"/>
      <c r="D135" s="3102" t="s">
        <v>272</v>
      </c>
      <c r="E135" s="2668" t="s">
        <v>59</v>
      </c>
      <c r="F135" s="2652" t="s">
        <v>95</v>
      </c>
      <c r="G135" s="104" t="s">
        <v>148</v>
      </c>
      <c r="H135" s="2572">
        <f>53.7/3.4528*1000</f>
        <v>15552.59499536608</v>
      </c>
      <c r="I135" s="2669"/>
      <c r="J135" s="2620"/>
      <c r="K135" s="3185" t="s">
        <v>279</v>
      </c>
      <c r="L135" s="2330">
        <v>1</v>
      </c>
      <c r="M135" s="2324"/>
      <c r="N135" s="2331"/>
    </row>
    <row r="136" spans="1:17" ht="14.25" customHeight="1" x14ac:dyDescent="0.2">
      <c r="A136" s="116"/>
      <c r="B136" s="117"/>
      <c r="C136" s="792"/>
      <c r="D136" s="2921"/>
      <c r="E136" s="3221" t="s">
        <v>273</v>
      </c>
      <c r="F136" s="650"/>
      <c r="G136" s="110" t="s">
        <v>27</v>
      </c>
      <c r="H136" s="2569"/>
      <c r="I136" s="2653">
        <f>386.1/3.4528*1000</f>
        <v>111822.28915662652</v>
      </c>
      <c r="J136" s="2574">
        <f>579.1/3.4528*1000</f>
        <v>167718.952734013</v>
      </c>
      <c r="K136" s="3187"/>
      <c r="L136" s="2670"/>
      <c r="M136" s="2457"/>
      <c r="N136" s="2671"/>
    </row>
    <row r="137" spans="1:17" x14ac:dyDescent="0.2">
      <c r="A137" s="116"/>
      <c r="B137" s="117"/>
      <c r="C137" s="792"/>
      <c r="D137" s="2921"/>
      <c r="E137" s="3222"/>
      <c r="F137" s="2659"/>
      <c r="G137" s="107" t="s">
        <v>41</v>
      </c>
      <c r="H137" s="2589"/>
      <c r="I137" s="2669">
        <f>2187.8/3.4528*1000</f>
        <v>633630.67655236344</v>
      </c>
      <c r="J137" s="2620">
        <f>3281.7/3.4528*1000</f>
        <v>950446.01482854492</v>
      </c>
      <c r="K137" s="2609" t="s">
        <v>280</v>
      </c>
      <c r="L137" s="2654"/>
      <c r="M137" s="2655">
        <v>30</v>
      </c>
      <c r="N137" s="2656">
        <v>80</v>
      </c>
    </row>
    <row r="138" spans="1:17" x14ac:dyDescent="0.2">
      <c r="A138" s="2685"/>
      <c r="B138" s="2750"/>
      <c r="C138" s="2751"/>
      <c r="D138" s="3224"/>
      <c r="E138" s="3223"/>
      <c r="F138" s="2678"/>
      <c r="G138" s="719" t="s">
        <v>18</v>
      </c>
      <c r="H138" s="2577">
        <f>SUM(H135:H137)</f>
        <v>15552.59499536608</v>
      </c>
      <c r="I138" s="2577">
        <f>SUM(I135:I137)</f>
        <v>745452.96570899</v>
      </c>
      <c r="J138" s="2752">
        <f>SUM(J135:J137)</f>
        <v>1118164.9675625579</v>
      </c>
      <c r="K138" s="2617"/>
      <c r="L138" s="2673"/>
      <c r="M138" s="2674"/>
      <c r="N138" s="2675"/>
    </row>
    <row r="139" spans="1:17" ht="12" customHeight="1" x14ac:dyDescent="0.2">
      <c r="A139" s="116"/>
      <c r="B139" s="117"/>
      <c r="C139" s="792"/>
      <c r="D139" s="2921" t="s">
        <v>275</v>
      </c>
      <c r="E139" s="191"/>
      <c r="F139" s="2659"/>
      <c r="G139" s="109" t="s">
        <v>148</v>
      </c>
      <c r="H139" s="2573">
        <f>112.6/3.4528*1000</f>
        <v>32611.214087117703</v>
      </c>
      <c r="I139" s="2433"/>
      <c r="J139" s="2434"/>
      <c r="K139" s="3186" t="s">
        <v>279</v>
      </c>
      <c r="L139" s="2660">
        <v>1</v>
      </c>
      <c r="M139" s="2661"/>
      <c r="N139" s="2662"/>
    </row>
    <row r="140" spans="1:17" ht="15.75" customHeight="1" x14ac:dyDescent="0.2">
      <c r="A140" s="116"/>
      <c r="B140" s="117"/>
      <c r="C140" s="792"/>
      <c r="D140" s="2921"/>
      <c r="E140" s="2658"/>
      <c r="F140" s="2659"/>
      <c r="G140" s="104" t="s">
        <v>27</v>
      </c>
      <c r="H140" s="2572"/>
      <c r="I140" s="2653">
        <f>431.4/3.4528*1000</f>
        <v>124942.07599629286</v>
      </c>
      <c r="J140" s="2574">
        <f>647.2/3.4528*1000</f>
        <v>187442.07599629287</v>
      </c>
      <c r="K140" s="3187"/>
      <c r="L140" s="2673"/>
      <c r="M140" s="2674"/>
      <c r="N140" s="2675"/>
      <c r="Q140" s="113"/>
    </row>
    <row r="141" spans="1:17" ht="12" customHeight="1" x14ac:dyDescent="0.2">
      <c r="A141" s="116"/>
      <c r="B141" s="117"/>
      <c r="C141" s="792"/>
      <c r="D141" s="2921"/>
      <c r="E141" s="2658"/>
      <c r="F141" s="2659"/>
      <c r="G141" s="107" t="s">
        <v>41</v>
      </c>
      <c r="H141" s="2589"/>
      <c r="I141" s="2669">
        <f>2444.8/3.4528*1000</f>
        <v>708063.02131603344</v>
      </c>
      <c r="J141" s="2620">
        <f>3667.2/3.4528*1000</f>
        <v>1062094.5319740502</v>
      </c>
      <c r="K141" s="2676" t="s">
        <v>280</v>
      </c>
      <c r="L141" s="2654"/>
      <c r="M141" s="2655">
        <v>30</v>
      </c>
      <c r="N141" s="2656">
        <v>80</v>
      </c>
      <c r="P141" s="113"/>
    </row>
    <row r="142" spans="1:17" ht="12" customHeight="1" x14ac:dyDescent="0.2">
      <c r="A142" s="116"/>
      <c r="B142" s="117"/>
      <c r="C142" s="792"/>
      <c r="D142" s="2921"/>
      <c r="E142" s="2677"/>
      <c r="F142" s="2678"/>
      <c r="G142" s="2642" t="s">
        <v>18</v>
      </c>
      <c r="H142" s="2378">
        <f>SUM(H139:H141)</f>
        <v>32611.214087117703</v>
      </c>
      <c r="I142" s="2378">
        <f>SUM(I139:I141)</f>
        <v>833005.09731232631</v>
      </c>
      <c r="J142" s="2672">
        <f>SUM(J139:J141)</f>
        <v>1249536.607970343</v>
      </c>
      <c r="K142" s="3250"/>
      <c r="L142" s="2660"/>
      <c r="M142" s="2661"/>
      <c r="N142" s="2662"/>
    </row>
    <row r="143" spans="1:17" ht="12.75" customHeight="1" thickBot="1" x14ac:dyDescent="0.25">
      <c r="A143" s="2292"/>
      <c r="B143" s="2293"/>
      <c r="C143" s="2445"/>
      <c r="D143" s="2827"/>
      <c r="E143" s="3248" t="s">
        <v>227</v>
      </c>
      <c r="F143" s="3248"/>
      <c r="G143" s="3249"/>
      <c r="H143" s="2679">
        <f>H142+H138+H134</f>
        <v>164011.81649675628</v>
      </c>
      <c r="I143" s="2339">
        <f t="shared" ref="I143:J143" si="7">I142+I138+I134</f>
        <v>1578458.0630213162</v>
      </c>
      <c r="J143" s="2340">
        <f t="shared" si="7"/>
        <v>2367701.5755329011</v>
      </c>
      <c r="K143" s="3251"/>
      <c r="L143" s="2680"/>
      <c r="M143" s="2681"/>
      <c r="N143" s="2682"/>
    </row>
    <row r="144" spans="1:17" ht="51" x14ac:dyDescent="0.2">
      <c r="A144" s="118" t="s">
        <v>13</v>
      </c>
      <c r="B144" s="2288" t="s">
        <v>24</v>
      </c>
      <c r="C144" s="937" t="s">
        <v>19</v>
      </c>
      <c r="D144" s="305" t="s">
        <v>97</v>
      </c>
      <c r="E144" s="696" t="s">
        <v>274</v>
      </c>
      <c r="F144" s="794"/>
      <c r="G144" s="26"/>
      <c r="H144" s="2357"/>
      <c r="I144" s="2548"/>
      <c r="J144" s="2549"/>
      <c r="K144" s="164"/>
      <c r="L144" s="2373"/>
      <c r="M144" s="2374"/>
      <c r="N144" s="2375"/>
    </row>
    <row r="145" spans="1:20" ht="25.5" x14ac:dyDescent="0.2">
      <c r="A145" s="116"/>
      <c r="B145" s="2293"/>
      <c r="C145" s="2304"/>
      <c r="D145" s="2296" t="s">
        <v>73</v>
      </c>
      <c r="E145" s="696"/>
      <c r="F145" s="2683" t="s">
        <v>53</v>
      </c>
      <c r="G145" s="33" t="s">
        <v>32</v>
      </c>
      <c r="H145" s="2320">
        <f>2900/3.4528*1000</f>
        <v>839898.05375347543</v>
      </c>
      <c r="I145" s="2434">
        <f>2900/3.4528*1000</f>
        <v>839898.05375347543</v>
      </c>
      <c r="J145" s="2434">
        <f>2900/3.4528*1000</f>
        <v>839898.05375347543</v>
      </c>
      <c r="K145" s="649" t="s">
        <v>220</v>
      </c>
      <c r="L145" s="2684">
        <v>30</v>
      </c>
      <c r="M145" s="2337">
        <v>25</v>
      </c>
      <c r="N145" s="2465">
        <v>20</v>
      </c>
      <c r="O145" s="196"/>
      <c r="P145" s="196"/>
      <c r="Q145" s="196"/>
      <c r="R145" s="196"/>
    </row>
    <row r="146" spans="1:20" ht="38.25" x14ac:dyDescent="0.2">
      <c r="A146" s="116"/>
      <c r="B146" s="2293"/>
      <c r="C146" s="2304"/>
      <c r="D146" s="2296" t="s">
        <v>74</v>
      </c>
      <c r="E146" s="2748"/>
      <c r="F146" s="2683" t="s">
        <v>26</v>
      </c>
      <c r="G146" s="33"/>
      <c r="H146" s="2320"/>
      <c r="I146" s="2434"/>
      <c r="J146" s="2434"/>
      <c r="K146" s="649" t="s">
        <v>79</v>
      </c>
      <c r="L146" s="2684">
        <v>40</v>
      </c>
      <c r="M146" s="2337">
        <v>40</v>
      </c>
      <c r="N146" s="2465">
        <v>39</v>
      </c>
      <c r="T146" s="113"/>
    </row>
    <row r="147" spans="1:20" ht="51" x14ac:dyDescent="0.2">
      <c r="A147" s="116"/>
      <c r="B147" s="2293"/>
      <c r="C147" s="2304"/>
      <c r="D147" s="2296" t="s">
        <v>75</v>
      </c>
      <c r="E147" s="696"/>
      <c r="F147" s="2683" t="s">
        <v>26</v>
      </c>
      <c r="G147" s="33"/>
      <c r="H147" s="2320"/>
      <c r="I147" s="2434"/>
      <c r="J147" s="2434"/>
      <c r="K147" s="649" t="s">
        <v>170</v>
      </c>
      <c r="L147" s="2684">
        <v>100</v>
      </c>
      <c r="M147" s="2337">
        <v>110</v>
      </c>
      <c r="N147" s="2465">
        <v>115</v>
      </c>
    </row>
    <row r="148" spans="1:20" ht="38.25" x14ac:dyDescent="0.2">
      <c r="A148" s="116"/>
      <c r="B148" s="2293"/>
      <c r="C148" s="2304"/>
      <c r="D148" s="2296" t="s">
        <v>76</v>
      </c>
      <c r="E148" s="195"/>
      <c r="F148" s="2683" t="s">
        <v>26</v>
      </c>
      <c r="G148" s="33"/>
      <c r="H148" s="2320"/>
      <c r="I148" s="2434"/>
      <c r="J148" s="2434"/>
      <c r="K148" s="649" t="s">
        <v>171</v>
      </c>
      <c r="L148" s="2684">
        <v>60</v>
      </c>
      <c r="M148" s="2337">
        <v>50</v>
      </c>
      <c r="N148" s="2465">
        <v>40</v>
      </c>
    </row>
    <row r="149" spans="1:20" ht="25.5" x14ac:dyDescent="0.2">
      <c r="A149" s="116"/>
      <c r="B149" s="2293"/>
      <c r="C149" s="2804"/>
      <c r="D149" s="2301" t="s">
        <v>77</v>
      </c>
      <c r="E149" s="195"/>
      <c r="F149" s="2683" t="s">
        <v>26</v>
      </c>
      <c r="G149" s="71"/>
      <c r="H149" s="2344"/>
      <c r="I149" s="2397"/>
      <c r="J149" s="2397"/>
      <c r="K149" s="2686" t="s">
        <v>125</v>
      </c>
      <c r="L149" s="2687">
        <v>84</v>
      </c>
      <c r="M149" s="2457">
        <v>85</v>
      </c>
      <c r="N149" s="2458">
        <v>86</v>
      </c>
    </row>
    <row r="150" spans="1:20" x14ac:dyDescent="0.2">
      <c r="A150" s="116"/>
      <c r="B150" s="2293"/>
      <c r="C150" s="2804"/>
      <c r="D150" s="2893" t="s">
        <v>78</v>
      </c>
      <c r="E150" s="195"/>
      <c r="F150" s="3197" t="s">
        <v>26</v>
      </c>
      <c r="G150" s="99" t="s">
        <v>21</v>
      </c>
      <c r="H150" s="2688">
        <f>19/3.4528*1000</f>
        <v>5502.7803521779424</v>
      </c>
      <c r="I150" s="2689">
        <f>19/3.4528*1000</f>
        <v>5502.7803521779424</v>
      </c>
      <c r="J150" s="2689">
        <f>193.4528*1000</f>
        <v>193452.79999999999</v>
      </c>
      <c r="K150" s="3218" t="s">
        <v>149</v>
      </c>
      <c r="L150" s="2330">
        <v>12</v>
      </c>
      <c r="M150" s="2324">
        <v>12</v>
      </c>
      <c r="N150" s="2331">
        <v>12</v>
      </c>
    </row>
    <row r="151" spans="1:20" x14ac:dyDescent="0.2">
      <c r="A151" s="207"/>
      <c r="B151" s="2293"/>
      <c r="C151" s="2804"/>
      <c r="D151" s="2805"/>
      <c r="E151" s="195"/>
      <c r="F151" s="3197"/>
      <c r="G151" s="33"/>
      <c r="H151" s="2320"/>
      <c r="I151" s="2439"/>
      <c r="J151" s="2439"/>
      <c r="K151" s="3219"/>
      <c r="L151" s="2690"/>
      <c r="M151" s="2462"/>
      <c r="N151" s="2463"/>
    </row>
    <row r="152" spans="1:20" x14ac:dyDescent="0.2">
      <c r="A152" s="2691"/>
      <c r="B152" s="2452"/>
      <c r="C152" s="3216"/>
      <c r="D152" s="2901"/>
      <c r="E152" s="2692"/>
      <c r="F152" s="3217"/>
      <c r="G152" s="2693" t="s">
        <v>18</v>
      </c>
      <c r="H152" s="2694">
        <f>SUM(H145:H151)</f>
        <v>845400.83410565334</v>
      </c>
      <c r="I152" s="2695">
        <f>SUM(I145:I151)</f>
        <v>845400.83410565334</v>
      </c>
      <c r="J152" s="2696">
        <f>SUM(J145:J151)</f>
        <v>1033350.8537534755</v>
      </c>
      <c r="K152" s="3220"/>
      <c r="L152" s="2697"/>
      <c r="M152" s="2698"/>
      <c r="N152" s="2699"/>
      <c r="P152" s="113"/>
    </row>
    <row r="153" spans="1:20" ht="40.5" customHeight="1" x14ac:dyDescent="0.2">
      <c r="A153" s="116" t="s">
        <v>13</v>
      </c>
      <c r="B153" s="2293" t="s">
        <v>24</v>
      </c>
      <c r="C153" s="3214" t="s">
        <v>22</v>
      </c>
      <c r="D153" s="2700" t="s">
        <v>80</v>
      </c>
      <c r="E153" s="696"/>
      <c r="F153" s="13"/>
      <c r="G153" s="71"/>
      <c r="H153" s="2344"/>
      <c r="I153" s="2397"/>
      <c r="J153" s="2397"/>
      <c r="K153" s="2686"/>
      <c r="L153" s="2687"/>
      <c r="M153" s="2457"/>
      <c r="N153" s="2458"/>
    </row>
    <row r="154" spans="1:20" ht="17.25" customHeight="1" x14ac:dyDescent="0.2">
      <c r="A154" s="207"/>
      <c r="B154" s="2293"/>
      <c r="C154" s="3214"/>
      <c r="D154" s="2798" t="s">
        <v>81</v>
      </c>
      <c r="E154" s="696"/>
      <c r="F154" s="313" t="s">
        <v>53</v>
      </c>
      <c r="G154" s="99" t="s">
        <v>21</v>
      </c>
      <c r="H154" s="2688">
        <f>619/3.4528*1000</f>
        <v>179274.79147358667</v>
      </c>
      <c r="I154" s="2439"/>
      <c r="J154" s="2439"/>
      <c r="K154" s="505"/>
      <c r="L154" s="2701"/>
      <c r="M154" s="2702"/>
      <c r="N154" s="2703"/>
    </row>
    <row r="155" spans="1:20" ht="14.25" customHeight="1" thickBot="1" x14ac:dyDescent="0.25">
      <c r="A155" s="333"/>
      <c r="B155" s="2289"/>
      <c r="C155" s="3215"/>
      <c r="D155" s="2799"/>
      <c r="E155" s="697"/>
      <c r="F155" s="254"/>
      <c r="G155" s="470" t="s">
        <v>18</v>
      </c>
      <c r="H155" s="2339">
        <f>SUM(H154)</f>
        <v>179274.79147358667</v>
      </c>
      <c r="I155" s="2355"/>
      <c r="J155" s="2355"/>
      <c r="K155" s="782"/>
      <c r="L155" s="2704"/>
      <c r="M155" s="2705"/>
      <c r="N155" s="2706"/>
    </row>
    <row r="156" spans="1:20" s="18" customFormat="1" ht="13.5" thickBot="1" x14ac:dyDescent="0.3">
      <c r="A156" s="23" t="s">
        <v>13</v>
      </c>
      <c r="B156" s="24" t="s">
        <v>24</v>
      </c>
      <c r="C156" s="2800" t="s">
        <v>30</v>
      </c>
      <c r="D156" s="2800"/>
      <c r="E156" s="2800"/>
      <c r="F156" s="2800"/>
      <c r="G156" s="2800"/>
      <c r="H156" s="2383">
        <f>H155+H152+H143</f>
        <v>1188687.4420759962</v>
      </c>
      <c r="I156" s="2707">
        <f>I155+I152+I143</f>
        <v>2423858.8971269694</v>
      </c>
      <c r="J156" s="2707">
        <f t="shared" ref="J156" si="8">J155+J152+J143</f>
        <v>3401052.4292863766</v>
      </c>
      <c r="K156" s="2991"/>
      <c r="L156" s="2992"/>
      <c r="M156" s="2992"/>
      <c r="N156" s="2993"/>
    </row>
    <row r="157" spans="1:20" ht="14.25" customHeight="1" thickBot="1" x14ac:dyDescent="0.25">
      <c r="A157" s="2287" t="s">
        <v>13</v>
      </c>
      <c r="B157" s="124"/>
      <c r="C157" s="2787" t="s">
        <v>44</v>
      </c>
      <c r="D157" s="2787"/>
      <c r="E157" s="2787"/>
      <c r="F157" s="2787"/>
      <c r="G157" s="2787"/>
      <c r="H157" s="2708">
        <f>H156+H129+H97+H33</f>
        <v>30506226.830398522</v>
      </c>
      <c r="I157" s="2709">
        <f>I156+I129+I97+I33</f>
        <v>30749189.063948102</v>
      </c>
      <c r="J157" s="2709">
        <f>J156+J129+J97+J33</f>
        <v>31412868.926042631</v>
      </c>
      <c r="K157" s="2788"/>
      <c r="L157" s="2789"/>
      <c r="M157" s="2789"/>
      <c r="N157" s="2790"/>
    </row>
    <row r="158" spans="1:20" s="18" customFormat="1" ht="13.5" customHeight="1" thickBot="1" x14ac:dyDescent="0.3">
      <c r="A158" s="129" t="s">
        <v>45</v>
      </c>
      <c r="B158" s="2791" t="s">
        <v>46</v>
      </c>
      <c r="C158" s="2792"/>
      <c r="D158" s="2792"/>
      <c r="E158" s="2792"/>
      <c r="F158" s="2792"/>
      <c r="G158" s="2792"/>
      <c r="H158" s="2710">
        <f>H157</f>
        <v>30506226.830398522</v>
      </c>
      <c r="I158" s="2711">
        <f t="shared" ref="I158:J158" si="9">I157</f>
        <v>30749189.063948102</v>
      </c>
      <c r="J158" s="2711">
        <f t="shared" si="9"/>
        <v>31412868.926042631</v>
      </c>
      <c r="K158" s="3230"/>
      <c r="L158" s="3231"/>
      <c r="M158" s="3231"/>
      <c r="N158" s="3232"/>
      <c r="O158" s="6"/>
    </row>
    <row r="159" spans="1:20" s="113" customFormat="1" ht="18" customHeight="1" thickBot="1" x14ac:dyDescent="0.25">
      <c r="B159" s="2712"/>
      <c r="C159" s="134"/>
      <c r="D159" s="3225" t="s">
        <v>47</v>
      </c>
      <c r="E159" s="3225"/>
      <c r="F159" s="3225"/>
      <c r="G159" s="3225"/>
      <c r="H159" s="3225"/>
      <c r="I159" s="3225"/>
      <c r="J159" s="3225"/>
      <c r="K159" s="134"/>
      <c r="L159" s="134"/>
      <c r="M159" s="134"/>
      <c r="N159" s="134"/>
    </row>
    <row r="160" spans="1:20" s="18" customFormat="1" ht="42.75" customHeight="1" thickBot="1" x14ac:dyDescent="0.3">
      <c r="A160" s="2713"/>
      <c r="B160" s="2714"/>
      <c r="C160" s="3226" t="s">
        <v>48</v>
      </c>
      <c r="D160" s="3227"/>
      <c r="E160" s="3227"/>
      <c r="F160" s="3227"/>
      <c r="G160" s="3228"/>
      <c r="H160" s="2715" t="s">
        <v>312</v>
      </c>
      <c r="I160" s="2716" t="s">
        <v>313</v>
      </c>
      <c r="J160" s="2716" t="s">
        <v>316</v>
      </c>
      <c r="K160" s="2717"/>
      <c r="L160" s="3229"/>
      <c r="M160" s="3229"/>
      <c r="N160" s="3229"/>
    </row>
    <row r="161" spans="1:14" s="18" customFormat="1" ht="13.5" customHeight="1" thickBot="1" x14ac:dyDescent="0.3">
      <c r="A161" s="2713"/>
      <c r="B161" s="2718"/>
      <c r="C161" s="3237" t="s">
        <v>49</v>
      </c>
      <c r="D161" s="3238"/>
      <c r="E161" s="3238"/>
      <c r="F161" s="3238"/>
      <c r="G161" s="3239"/>
      <c r="H161" s="2719">
        <f>SUM(H162:H166)</f>
        <v>15775892.029657088</v>
      </c>
      <c r="I161" s="2720">
        <f>SUM(I162:I165)</f>
        <v>15608462.696941612</v>
      </c>
      <c r="J161" s="2720">
        <f>SUM(J162:J165)</f>
        <v>15420788.924930489</v>
      </c>
      <c r="K161" s="2721"/>
      <c r="L161" s="3240"/>
      <c r="M161" s="3240"/>
      <c r="N161" s="3240"/>
    </row>
    <row r="162" spans="1:14" s="18" customFormat="1" ht="12.75" customHeight="1" x14ac:dyDescent="0.25">
      <c r="A162" s="2713"/>
      <c r="B162" s="2722"/>
      <c r="C162" s="3241" t="s">
        <v>100</v>
      </c>
      <c r="D162" s="3242"/>
      <c r="E162" s="3242"/>
      <c r="F162" s="3242"/>
      <c r="G162" s="3243"/>
      <c r="H162" s="2723">
        <f>SUMIF(G12:G154,"sb",H12:H154)</f>
        <v>10505734.476367004</v>
      </c>
      <c r="I162" s="2724">
        <f>SUMIF(G12:G154,"sb",I12:I154)</f>
        <v>10485171.455050973</v>
      </c>
      <c r="J162" s="2724">
        <f>SUMIF(G12:G154,"sb",J12:J154)</f>
        <v>10294601.482854493</v>
      </c>
      <c r="K162" s="2725"/>
      <c r="L162" s="3236"/>
      <c r="M162" s="3236"/>
      <c r="N162" s="3236"/>
    </row>
    <row r="163" spans="1:14" s="18" customFormat="1" ht="15.75" customHeight="1" x14ac:dyDescent="0.25">
      <c r="A163" s="2713"/>
      <c r="B163" s="2722"/>
      <c r="C163" s="3233" t="s">
        <v>101</v>
      </c>
      <c r="D163" s="3234"/>
      <c r="E163" s="3234"/>
      <c r="F163" s="3234"/>
      <c r="G163" s="3235"/>
      <c r="H163" s="2726">
        <f>SUMIF(G12:G154,"sb(sp)",H12:H154)</f>
        <v>1329211.0750695087</v>
      </c>
      <c r="I163" s="2727">
        <f>SUMIF(G12:G152,"sb(sp)",I12:I152)</f>
        <v>1367064.4114921223</v>
      </c>
      <c r="J163" s="2727">
        <f>SUMIF(G12:G154,"sb(sp)",J12:J154)</f>
        <v>1369960.611677479</v>
      </c>
      <c r="K163" s="2725"/>
      <c r="L163" s="3236"/>
      <c r="M163" s="3236"/>
      <c r="N163" s="3236"/>
    </row>
    <row r="164" spans="1:14" s="18" customFormat="1" ht="15.75" customHeight="1" x14ac:dyDescent="0.25">
      <c r="A164" s="2713"/>
      <c r="B164" s="2722"/>
      <c r="C164" s="3233" t="s">
        <v>102</v>
      </c>
      <c r="D164" s="3234"/>
      <c r="E164" s="3234"/>
      <c r="F164" s="3234"/>
      <c r="G164" s="3235"/>
      <c r="H164" s="2726">
        <f>SUMIF(G12:G154,"sb(vb)",H12:H154)</f>
        <v>3852988.8785912883</v>
      </c>
      <c r="I164" s="2727">
        <f>SUMIF(G12:G154,G12,I12:I154)</f>
        <v>3756226.8303985172</v>
      </c>
      <c r="J164" s="2727">
        <f>SUMIF(G12:G154,G12,J12:J154)</f>
        <v>3756226.8303985172</v>
      </c>
      <c r="K164" s="2725"/>
      <c r="L164" s="3236"/>
      <c r="M164" s="3236"/>
      <c r="N164" s="3236"/>
    </row>
    <row r="165" spans="1:14" s="18" customFormat="1" x14ac:dyDescent="0.25">
      <c r="A165" s="2713"/>
      <c r="B165" s="2722"/>
      <c r="C165" s="3219" t="s">
        <v>103</v>
      </c>
      <c r="D165" s="2775"/>
      <c r="E165" s="2775"/>
      <c r="F165" s="2775"/>
      <c r="G165" s="3260"/>
      <c r="H165" s="2410">
        <f>SUMIF(G12:G154,"sb(p)",H12:H154)</f>
        <v>39793.7905468026</v>
      </c>
      <c r="I165" s="2728">
        <f>SUMIF(G12:G152,G100,I12:I152)</f>
        <v>0</v>
      </c>
      <c r="J165" s="2728">
        <f>SUMIF(G12:G154,#REF!,J12:J154)</f>
        <v>0</v>
      </c>
      <c r="K165" s="2725"/>
      <c r="L165" s="3236"/>
      <c r="M165" s="3236"/>
      <c r="N165" s="3236"/>
    </row>
    <row r="166" spans="1:14" s="18" customFormat="1" ht="13.5" thickBot="1" x14ac:dyDescent="0.3">
      <c r="A166" s="2713"/>
      <c r="B166" s="2722"/>
      <c r="C166" s="3261" t="s">
        <v>382</v>
      </c>
      <c r="D166" s="3262"/>
      <c r="E166" s="3262"/>
      <c r="F166" s="3262"/>
      <c r="G166" s="3263"/>
      <c r="H166" s="2729">
        <f>SUMIF(G12:G154,"sb(l)",H12:H154)</f>
        <v>48163.809082483785</v>
      </c>
      <c r="I166" s="2730"/>
      <c r="J166" s="2730"/>
      <c r="K166" s="2725"/>
      <c r="L166" s="2725"/>
      <c r="M166" s="2725"/>
      <c r="N166" s="2725"/>
    </row>
    <row r="167" spans="1:14" s="18" customFormat="1" ht="13.5" thickBot="1" x14ac:dyDescent="0.3">
      <c r="A167" s="2713"/>
      <c r="B167" s="2718"/>
      <c r="C167" s="3237" t="s">
        <v>50</v>
      </c>
      <c r="D167" s="3238"/>
      <c r="E167" s="3238"/>
      <c r="F167" s="3238"/>
      <c r="G167" s="3239"/>
      <c r="H167" s="2719">
        <f>SUM(H168:H170)</f>
        <v>14730334.800741427</v>
      </c>
      <c r="I167" s="2720">
        <f>SUM(I168:I170)</f>
        <v>15140726.367006486</v>
      </c>
      <c r="J167" s="2720">
        <f>J168+J169+J170</f>
        <v>15992080.001112143</v>
      </c>
      <c r="K167" s="2721"/>
      <c r="L167" s="3240"/>
      <c r="M167" s="3240"/>
      <c r="N167" s="3240"/>
    </row>
    <row r="168" spans="1:14" s="18" customFormat="1" x14ac:dyDescent="0.25">
      <c r="A168" s="2713"/>
      <c r="B168" s="2722"/>
      <c r="C168" s="3257" t="s">
        <v>104</v>
      </c>
      <c r="D168" s="3258"/>
      <c r="E168" s="3258"/>
      <c r="F168" s="3258"/>
      <c r="G168" s="3259"/>
      <c r="H168" s="2731">
        <f>SUMIF(G12:G154,"es",H12:H154)</f>
        <v>704268.99907321588</v>
      </c>
      <c r="I168" s="2732">
        <f>SUMIF(G12:G152,"es",I12:I152)</f>
        <v>1354726.5987025024</v>
      </c>
      <c r="J168" s="2732">
        <f>SUMIF(G12:G152,"es",J12:J152)</f>
        <v>2018130.2131603337</v>
      </c>
      <c r="K168" s="2725"/>
      <c r="L168" s="3236"/>
      <c r="M168" s="3236"/>
      <c r="N168" s="3236"/>
    </row>
    <row r="169" spans="1:14" s="18" customFormat="1" x14ac:dyDescent="0.25">
      <c r="A169" s="2713"/>
      <c r="B169" s="2722"/>
      <c r="C169" s="3233" t="s">
        <v>105</v>
      </c>
      <c r="D169" s="3234"/>
      <c r="E169" s="3234"/>
      <c r="F169" s="3234"/>
      <c r="G169" s="3235"/>
      <c r="H169" s="2726">
        <f>SUMIF(G12:G154,"lrvb",H12:H154)</f>
        <v>14000550.278035216</v>
      </c>
      <c r="I169" s="2727">
        <f>SUMIF(G12:G152,"lrvb",I12:I152)</f>
        <v>13784841.288229842</v>
      </c>
      <c r="J169" s="2733">
        <f>SUMIF(G12:G152,"lrvb",J12:J152)</f>
        <v>13972791.307877665</v>
      </c>
      <c r="K169" s="2734"/>
      <c r="L169" s="3236"/>
      <c r="M169" s="3236"/>
      <c r="N169" s="3236"/>
    </row>
    <row r="170" spans="1:14" s="18" customFormat="1" ht="13.5" thickBot="1" x14ac:dyDescent="0.3">
      <c r="A170" s="2713"/>
      <c r="B170" s="2722"/>
      <c r="C170" s="3241" t="s">
        <v>126</v>
      </c>
      <c r="D170" s="3242"/>
      <c r="E170" s="3242"/>
      <c r="F170" s="3242"/>
      <c r="G170" s="3243"/>
      <c r="H170" s="2723">
        <f>SUMIF(G12:G154,"kt",H12:H154)</f>
        <v>25515.523632993514</v>
      </c>
      <c r="I170" s="2732">
        <f>SUMIF(G12:G152,"kt",I12:I152)</f>
        <v>1158.4800741427248</v>
      </c>
      <c r="J170" s="2732">
        <f>SUMIF(G12:G152,"kt",J12:J152)</f>
        <v>1158.4800741427248</v>
      </c>
      <c r="K170" s="2734"/>
      <c r="L170" s="3236"/>
      <c r="M170" s="3236"/>
      <c r="N170" s="3236"/>
    </row>
    <row r="171" spans="1:14" s="18" customFormat="1" ht="13.5" thickBot="1" x14ac:dyDescent="0.3">
      <c r="A171" s="2713"/>
      <c r="B171" s="2718"/>
      <c r="C171" s="2816" t="s">
        <v>51</v>
      </c>
      <c r="D171" s="2817"/>
      <c r="E171" s="2817"/>
      <c r="F171" s="2817"/>
      <c r="G171" s="2818"/>
      <c r="H171" s="2735">
        <f>H167+H161</f>
        <v>30506226.830398515</v>
      </c>
      <c r="I171" s="2736">
        <f>I161+I167</f>
        <v>30749189.063948099</v>
      </c>
      <c r="J171" s="2736">
        <f>J161+J167</f>
        <v>31412868.926042631</v>
      </c>
      <c r="K171" s="2737"/>
      <c r="L171" s="3240"/>
      <c r="M171" s="3240"/>
      <c r="N171" s="3240"/>
    </row>
    <row r="172" spans="1:14" x14ac:dyDescent="0.2">
      <c r="B172" s="2738"/>
      <c r="C172" s="141"/>
      <c r="D172" s="141"/>
      <c r="E172" s="141"/>
    </row>
    <row r="173" spans="1:14" x14ac:dyDescent="0.2">
      <c r="H173" s="2743"/>
    </row>
    <row r="177" spans="2:14" x14ac:dyDescent="0.2">
      <c r="B177" s="17"/>
      <c r="E177" s="17"/>
      <c r="F177" s="142"/>
      <c r="K177" s="17"/>
      <c r="L177" s="17"/>
      <c r="M177" s="17"/>
      <c r="N177" s="17"/>
    </row>
  </sheetData>
  <mergeCells count="201">
    <mergeCell ref="M92:M93"/>
    <mergeCell ref="N92:N93"/>
    <mergeCell ref="F86:F90"/>
    <mergeCell ref="K86:K87"/>
    <mergeCell ref="K89:K90"/>
    <mergeCell ref="N113:N114"/>
    <mergeCell ref="E111:G111"/>
    <mergeCell ref="C97:G97"/>
    <mergeCell ref="K97:N97"/>
    <mergeCell ref="C98:N98"/>
    <mergeCell ref="D100:D103"/>
    <mergeCell ref="K100:K103"/>
    <mergeCell ref="D104:D107"/>
    <mergeCell ref="D108:D111"/>
    <mergeCell ref="K104:K107"/>
    <mergeCell ref="D91:D93"/>
    <mergeCell ref="E91:E93"/>
    <mergeCell ref="F91:F93"/>
    <mergeCell ref="K92:K93"/>
    <mergeCell ref="K95:K96"/>
    <mergeCell ref="L171:N171"/>
    <mergeCell ref="K19:K20"/>
    <mergeCell ref="K35:K37"/>
    <mergeCell ref="D35:D36"/>
    <mergeCell ref="C171:G171"/>
    <mergeCell ref="C167:G167"/>
    <mergeCell ref="E143:G143"/>
    <mergeCell ref="D139:D143"/>
    <mergeCell ref="K142:K143"/>
    <mergeCell ref="E128:G128"/>
    <mergeCell ref="D126:D128"/>
    <mergeCell ref="E126:E127"/>
    <mergeCell ref="L167:N167"/>
    <mergeCell ref="C168:G168"/>
    <mergeCell ref="L168:N168"/>
    <mergeCell ref="C165:G165"/>
    <mergeCell ref="L165:N165"/>
    <mergeCell ref="C166:G166"/>
    <mergeCell ref="D19:D20"/>
    <mergeCell ref="D117:D119"/>
    <mergeCell ref="K117:K119"/>
    <mergeCell ref="D113:D116"/>
    <mergeCell ref="M113:M114"/>
    <mergeCell ref="C164:G164"/>
    <mergeCell ref="L164:N164"/>
    <mergeCell ref="C161:G161"/>
    <mergeCell ref="L161:N161"/>
    <mergeCell ref="C162:G162"/>
    <mergeCell ref="L162:N162"/>
    <mergeCell ref="C169:G169"/>
    <mergeCell ref="L169:N169"/>
    <mergeCell ref="C170:G170"/>
    <mergeCell ref="L170:N170"/>
    <mergeCell ref="D159:J159"/>
    <mergeCell ref="C160:G160"/>
    <mergeCell ref="L160:N160"/>
    <mergeCell ref="C157:G157"/>
    <mergeCell ref="K157:N157"/>
    <mergeCell ref="B158:G158"/>
    <mergeCell ref="K158:N158"/>
    <mergeCell ref="C163:G163"/>
    <mergeCell ref="L163:N163"/>
    <mergeCell ref="C153:C155"/>
    <mergeCell ref="D154:D155"/>
    <mergeCell ref="C156:G156"/>
    <mergeCell ref="K156:N156"/>
    <mergeCell ref="K135:K136"/>
    <mergeCell ref="K139:K140"/>
    <mergeCell ref="C149:C152"/>
    <mergeCell ref="D150:D152"/>
    <mergeCell ref="F150:F152"/>
    <mergeCell ref="K150:K152"/>
    <mergeCell ref="E136:E138"/>
    <mergeCell ref="D135:D138"/>
    <mergeCell ref="C130:N130"/>
    <mergeCell ref="K132:K134"/>
    <mergeCell ref="A83:A84"/>
    <mergeCell ref="B83:B84"/>
    <mergeCell ref="D83:D85"/>
    <mergeCell ref="K83:K84"/>
    <mergeCell ref="A86:A87"/>
    <mergeCell ref="B86:B87"/>
    <mergeCell ref="D86:D90"/>
    <mergeCell ref="E86:E90"/>
    <mergeCell ref="D94:D96"/>
    <mergeCell ref="E94:E96"/>
    <mergeCell ref="F94:F96"/>
    <mergeCell ref="M126:M128"/>
    <mergeCell ref="N126:N128"/>
    <mergeCell ref="D120:D122"/>
    <mergeCell ref="K120:K122"/>
    <mergeCell ref="D124:D125"/>
    <mergeCell ref="L126:L128"/>
    <mergeCell ref="F126:F127"/>
    <mergeCell ref="K126:K128"/>
    <mergeCell ref="C129:G129"/>
    <mergeCell ref="K129:N129"/>
    <mergeCell ref="L92:L93"/>
    <mergeCell ref="M76:M77"/>
    <mergeCell ref="N76:N77"/>
    <mergeCell ref="A79:A80"/>
    <mergeCell ref="B79:B80"/>
    <mergeCell ref="D79:D82"/>
    <mergeCell ref="K79:K80"/>
    <mergeCell ref="A76:A77"/>
    <mergeCell ref="B76:B77"/>
    <mergeCell ref="D76:D78"/>
    <mergeCell ref="K76:K77"/>
    <mergeCell ref="L76:L77"/>
    <mergeCell ref="F72:F75"/>
    <mergeCell ref="K72:K75"/>
    <mergeCell ref="L72:L75"/>
    <mergeCell ref="M72:M75"/>
    <mergeCell ref="N72:N75"/>
    <mergeCell ref="A72:A75"/>
    <mergeCell ref="B72:B75"/>
    <mergeCell ref="C72:C75"/>
    <mergeCell ref="E72:E75"/>
    <mergeCell ref="D74:D75"/>
    <mergeCell ref="D69:D71"/>
    <mergeCell ref="K69:K70"/>
    <mergeCell ref="D63:D64"/>
    <mergeCell ref="K64:K65"/>
    <mergeCell ref="A61:A62"/>
    <mergeCell ref="B61:B62"/>
    <mergeCell ref="C61:C62"/>
    <mergeCell ref="D61:D62"/>
    <mergeCell ref="E61:E62"/>
    <mergeCell ref="D55:D56"/>
    <mergeCell ref="K55:K56"/>
    <mergeCell ref="L55:L56"/>
    <mergeCell ref="M55:M56"/>
    <mergeCell ref="N55:N56"/>
    <mergeCell ref="F61:F62"/>
    <mergeCell ref="K61:K62"/>
    <mergeCell ref="P35:P41"/>
    <mergeCell ref="D50:D51"/>
    <mergeCell ref="D52:D53"/>
    <mergeCell ref="D48:D49"/>
    <mergeCell ref="D57:D58"/>
    <mergeCell ref="K59:K60"/>
    <mergeCell ref="D59:D60"/>
    <mergeCell ref="C34:N34"/>
    <mergeCell ref="D42:D43"/>
    <mergeCell ref="A31:A32"/>
    <mergeCell ref="B31:B32"/>
    <mergeCell ref="D31:D32"/>
    <mergeCell ref="C33:G33"/>
    <mergeCell ref="K33:N33"/>
    <mergeCell ref="M27:M28"/>
    <mergeCell ref="N27:N28"/>
    <mergeCell ref="A29:A30"/>
    <mergeCell ref="B29:B30"/>
    <mergeCell ref="C29:C30"/>
    <mergeCell ref="K29:K30"/>
    <mergeCell ref="L29:L30"/>
    <mergeCell ref="M29:M30"/>
    <mergeCell ref="N29:N30"/>
    <mergeCell ref="F25:F26"/>
    <mergeCell ref="D27:D28"/>
    <mergeCell ref="K27:K28"/>
    <mergeCell ref="L27:L28"/>
    <mergeCell ref="A25:A26"/>
    <mergeCell ref="B25:B26"/>
    <mergeCell ref="C25:C26"/>
    <mergeCell ref="D25:D26"/>
    <mergeCell ref="E25:E26"/>
    <mergeCell ref="D23:D24"/>
    <mergeCell ref="K23:K24"/>
    <mergeCell ref="L23:L24"/>
    <mergeCell ref="M23:M24"/>
    <mergeCell ref="N23:N24"/>
    <mergeCell ref="D21:D22"/>
    <mergeCell ref="K21:K22"/>
    <mergeCell ref="L21:L22"/>
    <mergeCell ref="M21:M22"/>
    <mergeCell ref="N21:N22"/>
    <mergeCell ref="D12:D15"/>
    <mergeCell ref="K13:K14"/>
    <mergeCell ref="D17:D18"/>
    <mergeCell ref="K6:K7"/>
    <mergeCell ref="L6:N6"/>
    <mergeCell ref="A8:N8"/>
    <mergeCell ref="A9:N9"/>
    <mergeCell ref="B10:N10"/>
    <mergeCell ref="C11:N11"/>
    <mergeCell ref="I5:I7"/>
    <mergeCell ref="J5:J7"/>
    <mergeCell ref="K5:N5"/>
    <mergeCell ref="F5:F7"/>
    <mergeCell ref="G5:G7"/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H5:H7"/>
  </mergeCells>
  <printOptions horizontalCentered="1"/>
  <pageMargins left="0.78740157480314965" right="0.19685039370078741" top="0.39370078740157483" bottom="0.39370078740157483" header="0.31496062992125984" footer="0.31496062992125984"/>
  <pageSetup paperSize="9" scale="75" orientation="portrait" r:id="rId1"/>
  <rowBreaks count="1" manualBreakCount="1">
    <brk id="138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30"/>
  <sheetViews>
    <sheetView zoomScale="110" zoomScaleNormal="110" zoomScaleSheetLayoutView="80" workbookViewId="0">
      <selection sqref="A1:AB1"/>
    </sheetView>
  </sheetViews>
  <sheetFormatPr defaultRowHeight="16.5" customHeight="1" x14ac:dyDescent="0.2"/>
  <cols>
    <col min="1" max="1" width="2.7109375" style="143" customWidth="1"/>
    <col min="2" max="2" width="2.7109375" style="144" customWidth="1"/>
    <col min="3" max="3" width="2.85546875" style="143" customWidth="1"/>
    <col min="4" max="4" width="2.85546875" style="144" customWidth="1"/>
    <col min="5" max="5" width="29.7109375" style="143" customWidth="1"/>
    <col min="6" max="6" width="3.7109375" style="144" customWidth="1"/>
    <col min="7" max="7" width="2.85546875" style="144" customWidth="1"/>
    <col min="8" max="8" width="2.7109375" style="1470" customWidth="1"/>
    <col min="9" max="9" width="12.5703125" style="1471" customWidth="1"/>
    <col min="10" max="10" width="7.5703125" style="144" customWidth="1"/>
    <col min="11" max="11" width="8.85546875" style="338" customWidth="1"/>
    <col min="12" max="12" width="7.42578125" style="338" customWidth="1"/>
    <col min="13" max="13" width="6.7109375" style="338" customWidth="1"/>
    <col min="14" max="14" width="7.7109375" style="338" customWidth="1"/>
    <col min="15" max="16" width="8.28515625" style="143" customWidth="1"/>
    <col min="17" max="17" width="7" style="143" customWidth="1"/>
    <col min="18" max="18" width="7.42578125" style="143" customWidth="1"/>
    <col min="19" max="20" width="8" style="143" hidden="1" customWidth="1"/>
    <col min="21" max="22" width="6.140625" style="143" hidden="1" customWidth="1"/>
    <col min="23" max="23" width="8.42578125" style="143" customWidth="1"/>
    <col min="24" max="24" width="8.140625" style="143" customWidth="1"/>
    <col min="25" max="25" width="24.28515625" style="251" customWidth="1"/>
    <col min="26" max="26" width="5.7109375" style="144" customWidth="1"/>
    <col min="27" max="27" width="5.28515625" style="144" customWidth="1"/>
    <col min="28" max="28" width="5.28515625" style="247" customWidth="1"/>
    <col min="29" max="16384" width="9.140625" style="143"/>
  </cols>
  <sheetData>
    <row r="1" spans="1:33" ht="16.5" customHeight="1" x14ac:dyDescent="0.2">
      <c r="A1" s="3540" t="s">
        <v>238</v>
      </c>
      <c r="B1" s="3540"/>
      <c r="C1" s="3540"/>
      <c r="D1" s="3540"/>
      <c r="E1" s="3540"/>
      <c r="F1" s="3540"/>
      <c r="G1" s="3540"/>
      <c r="H1" s="3540"/>
      <c r="I1" s="3540"/>
      <c r="J1" s="3540"/>
      <c r="K1" s="3540"/>
      <c r="L1" s="3540"/>
      <c r="M1" s="3540"/>
      <c r="N1" s="3540"/>
      <c r="O1" s="3540"/>
      <c r="P1" s="3540"/>
      <c r="Q1" s="3540"/>
      <c r="R1" s="3540"/>
      <c r="S1" s="3540"/>
      <c r="T1" s="3540"/>
      <c r="U1" s="3540"/>
      <c r="V1" s="3540"/>
      <c r="W1" s="3540"/>
      <c r="X1" s="3540"/>
      <c r="Y1" s="3540"/>
      <c r="Z1" s="3540"/>
      <c r="AA1" s="3540"/>
      <c r="AB1" s="3540"/>
    </row>
    <row r="2" spans="1:33" s="1187" customFormat="1" ht="16.5" customHeight="1" x14ac:dyDescent="0.25">
      <c r="A2" s="3541" t="s">
        <v>83</v>
      </c>
      <c r="B2" s="3541"/>
      <c r="C2" s="3541"/>
      <c r="D2" s="3541"/>
      <c r="E2" s="3541"/>
      <c r="F2" s="3541"/>
      <c r="G2" s="3541"/>
      <c r="H2" s="3541"/>
      <c r="I2" s="3541"/>
      <c r="J2" s="3541"/>
      <c r="K2" s="3541"/>
      <c r="L2" s="3541"/>
      <c r="M2" s="3541"/>
      <c r="N2" s="3541"/>
      <c r="O2" s="3541"/>
      <c r="P2" s="3541"/>
      <c r="Q2" s="3541"/>
      <c r="R2" s="3541"/>
      <c r="S2" s="3541"/>
      <c r="T2" s="3541"/>
      <c r="U2" s="3541"/>
      <c r="V2" s="3541"/>
      <c r="W2" s="3541"/>
      <c r="X2" s="3541"/>
      <c r="Y2" s="3541"/>
      <c r="Z2" s="3541"/>
      <c r="AA2" s="3541"/>
      <c r="AB2" s="3541"/>
    </row>
    <row r="3" spans="1:33" s="1187" customFormat="1" ht="16.5" customHeight="1" x14ac:dyDescent="0.25">
      <c r="A3" s="3542" t="s">
        <v>230</v>
      </c>
      <c r="B3" s="3542"/>
      <c r="C3" s="3542"/>
      <c r="D3" s="3542"/>
      <c r="E3" s="3542"/>
      <c r="F3" s="3542"/>
      <c r="G3" s="3542"/>
      <c r="H3" s="3542"/>
      <c r="I3" s="3542"/>
      <c r="J3" s="3542"/>
      <c r="K3" s="3542"/>
      <c r="L3" s="3542"/>
      <c r="M3" s="3542"/>
      <c r="N3" s="3542"/>
      <c r="O3" s="3542"/>
      <c r="P3" s="3542"/>
      <c r="Q3" s="3542"/>
      <c r="R3" s="3542"/>
      <c r="S3" s="3542"/>
      <c r="T3" s="3542"/>
      <c r="U3" s="3542"/>
      <c r="V3" s="3542"/>
      <c r="W3" s="3542"/>
      <c r="X3" s="3542"/>
      <c r="Y3" s="3542"/>
      <c r="Z3" s="3542"/>
      <c r="AA3" s="3542"/>
      <c r="AB3" s="3542"/>
    </row>
    <row r="4" spans="1:33" s="1187" customFormat="1" ht="16.5" customHeight="1" thickBot="1" x14ac:dyDescent="0.3">
      <c r="A4" s="3543" t="s">
        <v>0</v>
      </c>
      <c r="B4" s="3543"/>
      <c r="C4" s="3543"/>
      <c r="D4" s="3543"/>
      <c r="E4" s="3543"/>
      <c r="F4" s="3543"/>
      <c r="G4" s="3543"/>
      <c r="H4" s="3543"/>
      <c r="I4" s="3543"/>
      <c r="J4" s="3543"/>
      <c r="K4" s="3543"/>
      <c r="L4" s="3543"/>
      <c r="M4" s="3543"/>
      <c r="N4" s="3543"/>
      <c r="O4" s="3543"/>
      <c r="P4" s="3543"/>
      <c r="Q4" s="3543"/>
      <c r="R4" s="3543"/>
      <c r="S4" s="3543"/>
      <c r="T4" s="3543"/>
      <c r="U4" s="3543"/>
      <c r="V4" s="3543"/>
      <c r="W4" s="3543"/>
      <c r="X4" s="3543"/>
      <c r="Y4" s="3543"/>
      <c r="Z4" s="3543"/>
      <c r="AA4" s="3543"/>
      <c r="AB4" s="3543"/>
    </row>
    <row r="5" spans="1:33" s="240" customFormat="1" ht="31.5" customHeight="1" thickBot="1" x14ac:dyDescent="0.3">
      <c r="A5" s="3544" t="s">
        <v>1</v>
      </c>
      <c r="B5" s="3547" t="s">
        <v>2</v>
      </c>
      <c r="C5" s="3550" t="s">
        <v>3</v>
      </c>
      <c r="D5" s="2218"/>
      <c r="E5" s="3553" t="s">
        <v>4</v>
      </c>
      <c r="F5" s="3556" t="s">
        <v>5</v>
      </c>
      <c r="G5" s="3547" t="s">
        <v>258</v>
      </c>
      <c r="H5" s="3602" t="s">
        <v>6</v>
      </c>
      <c r="I5" s="3569" t="s">
        <v>153</v>
      </c>
      <c r="J5" s="3572" t="s">
        <v>7</v>
      </c>
      <c r="K5" s="3575" t="s">
        <v>239</v>
      </c>
      <c r="L5" s="3576"/>
      <c r="M5" s="3576"/>
      <c r="N5" s="3577"/>
      <c r="O5" s="3578" t="s">
        <v>241</v>
      </c>
      <c r="P5" s="3579"/>
      <c r="Q5" s="3579"/>
      <c r="R5" s="3580"/>
      <c r="S5" s="3578" t="s">
        <v>241</v>
      </c>
      <c r="T5" s="3579"/>
      <c r="U5" s="3579"/>
      <c r="V5" s="3580"/>
      <c r="W5" s="3581" t="s">
        <v>314</v>
      </c>
      <c r="X5" s="3581" t="s">
        <v>315</v>
      </c>
      <c r="Y5" s="3584" t="s">
        <v>231</v>
      </c>
      <c r="Z5" s="3585"/>
      <c r="AA5" s="3585"/>
      <c r="AB5" s="3586"/>
    </row>
    <row r="6" spans="1:33" s="240" customFormat="1" ht="16.5" customHeight="1" x14ac:dyDescent="0.25">
      <c r="A6" s="3545"/>
      <c r="B6" s="3548"/>
      <c r="C6" s="3551"/>
      <c r="D6" s="2219"/>
      <c r="E6" s="3554"/>
      <c r="F6" s="3557"/>
      <c r="G6" s="3548"/>
      <c r="H6" s="3603"/>
      <c r="I6" s="3570"/>
      <c r="J6" s="3573"/>
      <c r="K6" s="3587" t="s">
        <v>8</v>
      </c>
      <c r="L6" s="3589" t="s">
        <v>9</v>
      </c>
      <c r="M6" s="3590"/>
      <c r="N6" s="3559" t="s">
        <v>10</v>
      </c>
      <c r="O6" s="3561" t="s">
        <v>8</v>
      </c>
      <c r="P6" s="3563" t="s">
        <v>9</v>
      </c>
      <c r="Q6" s="3564"/>
      <c r="R6" s="3054" t="s">
        <v>10</v>
      </c>
      <c r="S6" s="3561" t="s">
        <v>8</v>
      </c>
      <c r="T6" s="3563" t="s">
        <v>9</v>
      </c>
      <c r="U6" s="3564"/>
      <c r="V6" s="3054" t="s">
        <v>10</v>
      </c>
      <c r="W6" s="3582"/>
      <c r="X6" s="3582"/>
      <c r="Y6" s="3064" t="s">
        <v>4</v>
      </c>
      <c r="Z6" s="3066" t="s">
        <v>341</v>
      </c>
      <c r="AA6" s="3067"/>
      <c r="AB6" s="3068"/>
    </row>
    <row r="7" spans="1:33" s="240" customFormat="1" ht="94.5" customHeight="1" thickBot="1" x14ac:dyDescent="0.3">
      <c r="A7" s="3546"/>
      <c r="B7" s="3549"/>
      <c r="C7" s="3552"/>
      <c r="D7" s="2220"/>
      <c r="E7" s="3555"/>
      <c r="F7" s="3558"/>
      <c r="G7" s="3549"/>
      <c r="H7" s="3604"/>
      <c r="I7" s="3571"/>
      <c r="J7" s="3574"/>
      <c r="K7" s="3588"/>
      <c r="L7" s="2135" t="s">
        <v>8</v>
      </c>
      <c r="M7" s="2135" t="s">
        <v>11</v>
      </c>
      <c r="N7" s="3560"/>
      <c r="O7" s="3562"/>
      <c r="P7" s="1188" t="s">
        <v>8</v>
      </c>
      <c r="Q7" s="1188" t="s">
        <v>11</v>
      </c>
      <c r="R7" s="3055"/>
      <c r="S7" s="3562"/>
      <c r="T7" s="1188" t="s">
        <v>8</v>
      </c>
      <c r="U7" s="1188" t="s">
        <v>11</v>
      </c>
      <c r="V7" s="3055"/>
      <c r="W7" s="3583"/>
      <c r="X7" s="3583"/>
      <c r="Y7" s="3065"/>
      <c r="Z7" s="211" t="s">
        <v>62</v>
      </c>
      <c r="AA7" s="211" t="s">
        <v>128</v>
      </c>
      <c r="AB7" s="212" t="s">
        <v>242</v>
      </c>
    </row>
    <row r="8" spans="1:33" s="1187" customFormat="1" ht="16.5" customHeight="1" x14ac:dyDescent="0.25">
      <c r="A8" s="3591" t="s">
        <v>205</v>
      </c>
      <c r="B8" s="3592"/>
      <c r="C8" s="3592"/>
      <c r="D8" s="3592"/>
      <c r="E8" s="3592"/>
      <c r="F8" s="3592"/>
      <c r="G8" s="3592"/>
      <c r="H8" s="3592"/>
      <c r="I8" s="3592"/>
      <c r="J8" s="3592"/>
      <c r="K8" s="3592"/>
      <c r="L8" s="3592"/>
      <c r="M8" s="3592"/>
      <c r="N8" s="3592"/>
      <c r="O8" s="3592"/>
      <c r="P8" s="3592"/>
      <c r="Q8" s="3592"/>
      <c r="R8" s="3592"/>
      <c r="S8" s="3592"/>
      <c r="T8" s="3592"/>
      <c r="U8" s="3592"/>
      <c r="V8" s="3592"/>
      <c r="W8" s="3592"/>
      <c r="X8" s="3592"/>
      <c r="Y8" s="3592"/>
      <c r="Z8" s="3592"/>
      <c r="AA8" s="3592"/>
      <c r="AB8" s="3593"/>
    </row>
    <row r="9" spans="1:33" s="1187" customFormat="1" ht="16.5" customHeight="1" thickBot="1" x14ac:dyDescent="0.3">
      <c r="A9" s="3594" t="s">
        <v>12</v>
      </c>
      <c r="B9" s="3595"/>
      <c r="C9" s="3595"/>
      <c r="D9" s="3595"/>
      <c r="E9" s="3595"/>
      <c r="F9" s="3595"/>
      <c r="G9" s="3595"/>
      <c r="H9" s="3595"/>
      <c r="I9" s="3595"/>
      <c r="J9" s="3595"/>
      <c r="K9" s="3595"/>
      <c r="L9" s="3595"/>
      <c r="M9" s="3595"/>
      <c r="N9" s="3595"/>
      <c r="O9" s="3595"/>
      <c r="P9" s="3595"/>
      <c r="Q9" s="3595"/>
      <c r="R9" s="3595"/>
      <c r="S9" s="3595"/>
      <c r="T9" s="3595"/>
      <c r="U9" s="3595"/>
      <c r="V9" s="3595"/>
      <c r="W9" s="3595"/>
      <c r="X9" s="3595"/>
      <c r="Y9" s="3595"/>
      <c r="Z9" s="3595"/>
      <c r="AA9" s="3595"/>
      <c r="AB9" s="3596"/>
      <c r="AG9" s="240"/>
    </row>
    <row r="10" spans="1:33" s="240" customFormat="1" ht="16.5" customHeight="1" thickBot="1" x14ac:dyDescent="0.3">
      <c r="A10" s="1189" t="s">
        <v>13</v>
      </c>
      <c r="B10" s="3597" t="s">
        <v>14</v>
      </c>
      <c r="C10" s="3597"/>
      <c r="D10" s="3597"/>
      <c r="E10" s="3597"/>
      <c r="F10" s="3597"/>
      <c r="G10" s="3597"/>
      <c r="H10" s="3597"/>
      <c r="I10" s="3597"/>
      <c r="J10" s="3597"/>
      <c r="K10" s="3597"/>
      <c r="L10" s="3597"/>
      <c r="M10" s="3597"/>
      <c r="N10" s="3597"/>
      <c r="O10" s="3597"/>
      <c r="P10" s="3597"/>
      <c r="Q10" s="3597"/>
      <c r="R10" s="3597"/>
      <c r="S10" s="3597"/>
      <c r="T10" s="3597"/>
      <c r="U10" s="3597"/>
      <c r="V10" s="3597"/>
      <c r="W10" s="3597"/>
      <c r="X10" s="3597"/>
      <c r="Y10" s="3597"/>
      <c r="Z10" s="3597"/>
      <c r="AA10" s="3597"/>
      <c r="AB10" s="3598"/>
    </row>
    <row r="11" spans="1:33" s="240" customFormat="1" ht="16.5" customHeight="1" thickBot="1" x14ac:dyDescent="0.3">
      <c r="A11" s="1190" t="s">
        <v>13</v>
      </c>
      <c r="B11" s="1191" t="s">
        <v>13</v>
      </c>
      <c r="C11" s="3599" t="s">
        <v>15</v>
      </c>
      <c r="D11" s="3599"/>
      <c r="E11" s="3599"/>
      <c r="F11" s="3599"/>
      <c r="G11" s="3599"/>
      <c r="H11" s="3599"/>
      <c r="I11" s="3600"/>
      <c r="J11" s="3600"/>
      <c r="K11" s="3600"/>
      <c r="L11" s="3600"/>
      <c r="M11" s="3600"/>
      <c r="N11" s="3600"/>
      <c r="O11" s="3600"/>
      <c r="P11" s="3600"/>
      <c r="Q11" s="3600"/>
      <c r="R11" s="3600"/>
      <c r="S11" s="3600"/>
      <c r="T11" s="3600"/>
      <c r="U11" s="3600"/>
      <c r="V11" s="3600"/>
      <c r="W11" s="3600"/>
      <c r="X11" s="3600"/>
      <c r="Y11" s="3600"/>
      <c r="Z11" s="3600"/>
      <c r="AA11" s="3600"/>
      <c r="AB11" s="3601"/>
    </row>
    <row r="12" spans="1:33" s="240" customFormat="1" ht="40.5" customHeight="1" x14ac:dyDescent="0.25">
      <c r="A12" s="2199" t="s">
        <v>13</v>
      </c>
      <c r="B12" s="1192" t="s">
        <v>13</v>
      </c>
      <c r="C12" s="2214" t="s">
        <v>13</v>
      </c>
      <c r="D12" s="1474"/>
      <c r="E12" s="3365" t="s">
        <v>63</v>
      </c>
      <c r="F12" s="1193"/>
      <c r="G12" s="2176" t="s">
        <v>16</v>
      </c>
      <c r="H12" s="2225" t="s">
        <v>26</v>
      </c>
      <c r="I12" s="3529" t="s">
        <v>159</v>
      </c>
      <c r="J12" s="767" t="s">
        <v>17</v>
      </c>
      <c r="K12" s="975">
        <f>L12+N12</f>
        <v>5061.3999999999996</v>
      </c>
      <c r="L12" s="949">
        <v>5061.3999999999996</v>
      </c>
      <c r="M12" s="939"/>
      <c r="N12" s="976"/>
      <c r="O12" s="1194">
        <f>P12+R12</f>
        <v>7.6</v>
      </c>
      <c r="P12" s="1195">
        <v>7.6</v>
      </c>
      <c r="Q12" s="1196"/>
      <c r="R12" s="1197"/>
      <c r="S12" s="769">
        <f>T12+V12</f>
        <v>0</v>
      </c>
      <c r="T12" s="339">
        <v>0</v>
      </c>
      <c r="U12" s="340"/>
      <c r="V12" s="870"/>
      <c r="W12" s="1198">
        <v>7.6</v>
      </c>
      <c r="X12" s="1310">
        <v>7.6</v>
      </c>
      <c r="Y12" s="41" t="s">
        <v>303</v>
      </c>
      <c r="Z12" s="256">
        <v>5</v>
      </c>
      <c r="AA12" s="244">
        <v>5</v>
      </c>
      <c r="AB12" s="257">
        <v>5</v>
      </c>
    </row>
    <row r="13" spans="1:33" s="240" customFormat="1" ht="14.25" customHeight="1" x14ac:dyDescent="0.25">
      <c r="A13" s="2193"/>
      <c r="B13" s="1199"/>
      <c r="C13" s="2238"/>
      <c r="D13" s="1475"/>
      <c r="E13" s="3366"/>
      <c r="F13" s="1200"/>
      <c r="G13" s="2177"/>
      <c r="H13" s="1201"/>
      <c r="I13" s="3565"/>
      <c r="J13" s="199"/>
      <c r="K13" s="943"/>
      <c r="L13" s="326"/>
      <c r="M13" s="941"/>
      <c r="N13" s="524"/>
      <c r="O13" s="1202"/>
      <c r="P13" s="1203"/>
      <c r="Q13" s="1204"/>
      <c r="R13" s="1205"/>
      <c r="S13" s="342"/>
      <c r="T13" s="343"/>
      <c r="U13" s="344"/>
      <c r="V13" s="353"/>
      <c r="W13" s="1161"/>
      <c r="X13" s="1207"/>
      <c r="Y13" s="3566" t="s">
        <v>130</v>
      </c>
      <c r="Z13" s="2169">
        <v>4600</v>
      </c>
      <c r="AA13" s="2149">
        <v>4500</v>
      </c>
      <c r="AB13" s="2168">
        <v>4500</v>
      </c>
    </row>
    <row r="14" spans="1:33" s="240" customFormat="1" ht="14.25" customHeight="1" x14ac:dyDescent="0.25">
      <c r="A14" s="2193"/>
      <c r="B14" s="1199"/>
      <c r="C14" s="2238"/>
      <c r="D14" s="1475"/>
      <c r="E14" s="3366"/>
      <c r="F14" s="1200"/>
      <c r="G14" s="2177"/>
      <c r="H14" s="1201"/>
      <c r="I14" s="3565"/>
      <c r="J14" s="199" t="s">
        <v>27</v>
      </c>
      <c r="K14" s="523">
        <v>16606.7</v>
      </c>
      <c r="L14" s="326">
        <v>16606.7</v>
      </c>
      <c r="M14" s="941"/>
      <c r="N14" s="524"/>
      <c r="O14" s="1099">
        <f>P14</f>
        <v>13000</v>
      </c>
      <c r="P14" s="1096">
        <v>13000</v>
      </c>
      <c r="Q14" s="1204"/>
      <c r="R14" s="1205"/>
      <c r="S14" s="488">
        <f>T14+V14</f>
        <v>0</v>
      </c>
      <c r="T14" s="343">
        <v>0</v>
      </c>
      <c r="U14" s="344"/>
      <c r="V14" s="353"/>
      <c r="W14" s="1161">
        <v>13000</v>
      </c>
      <c r="X14" s="1161">
        <v>13000</v>
      </c>
      <c r="Y14" s="3567"/>
      <c r="Z14" s="1208"/>
      <c r="AA14" s="726"/>
      <c r="AB14" s="242"/>
    </row>
    <row r="15" spans="1:33" s="240" customFormat="1" ht="26.25" customHeight="1" x14ac:dyDescent="0.25">
      <c r="A15" s="2193"/>
      <c r="B15" s="1199"/>
      <c r="C15" s="2238"/>
      <c r="D15" s="1475"/>
      <c r="E15" s="3366"/>
      <c r="F15" s="280"/>
      <c r="G15" s="2177"/>
      <c r="H15" s="1694"/>
      <c r="I15" s="3565"/>
      <c r="J15" s="253" t="s">
        <v>17</v>
      </c>
      <c r="K15" s="943">
        <f>L15</f>
        <v>2146.6</v>
      </c>
      <c r="L15" s="326">
        <v>2146.6</v>
      </c>
      <c r="M15" s="941"/>
      <c r="N15" s="526"/>
      <c r="O15" s="1209">
        <f>P15</f>
        <v>2282.8000000000002</v>
      </c>
      <c r="P15" s="1210">
        <v>2282.8000000000002</v>
      </c>
      <c r="Q15" s="1211"/>
      <c r="R15" s="1212"/>
      <c r="S15" s="342">
        <f>T15</f>
        <v>0</v>
      </c>
      <c r="T15" s="343">
        <v>0</v>
      </c>
      <c r="U15" s="344"/>
      <c r="V15" s="359"/>
      <c r="W15" s="1213">
        <v>2282.8000000000002</v>
      </c>
      <c r="X15" s="1213">
        <v>2282.8000000000002</v>
      </c>
      <c r="Y15" s="1779" t="s">
        <v>174</v>
      </c>
      <c r="Z15" s="1682">
        <v>183</v>
      </c>
      <c r="AA15" s="2149">
        <v>183</v>
      </c>
      <c r="AB15" s="2145">
        <v>183</v>
      </c>
    </row>
    <row r="16" spans="1:33" s="240" customFormat="1" ht="29.25" customHeight="1" x14ac:dyDescent="0.25">
      <c r="A16" s="2193"/>
      <c r="B16" s="1199"/>
      <c r="C16" s="2238"/>
      <c r="D16" s="1475"/>
      <c r="E16" s="2171" t="s">
        <v>291</v>
      </c>
      <c r="F16" s="1200"/>
      <c r="G16" s="2177"/>
      <c r="H16" s="1201"/>
      <c r="I16" s="2221"/>
      <c r="J16" s="283" t="s">
        <v>27</v>
      </c>
      <c r="K16" s="628"/>
      <c r="L16" s="327"/>
      <c r="M16" s="1688"/>
      <c r="N16" s="1058"/>
      <c r="O16" s="1693">
        <f>P16</f>
        <v>8089.3</v>
      </c>
      <c r="P16" s="1690">
        <v>8089.3</v>
      </c>
      <c r="Q16" s="252"/>
      <c r="R16" s="1691"/>
      <c r="S16" s="385">
        <f>T16+V16</f>
        <v>0</v>
      </c>
      <c r="T16" s="386">
        <v>0</v>
      </c>
      <c r="U16" s="1689"/>
      <c r="V16" s="387"/>
      <c r="W16" s="1163">
        <v>8089.3</v>
      </c>
      <c r="X16" s="1163">
        <v>8089.3</v>
      </c>
      <c r="Y16" s="1780" t="s">
        <v>129</v>
      </c>
      <c r="Z16" s="2169">
        <v>18220</v>
      </c>
      <c r="AA16" s="2149">
        <v>18220</v>
      </c>
      <c r="AB16" s="2168">
        <v>18220</v>
      </c>
    </row>
    <row r="17" spans="1:32" s="240" customFormat="1" ht="16.5" customHeight="1" x14ac:dyDescent="0.25">
      <c r="A17" s="2193"/>
      <c r="B17" s="1199"/>
      <c r="C17" s="2238"/>
      <c r="D17" s="1475"/>
      <c r="E17" s="3279" t="s">
        <v>292</v>
      </c>
      <c r="F17" s="1200"/>
      <c r="G17" s="2177"/>
      <c r="H17" s="1201"/>
      <c r="I17" s="3565"/>
      <c r="J17" s="283" t="s">
        <v>27</v>
      </c>
      <c r="K17" s="628"/>
      <c r="L17" s="327"/>
      <c r="M17" s="1688"/>
      <c r="N17" s="1058"/>
      <c r="O17" s="1202">
        <f>P17</f>
        <v>958.2</v>
      </c>
      <c r="P17" s="1690">
        <v>958.2</v>
      </c>
      <c r="Q17" s="252"/>
      <c r="R17" s="1691"/>
      <c r="S17" s="385">
        <f>T17+V17</f>
        <v>0</v>
      </c>
      <c r="T17" s="386">
        <v>0</v>
      </c>
      <c r="U17" s="1689"/>
      <c r="V17" s="387"/>
      <c r="W17" s="1163"/>
      <c r="X17" s="1692"/>
      <c r="Y17" s="503"/>
      <c r="Z17" s="286"/>
      <c r="AA17" s="2162"/>
      <c r="AB17" s="217"/>
    </row>
    <row r="18" spans="1:32" s="240" customFormat="1" ht="16.5" customHeight="1" thickBot="1" x14ac:dyDescent="0.3">
      <c r="A18" s="2193"/>
      <c r="B18" s="1199"/>
      <c r="C18" s="2238"/>
      <c r="D18" s="1475"/>
      <c r="E18" s="3367"/>
      <c r="F18" s="1200"/>
      <c r="G18" s="2177"/>
      <c r="H18" s="1201"/>
      <c r="I18" s="3530"/>
      <c r="J18" s="1214" t="s">
        <v>18</v>
      </c>
      <c r="K18" s="360">
        <f>L18+N18</f>
        <v>23814.699999999997</v>
      </c>
      <c r="L18" s="362">
        <f>SUM(L12:L17)</f>
        <v>23814.699999999997</v>
      </c>
      <c r="M18" s="362"/>
      <c r="N18" s="368"/>
      <c r="O18" s="360">
        <f>SUM(O12:O17)</f>
        <v>24337.9</v>
      </c>
      <c r="P18" s="362">
        <f>SUM(P12:P17)</f>
        <v>24337.9</v>
      </c>
      <c r="Q18" s="362"/>
      <c r="R18" s="472"/>
      <c r="S18" s="360">
        <f>T18+V18</f>
        <v>0</v>
      </c>
      <c r="T18" s="362">
        <f>SUM(T17:T17)</f>
        <v>0</v>
      </c>
      <c r="U18" s="362"/>
      <c r="V18" s="368"/>
      <c r="W18" s="382">
        <f>SUM(W12:W17)</f>
        <v>23379.7</v>
      </c>
      <c r="X18" s="382">
        <f>SUM(X12:X17)</f>
        <v>23379.7</v>
      </c>
      <c r="Y18" s="1681"/>
      <c r="Z18" s="1683"/>
      <c r="AA18" s="2163"/>
      <c r="AB18" s="2164"/>
      <c r="AD18" s="2134"/>
      <c r="AE18" s="2134"/>
      <c r="AF18" s="2134"/>
    </row>
    <row r="19" spans="1:32" s="240" customFormat="1" ht="51.75" customHeight="1" x14ac:dyDescent="0.25">
      <c r="A19" s="2199" t="s">
        <v>13</v>
      </c>
      <c r="B19" s="1192" t="s">
        <v>13</v>
      </c>
      <c r="C19" s="2214" t="s">
        <v>19</v>
      </c>
      <c r="D19" s="1474"/>
      <c r="E19" s="2920" t="s">
        <v>64</v>
      </c>
      <c r="F19" s="1193"/>
      <c r="G19" s="2176" t="s">
        <v>16</v>
      </c>
      <c r="H19" s="2225" t="s">
        <v>26</v>
      </c>
      <c r="I19" s="2212" t="s">
        <v>346</v>
      </c>
      <c r="J19" s="1118" t="s">
        <v>17</v>
      </c>
      <c r="K19" s="944">
        <f>L19</f>
        <v>2205.6999999999998</v>
      </c>
      <c r="L19" s="309">
        <f>2266.5-60.8</f>
        <v>2205.6999999999998</v>
      </c>
      <c r="M19" s="309"/>
      <c r="N19" s="945"/>
      <c r="O19" s="1606">
        <f>P19</f>
        <v>3149.1</v>
      </c>
      <c r="P19" s="1098">
        <v>3149.1</v>
      </c>
      <c r="Q19" s="1104"/>
      <c r="R19" s="151"/>
      <c r="S19" s="350">
        <f>T19</f>
        <v>0</v>
      </c>
      <c r="T19" s="351">
        <v>0</v>
      </c>
      <c r="U19" s="351"/>
      <c r="V19" s="352"/>
      <c r="W19" s="35">
        <v>3149.1</v>
      </c>
      <c r="X19" s="35">
        <v>3149.1</v>
      </c>
      <c r="Y19" s="2156" t="s">
        <v>65</v>
      </c>
      <c r="Z19" s="1549">
        <v>269</v>
      </c>
      <c r="AA19" s="1550">
        <v>269</v>
      </c>
      <c r="AB19" s="1551">
        <v>269</v>
      </c>
    </row>
    <row r="20" spans="1:32" s="240" customFormat="1" ht="50.25" customHeight="1" x14ac:dyDescent="0.25">
      <c r="A20" s="2193"/>
      <c r="B20" s="1199"/>
      <c r="C20" s="2238"/>
      <c r="D20" s="1475"/>
      <c r="E20" s="3296"/>
      <c r="F20" s="1200"/>
      <c r="G20" s="2177"/>
      <c r="H20" s="1201"/>
      <c r="I20" s="2221"/>
      <c r="J20" s="1118" t="s">
        <v>17</v>
      </c>
      <c r="K20" s="943">
        <f>L20+N20</f>
        <v>757.5</v>
      </c>
      <c r="L20" s="1090">
        <v>757.5</v>
      </c>
      <c r="M20" s="326">
        <v>538.29999999999995</v>
      </c>
      <c r="N20" s="524"/>
      <c r="O20" s="1437">
        <f>P20</f>
        <v>1223.3</v>
      </c>
      <c r="P20" s="1437">
        <v>1223.3</v>
      </c>
      <c r="Q20" s="1553">
        <v>876.8</v>
      </c>
      <c r="R20" s="155"/>
      <c r="S20" s="342">
        <f>T20+V20</f>
        <v>0</v>
      </c>
      <c r="T20" s="395">
        <v>0</v>
      </c>
      <c r="U20" s="343">
        <v>0</v>
      </c>
      <c r="V20" s="353"/>
      <c r="W20" s="1107">
        <v>1223.3</v>
      </c>
      <c r="X20" s="1107">
        <v>1223.3</v>
      </c>
      <c r="Y20" s="1452" t="s">
        <v>349</v>
      </c>
      <c r="Z20" s="1108">
        <v>85</v>
      </c>
      <c r="AA20" s="1109">
        <v>85</v>
      </c>
      <c r="AB20" s="1110">
        <v>85</v>
      </c>
    </row>
    <row r="21" spans="1:32" s="240" customFormat="1" ht="42" customHeight="1" x14ac:dyDescent="0.25">
      <c r="A21" s="2193"/>
      <c r="B21" s="1199"/>
      <c r="C21" s="2238"/>
      <c r="D21" s="1475"/>
      <c r="E21" s="3296"/>
      <c r="F21" s="1200"/>
      <c r="G21" s="2177"/>
      <c r="H21" s="1201"/>
      <c r="I21" s="2221"/>
      <c r="J21" s="1118" t="s">
        <v>17</v>
      </c>
      <c r="K21" s="307">
        <f>L21+N21</f>
        <v>351.4</v>
      </c>
      <c r="L21" s="981">
        <v>351.4</v>
      </c>
      <c r="M21" s="308">
        <v>255.6</v>
      </c>
      <c r="N21" s="1094"/>
      <c r="O21" s="2146">
        <f>P21+R21</f>
        <v>363.2</v>
      </c>
      <c r="P21" s="2146">
        <v>363.2</v>
      </c>
      <c r="Q21" s="150">
        <v>257.2</v>
      </c>
      <c r="R21" s="157"/>
      <c r="S21" s="354">
        <f>T21+V21</f>
        <v>0</v>
      </c>
      <c r="T21" s="468">
        <v>0</v>
      </c>
      <c r="U21" s="355">
        <v>0</v>
      </c>
      <c r="V21" s="356"/>
      <c r="W21" s="200">
        <v>363.2</v>
      </c>
      <c r="X21" s="200">
        <v>363.2</v>
      </c>
      <c r="Y21" s="1452" t="s">
        <v>106</v>
      </c>
      <c r="Z21" s="1111">
        <v>30</v>
      </c>
      <c r="AA21" s="1109">
        <v>30</v>
      </c>
      <c r="AB21" s="1110">
        <v>30</v>
      </c>
    </row>
    <row r="22" spans="1:32" s="240" customFormat="1" ht="52.5" customHeight="1" x14ac:dyDescent="0.25">
      <c r="A22" s="2193"/>
      <c r="B22" s="1199"/>
      <c r="C22" s="2238"/>
      <c r="D22" s="1475"/>
      <c r="E22" s="2175"/>
      <c r="F22" s="1200"/>
      <c r="G22" s="2177"/>
      <c r="H22" s="1201"/>
      <c r="I22" s="2221"/>
      <c r="J22" s="1118" t="s">
        <v>17</v>
      </c>
      <c r="K22" s="966">
        <f>L22+N22</f>
        <v>314.5</v>
      </c>
      <c r="L22" s="978">
        <v>314.5</v>
      </c>
      <c r="M22" s="328">
        <v>238.9</v>
      </c>
      <c r="N22" s="979"/>
      <c r="O22" s="2147">
        <f>P22+R22</f>
        <v>286.2</v>
      </c>
      <c r="P22" s="2147">
        <v>286.2</v>
      </c>
      <c r="Q22" s="167">
        <v>218.5</v>
      </c>
      <c r="R22" s="155"/>
      <c r="S22" s="357"/>
      <c r="T22" s="688"/>
      <c r="U22" s="358"/>
      <c r="V22" s="431"/>
      <c r="W22" s="1107">
        <v>286.2</v>
      </c>
      <c r="X22" s="1107">
        <v>286.2</v>
      </c>
      <c r="Y22" s="1452" t="s">
        <v>107</v>
      </c>
      <c r="Z22" s="1111">
        <v>28</v>
      </c>
      <c r="AA22" s="1109">
        <v>28</v>
      </c>
      <c r="AB22" s="1110">
        <v>30</v>
      </c>
    </row>
    <row r="23" spans="1:32" s="240" customFormat="1" ht="63.75" customHeight="1" x14ac:dyDescent="0.25">
      <c r="A23" s="2193"/>
      <c r="B23" s="1199"/>
      <c r="C23" s="2238"/>
      <c r="D23" s="1475"/>
      <c r="E23" s="2175"/>
      <c r="F23" s="1200"/>
      <c r="G23" s="2177"/>
      <c r="H23" s="1201"/>
      <c r="I23" s="2221"/>
      <c r="J23" s="1796" t="s">
        <v>17</v>
      </c>
      <c r="K23" s="628"/>
      <c r="L23" s="1047"/>
      <c r="M23" s="327"/>
      <c r="N23" s="1038"/>
      <c r="O23" s="277">
        <f>P23</f>
        <v>338.4</v>
      </c>
      <c r="P23" s="167">
        <v>338.4</v>
      </c>
      <c r="Q23" s="167">
        <v>231</v>
      </c>
      <c r="R23" s="168"/>
      <c r="S23" s="342"/>
      <c r="T23" s="1106"/>
      <c r="U23" s="343"/>
      <c r="V23" s="432"/>
      <c r="W23" s="2133">
        <v>336.2</v>
      </c>
      <c r="X23" s="1105">
        <v>336.2</v>
      </c>
      <c r="Y23" s="2185" t="s">
        <v>350</v>
      </c>
      <c r="Z23" s="1111">
        <v>20</v>
      </c>
      <c r="AA23" s="1109">
        <v>20</v>
      </c>
      <c r="AB23" s="1110">
        <v>20</v>
      </c>
    </row>
    <row r="24" spans="1:32" s="240" customFormat="1" ht="75" customHeight="1" x14ac:dyDescent="0.25">
      <c r="A24" s="1734"/>
      <c r="B24" s="2086"/>
      <c r="C24" s="1744"/>
      <c r="D24" s="2087"/>
      <c r="E24" s="2244"/>
      <c r="F24" s="2088"/>
      <c r="G24" s="2198"/>
      <c r="H24" s="2089"/>
      <c r="I24" s="2090"/>
      <c r="J24" s="199" t="s">
        <v>17</v>
      </c>
      <c r="K24" s="943"/>
      <c r="L24" s="1105"/>
      <c r="M24" s="326"/>
      <c r="N24" s="1093"/>
      <c r="O24" s="152"/>
      <c r="P24" s="153"/>
      <c r="Q24" s="153"/>
      <c r="R24" s="154"/>
      <c r="S24" s="354"/>
      <c r="T24" s="623"/>
      <c r="U24" s="355"/>
      <c r="V24" s="638"/>
      <c r="W24" s="1107">
        <v>336.2</v>
      </c>
      <c r="X24" s="1625">
        <v>336.2</v>
      </c>
      <c r="Y24" s="1452" t="s">
        <v>351</v>
      </c>
      <c r="Z24" s="1111">
        <v>20</v>
      </c>
      <c r="AA24" s="1109">
        <v>20</v>
      </c>
      <c r="AB24" s="1110">
        <v>20</v>
      </c>
    </row>
    <row r="25" spans="1:32" s="240" customFormat="1" ht="36" customHeight="1" x14ac:dyDescent="0.25">
      <c r="A25" s="2193"/>
      <c r="B25" s="1199"/>
      <c r="C25" s="2238"/>
      <c r="D25" s="1475"/>
      <c r="E25" s="2175"/>
      <c r="F25" s="1200"/>
      <c r="G25" s="2177"/>
      <c r="H25" s="1201"/>
      <c r="I25" s="2221"/>
      <c r="J25" s="1152" t="s">
        <v>17</v>
      </c>
      <c r="K25" s="307"/>
      <c r="L25" s="964"/>
      <c r="M25" s="308"/>
      <c r="N25" s="982"/>
      <c r="O25" s="1548">
        <f>P25</f>
        <v>135.6</v>
      </c>
      <c r="P25" s="1224">
        <v>135.6</v>
      </c>
      <c r="Q25" s="1224">
        <v>69.5</v>
      </c>
      <c r="R25" s="150"/>
      <c r="S25" s="354"/>
      <c r="T25" s="623"/>
      <c r="U25" s="355"/>
      <c r="V25" s="638"/>
      <c r="W25" s="200">
        <v>135.6</v>
      </c>
      <c r="X25" s="200">
        <v>135.6</v>
      </c>
      <c r="Y25" s="3296" t="s">
        <v>352</v>
      </c>
      <c r="Z25" s="506">
        <v>12</v>
      </c>
      <c r="AA25" s="504">
        <v>12</v>
      </c>
      <c r="AB25" s="281">
        <v>12</v>
      </c>
    </row>
    <row r="26" spans="1:32" s="240" customFormat="1" ht="16.5" customHeight="1" thickBot="1" x14ac:dyDescent="0.3">
      <c r="A26" s="2193"/>
      <c r="B26" s="1199"/>
      <c r="C26" s="2238"/>
      <c r="D26" s="1475"/>
      <c r="E26" s="2175"/>
      <c r="F26" s="1200"/>
      <c r="G26" s="2177"/>
      <c r="H26" s="1201"/>
      <c r="I26" s="2213"/>
      <c r="J26" s="1215" t="s">
        <v>18</v>
      </c>
      <c r="K26" s="360">
        <f>N26+L26</f>
        <v>3629.1</v>
      </c>
      <c r="L26" s="361">
        <f>SUM(L19:L22)</f>
        <v>3629.1</v>
      </c>
      <c r="M26" s="362">
        <f>SUM(M19:M22)</f>
        <v>1032.8</v>
      </c>
      <c r="N26" s="433"/>
      <c r="O26" s="367">
        <f>R26+P26</f>
        <v>5495.7999999999993</v>
      </c>
      <c r="P26" s="362">
        <f>SUM(P19:P25)</f>
        <v>5495.7999999999993</v>
      </c>
      <c r="Q26" s="361">
        <f>SUM(Q19:Q25)</f>
        <v>1653</v>
      </c>
      <c r="R26" s="472"/>
      <c r="S26" s="360">
        <f>V26+T26</f>
        <v>0</v>
      </c>
      <c r="T26" s="361">
        <f>SUM(T19:T21)</f>
        <v>0</v>
      </c>
      <c r="U26" s="362">
        <f>SUM(U19:U21)</f>
        <v>0</v>
      </c>
      <c r="V26" s="433">
        <f>SUM(V19:V21)</f>
        <v>0</v>
      </c>
      <c r="W26" s="382">
        <f>SUM(W19:W25)</f>
        <v>5829.7999999999993</v>
      </c>
      <c r="X26" s="361">
        <f>SUM(X19:X25)</f>
        <v>5829.7999999999993</v>
      </c>
      <c r="Y26" s="3568"/>
      <c r="Z26" s="2217"/>
      <c r="AA26" s="2138"/>
      <c r="AB26" s="586"/>
      <c r="AD26" s="2134"/>
      <c r="AE26" s="2134"/>
      <c r="AF26" s="2134"/>
    </row>
    <row r="27" spans="1:32" s="240" customFormat="1" ht="26.25" customHeight="1" x14ac:dyDescent="0.25">
      <c r="A27" s="2199" t="s">
        <v>13</v>
      </c>
      <c r="B27" s="1192" t="s">
        <v>13</v>
      </c>
      <c r="C27" s="2214" t="s">
        <v>22</v>
      </c>
      <c r="D27" s="1474"/>
      <c r="E27" s="2920" t="s">
        <v>66</v>
      </c>
      <c r="F27" s="1193"/>
      <c r="G27" s="2176" t="s">
        <v>16</v>
      </c>
      <c r="H27" s="2225" t="s">
        <v>26</v>
      </c>
      <c r="I27" s="3529" t="s">
        <v>159</v>
      </c>
      <c r="J27" s="201" t="s">
        <v>17</v>
      </c>
      <c r="K27" s="310">
        <v>529.70000000000005</v>
      </c>
      <c r="L27" s="309">
        <v>529.70000000000005</v>
      </c>
      <c r="M27" s="311">
        <v>404.4</v>
      </c>
      <c r="N27" s="946"/>
      <c r="O27" s="1112">
        <f>P27</f>
        <v>548</v>
      </c>
      <c r="P27" s="1113">
        <v>548</v>
      </c>
      <c r="Q27" s="1554">
        <v>418.9</v>
      </c>
      <c r="R27" s="473"/>
      <c r="S27" s="364">
        <f>T27+V27</f>
        <v>0</v>
      </c>
      <c r="T27" s="351">
        <v>0</v>
      </c>
      <c r="U27" s="365">
        <v>0</v>
      </c>
      <c r="V27" s="366"/>
      <c r="W27" s="200">
        <v>548</v>
      </c>
      <c r="X27" s="200">
        <v>548</v>
      </c>
      <c r="Y27" s="2920" t="s">
        <v>67</v>
      </c>
      <c r="Z27" s="3012">
        <v>17</v>
      </c>
      <c r="AA27" s="2824">
        <v>17</v>
      </c>
      <c r="AB27" s="3014">
        <v>17</v>
      </c>
    </row>
    <row r="28" spans="1:32" s="240" customFormat="1" ht="16.5" customHeight="1" thickBot="1" x14ac:dyDescent="0.3">
      <c r="A28" s="2210"/>
      <c r="B28" s="1216"/>
      <c r="C28" s="2215"/>
      <c r="D28" s="1476"/>
      <c r="E28" s="2823"/>
      <c r="F28" s="1217"/>
      <c r="G28" s="2178"/>
      <c r="H28" s="2226"/>
      <c r="I28" s="3530"/>
      <c r="J28" s="1214" t="s">
        <v>18</v>
      </c>
      <c r="K28" s="367">
        <f>L28+N28</f>
        <v>529.70000000000005</v>
      </c>
      <c r="L28" s="362">
        <f>+L27</f>
        <v>529.70000000000005</v>
      </c>
      <c r="M28" s="361">
        <f>+M27</f>
        <v>404.4</v>
      </c>
      <c r="N28" s="368"/>
      <c r="O28" s="367">
        <f>P28+R28</f>
        <v>548</v>
      </c>
      <c r="P28" s="362">
        <f>+P27</f>
        <v>548</v>
      </c>
      <c r="Q28" s="361">
        <f>+Q27</f>
        <v>418.9</v>
      </c>
      <c r="R28" s="472"/>
      <c r="S28" s="367">
        <f>T28+V28</f>
        <v>0</v>
      </c>
      <c r="T28" s="362">
        <f>+T27</f>
        <v>0</v>
      </c>
      <c r="U28" s="361">
        <f>+U27</f>
        <v>0</v>
      </c>
      <c r="V28" s="368">
        <f>+V27</f>
        <v>0</v>
      </c>
      <c r="W28" s="360">
        <f>+W27</f>
        <v>548</v>
      </c>
      <c r="X28" s="360">
        <f>+X27</f>
        <v>548</v>
      </c>
      <c r="Y28" s="2823"/>
      <c r="Z28" s="3013"/>
      <c r="AA28" s="2825"/>
      <c r="AB28" s="3015"/>
    </row>
    <row r="29" spans="1:32" s="240" customFormat="1" ht="23.25" customHeight="1" x14ac:dyDescent="0.25">
      <c r="A29" s="2199" t="s">
        <v>13</v>
      </c>
      <c r="B29" s="1192" t="s">
        <v>13</v>
      </c>
      <c r="C29" s="2214" t="s">
        <v>24</v>
      </c>
      <c r="D29" s="1474"/>
      <c r="E29" s="3365" t="s">
        <v>68</v>
      </c>
      <c r="F29" s="1193"/>
      <c r="G29" s="2176" t="s">
        <v>16</v>
      </c>
      <c r="H29" s="2225" t="s">
        <v>26</v>
      </c>
      <c r="I29" s="3529" t="s">
        <v>159</v>
      </c>
      <c r="J29" s="201" t="s">
        <v>17</v>
      </c>
      <c r="K29" s="944">
        <f>L29</f>
        <v>3219.4000000000005</v>
      </c>
      <c r="L29" s="309">
        <f>436.8+2467.8+314.8</f>
        <v>3219.4000000000005</v>
      </c>
      <c r="M29" s="947"/>
      <c r="N29" s="946"/>
      <c r="O29" s="1604">
        <f>343.2+2283.2</f>
        <v>2626.3999999999996</v>
      </c>
      <c r="P29" s="1605">
        <f>O29</f>
        <v>2626.3999999999996</v>
      </c>
      <c r="Q29" s="160"/>
      <c r="R29" s="474"/>
      <c r="S29" s="350">
        <f>T29</f>
        <v>0</v>
      </c>
      <c r="T29" s="351">
        <v>0</v>
      </c>
      <c r="U29" s="370"/>
      <c r="V29" s="366"/>
      <c r="W29" s="35">
        <v>2626.4</v>
      </c>
      <c r="X29" s="35">
        <v>2626.4</v>
      </c>
      <c r="Y29" s="2920" t="s">
        <v>329</v>
      </c>
      <c r="Z29" s="2999">
        <v>2700</v>
      </c>
      <c r="AA29" s="2982">
        <v>2700</v>
      </c>
      <c r="AB29" s="2983">
        <v>2700</v>
      </c>
    </row>
    <row r="30" spans="1:32" s="240" customFormat="1" ht="16.5" customHeight="1" thickBot="1" x14ac:dyDescent="0.3">
      <c r="A30" s="2210"/>
      <c r="B30" s="1216"/>
      <c r="C30" s="2215"/>
      <c r="D30" s="1476"/>
      <c r="E30" s="3367"/>
      <c r="F30" s="1217"/>
      <c r="G30" s="2178"/>
      <c r="H30" s="2226"/>
      <c r="I30" s="3530"/>
      <c r="J30" s="1214" t="s">
        <v>18</v>
      </c>
      <c r="K30" s="367">
        <f>L30+N30</f>
        <v>3219.4000000000005</v>
      </c>
      <c r="L30" s="362">
        <f>+L29</f>
        <v>3219.4000000000005</v>
      </c>
      <c r="M30" s="361"/>
      <c r="N30" s="368"/>
      <c r="O30" s="367">
        <f t="shared" ref="O30:O36" si="0">P30+R30</f>
        <v>2626.3999999999996</v>
      </c>
      <c r="P30" s="362">
        <f>+P29</f>
        <v>2626.3999999999996</v>
      </c>
      <c r="Q30" s="361"/>
      <c r="R30" s="472"/>
      <c r="S30" s="367">
        <f>T30+V30</f>
        <v>0</v>
      </c>
      <c r="T30" s="362">
        <f>+T29</f>
        <v>0</v>
      </c>
      <c r="U30" s="361">
        <f>+U29</f>
        <v>0</v>
      </c>
      <c r="V30" s="368">
        <f>+V29</f>
        <v>0</v>
      </c>
      <c r="W30" s="360">
        <f>+W29</f>
        <v>2626.4</v>
      </c>
      <c r="X30" s="360">
        <f>+X29</f>
        <v>2626.4</v>
      </c>
      <c r="Y30" s="2823"/>
      <c r="Z30" s="3000"/>
      <c r="AA30" s="3001"/>
      <c r="AB30" s="3011"/>
    </row>
    <row r="31" spans="1:32" s="240" customFormat="1" ht="36" customHeight="1" x14ac:dyDescent="0.25">
      <c r="A31" s="3475" t="s">
        <v>13</v>
      </c>
      <c r="B31" s="3476" t="s">
        <v>13</v>
      </c>
      <c r="C31" s="3536" t="s">
        <v>28</v>
      </c>
      <c r="D31" s="1474"/>
      <c r="E31" s="3365" t="s">
        <v>20</v>
      </c>
      <c r="F31" s="3538"/>
      <c r="G31" s="3348" t="s">
        <v>16</v>
      </c>
      <c r="H31" s="3605" t="s">
        <v>26</v>
      </c>
      <c r="I31" s="3529" t="s">
        <v>346</v>
      </c>
      <c r="J31" s="767" t="s">
        <v>21</v>
      </c>
      <c r="K31" s="948">
        <f>L31+N31</f>
        <v>33873</v>
      </c>
      <c r="L31" s="949">
        <v>33873</v>
      </c>
      <c r="M31" s="950"/>
      <c r="N31" s="951"/>
      <c r="O31" s="263">
        <f>P31</f>
        <v>36503</v>
      </c>
      <c r="P31" s="162">
        <v>36503</v>
      </c>
      <c r="Q31" s="162"/>
      <c r="R31" s="475"/>
      <c r="S31" s="469">
        <f>T31+V31</f>
        <v>0</v>
      </c>
      <c r="T31" s="339">
        <v>0</v>
      </c>
      <c r="U31" s="371"/>
      <c r="V31" s="372"/>
      <c r="W31" s="39">
        <v>36503</v>
      </c>
      <c r="X31" s="39">
        <v>36503</v>
      </c>
      <c r="Y31" s="41" t="s">
        <v>69</v>
      </c>
      <c r="Z31" s="860">
        <v>6460</v>
      </c>
      <c r="AA31" s="265">
        <v>6419</v>
      </c>
      <c r="AB31" s="266">
        <v>6419</v>
      </c>
    </row>
    <row r="32" spans="1:32" s="240" customFormat="1" ht="16.5" customHeight="1" thickBot="1" x14ac:dyDescent="0.3">
      <c r="A32" s="3527"/>
      <c r="B32" s="3528"/>
      <c r="C32" s="3537"/>
      <c r="D32" s="1476"/>
      <c r="E32" s="3367"/>
      <c r="F32" s="3539"/>
      <c r="G32" s="3350"/>
      <c r="H32" s="3606"/>
      <c r="I32" s="3530"/>
      <c r="J32" s="1214" t="s">
        <v>18</v>
      </c>
      <c r="K32" s="367">
        <f>L32+N32</f>
        <v>33873</v>
      </c>
      <c r="L32" s="362">
        <f>+L31</f>
        <v>33873</v>
      </c>
      <c r="M32" s="361"/>
      <c r="N32" s="368"/>
      <c r="O32" s="367">
        <f t="shared" si="0"/>
        <v>36503</v>
      </c>
      <c r="P32" s="472">
        <f>+P31</f>
        <v>36503</v>
      </c>
      <c r="Q32" s="362"/>
      <c r="R32" s="361"/>
      <c r="S32" s="367">
        <f>T32+V32</f>
        <v>0</v>
      </c>
      <c r="T32" s="362">
        <f>+T31</f>
        <v>0</v>
      </c>
      <c r="U32" s="361">
        <f>+U31</f>
        <v>0</v>
      </c>
      <c r="V32" s="368"/>
      <c r="W32" s="360">
        <f>+W31</f>
        <v>36503</v>
      </c>
      <c r="X32" s="382">
        <f>+X31</f>
        <v>36503</v>
      </c>
      <c r="Y32" s="42"/>
      <c r="Z32" s="213"/>
      <c r="AA32" s="862"/>
      <c r="AB32" s="863"/>
    </row>
    <row r="33" spans="1:32" s="240" customFormat="1" ht="16.5" customHeight="1" x14ac:dyDescent="0.25">
      <c r="A33" s="2199" t="s">
        <v>13</v>
      </c>
      <c r="B33" s="1192" t="s">
        <v>13</v>
      </c>
      <c r="C33" s="2214" t="s">
        <v>36</v>
      </c>
      <c r="D33" s="1474"/>
      <c r="E33" s="3365" t="s">
        <v>23</v>
      </c>
      <c r="F33" s="2216"/>
      <c r="G33" s="2176" t="s">
        <v>16</v>
      </c>
      <c r="H33" s="1474" t="s">
        <v>26</v>
      </c>
      <c r="I33" s="3529" t="s">
        <v>346</v>
      </c>
      <c r="J33" s="1229" t="s">
        <v>21</v>
      </c>
      <c r="K33" s="952">
        <f>L33</f>
        <v>9017.6</v>
      </c>
      <c r="L33" s="953">
        <v>9017.6</v>
      </c>
      <c r="M33" s="1103"/>
      <c r="N33" s="946"/>
      <c r="O33" s="1604">
        <f>P33</f>
        <v>8981</v>
      </c>
      <c r="P33" s="1538">
        <v>8981</v>
      </c>
      <c r="Q33" s="148"/>
      <c r="R33" s="476"/>
      <c r="S33" s="373">
        <f>T33</f>
        <v>0</v>
      </c>
      <c r="T33" s="369">
        <v>0</v>
      </c>
      <c r="U33" s="374"/>
      <c r="V33" s="366"/>
      <c r="W33" s="35">
        <v>9002</v>
      </c>
      <c r="X33" s="36">
        <v>9002</v>
      </c>
      <c r="Y33" s="3535" t="s">
        <v>69</v>
      </c>
      <c r="Z33" s="3007">
        <v>3457</v>
      </c>
      <c r="AA33" s="2994">
        <v>3702</v>
      </c>
      <c r="AB33" s="2996">
        <v>3702</v>
      </c>
    </row>
    <row r="34" spans="1:32" s="240" customFormat="1" ht="16.5" customHeight="1" thickBot="1" x14ac:dyDescent="0.3">
      <c r="A34" s="2210"/>
      <c r="B34" s="1216"/>
      <c r="C34" s="2215"/>
      <c r="D34" s="1476"/>
      <c r="E34" s="3367"/>
      <c r="F34" s="1217"/>
      <c r="G34" s="2178"/>
      <c r="H34" s="2226"/>
      <c r="I34" s="3530"/>
      <c r="J34" s="1214" t="s">
        <v>18</v>
      </c>
      <c r="K34" s="367">
        <f t="shared" ref="K34:L34" si="1">+K33</f>
        <v>9017.6</v>
      </c>
      <c r="L34" s="362">
        <f t="shared" si="1"/>
        <v>9017.6</v>
      </c>
      <c r="M34" s="361"/>
      <c r="N34" s="368"/>
      <c r="O34" s="367">
        <f t="shared" si="0"/>
        <v>8981</v>
      </c>
      <c r="P34" s="472">
        <f>+P33</f>
        <v>8981</v>
      </c>
      <c r="Q34" s="362"/>
      <c r="R34" s="361"/>
      <c r="S34" s="367">
        <f t="shared" ref="S34:X34" si="2">+S33</f>
        <v>0</v>
      </c>
      <c r="T34" s="362">
        <f t="shared" si="2"/>
        <v>0</v>
      </c>
      <c r="U34" s="361">
        <f t="shared" si="2"/>
        <v>0</v>
      </c>
      <c r="V34" s="368"/>
      <c r="W34" s="360">
        <f t="shared" si="2"/>
        <v>9002</v>
      </c>
      <c r="X34" s="360">
        <f t="shared" si="2"/>
        <v>9002</v>
      </c>
      <c r="Y34" s="3006"/>
      <c r="Z34" s="3008"/>
      <c r="AA34" s="2995"/>
      <c r="AB34" s="2997"/>
    </row>
    <row r="35" spans="1:32" s="1187" customFormat="1" ht="21.75" customHeight="1" x14ac:dyDescent="0.25">
      <c r="A35" s="3475" t="s">
        <v>13</v>
      </c>
      <c r="B35" s="3476" t="s">
        <v>13</v>
      </c>
      <c r="C35" s="3458" t="s">
        <v>38</v>
      </c>
      <c r="D35" s="1221"/>
      <c r="E35" s="3365" t="s">
        <v>25</v>
      </c>
      <c r="F35" s="2216"/>
      <c r="G35" s="2202">
        <v>10</v>
      </c>
      <c r="H35" s="2203" t="s">
        <v>26</v>
      </c>
      <c r="I35" s="3529" t="s">
        <v>346</v>
      </c>
      <c r="J35" s="1223" t="s">
        <v>27</v>
      </c>
      <c r="K35" s="952">
        <f>L35+N35</f>
        <v>393</v>
      </c>
      <c r="L35" s="953">
        <v>393</v>
      </c>
      <c r="M35" s="955"/>
      <c r="N35" s="956"/>
      <c r="O35" s="1219">
        <f>P35+R35</f>
        <v>532.1</v>
      </c>
      <c r="P35" s="1220">
        <f>534.6-2.5</f>
        <v>532.1</v>
      </c>
      <c r="Q35" s="1224"/>
      <c r="R35" s="476"/>
      <c r="S35" s="373">
        <f>T35+V35</f>
        <v>0</v>
      </c>
      <c r="T35" s="369">
        <v>0</v>
      </c>
      <c r="U35" s="375"/>
      <c r="V35" s="376"/>
      <c r="W35" s="44">
        <v>534.6</v>
      </c>
      <c r="X35" s="44">
        <v>534.6</v>
      </c>
      <c r="Y35" s="3534" t="s">
        <v>109</v>
      </c>
      <c r="Z35" s="2999">
        <v>1983</v>
      </c>
      <c r="AA35" s="2982">
        <v>1980</v>
      </c>
      <c r="AB35" s="2983">
        <v>1980</v>
      </c>
    </row>
    <row r="36" spans="1:32" s="240" customFormat="1" ht="16.5" customHeight="1" thickBot="1" x14ac:dyDescent="0.3">
      <c r="A36" s="3455"/>
      <c r="B36" s="3457"/>
      <c r="C36" s="3459"/>
      <c r="D36" s="1603"/>
      <c r="E36" s="3367"/>
      <c r="F36" s="1200"/>
      <c r="G36" s="2177"/>
      <c r="H36" s="1201"/>
      <c r="I36" s="3530"/>
      <c r="J36" s="1214" t="s">
        <v>18</v>
      </c>
      <c r="K36" s="377">
        <f t="shared" ref="K36:L36" si="3">+K35</f>
        <v>393</v>
      </c>
      <c r="L36" s="362">
        <f t="shared" si="3"/>
        <v>393</v>
      </c>
      <c r="M36" s="361"/>
      <c r="N36" s="368"/>
      <c r="O36" s="367">
        <f t="shared" si="0"/>
        <v>532.1</v>
      </c>
      <c r="P36" s="472">
        <f>+P35</f>
        <v>532.1</v>
      </c>
      <c r="Q36" s="362"/>
      <c r="R36" s="361"/>
      <c r="S36" s="377">
        <f t="shared" ref="S36:X36" si="4">+S35</f>
        <v>0</v>
      </c>
      <c r="T36" s="362">
        <f t="shared" si="4"/>
        <v>0</v>
      </c>
      <c r="U36" s="361">
        <f t="shared" si="4"/>
        <v>0</v>
      </c>
      <c r="V36" s="368"/>
      <c r="W36" s="360">
        <f t="shared" si="4"/>
        <v>534.6</v>
      </c>
      <c r="X36" s="360">
        <f t="shared" si="4"/>
        <v>534.6</v>
      </c>
      <c r="Y36" s="2927"/>
      <c r="Z36" s="3000"/>
      <c r="AA36" s="3001"/>
      <c r="AB36" s="3002"/>
    </row>
    <row r="37" spans="1:32" s="240" customFormat="1" ht="24.75" customHeight="1" x14ac:dyDescent="0.25">
      <c r="A37" s="3475" t="s">
        <v>13</v>
      </c>
      <c r="B37" s="3476" t="s">
        <v>13</v>
      </c>
      <c r="C37" s="1226" t="s">
        <v>70</v>
      </c>
      <c r="D37" s="2179"/>
      <c r="E37" s="3365" t="s">
        <v>29</v>
      </c>
      <c r="F37" s="1193"/>
      <c r="G37" s="1227" t="s">
        <v>16</v>
      </c>
      <c r="H37" s="1228">
        <v>3</v>
      </c>
      <c r="I37" s="3529" t="s">
        <v>346</v>
      </c>
      <c r="J37" s="1229" t="s">
        <v>27</v>
      </c>
      <c r="K37" s="952">
        <f>L37+N37</f>
        <v>638.5</v>
      </c>
      <c r="L37" s="953">
        <v>638.5</v>
      </c>
      <c r="M37" s="955"/>
      <c r="N37" s="956"/>
      <c r="O37" s="1219">
        <v>570.1</v>
      </c>
      <c r="P37" s="1220">
        <f>O37</f>
        <v>570.1</v>
      </c>
      <c r="Q37" s="1224"/>
      <c r="R37" s="476"/>
      <c r="S37" s="373">
        <f>T37+V37</f>
        <v>0</v>
      </c>
      <c r="T37" s="369">
        <v>0</v>
      </c>
      <c r="U37" s="375"/>
      <c r="V37" s="376"/>
      <c r="W37" s="35">
        <v>570.1</v>
      </c>
      <c r="X37" s="35">
        <v>570.1</v>
      </c>
      <c r="Y37" s="1117" t="s">
        <v>110</v>
      </c>
      <c r="Z37" s="243">
        <v>2700</v>
      </c>
      <c r="AA37" s="244">
        <v>2700</v>
      </c>
      <c r="AB37" s="245">
        <v>2700</v>
      </c>
    </row>
    <row r="38" spans="1:32" s="240" customFormat="1" ht="24.75" customHeight="1" thickBot="1" x14ac:dyDescent="0.3">
      <c r="A38" s="3527"/>
      <c r="B38" s="3528"/>
      <c r="C38" s="1230"/>
      <c r="D38" s="2181"/>
      <c r="E38" s="3367"/>
      <c r="F38" s="1200"/>
      <c r="G38" s="1231"/>
      <c r="H38" s="1232"/>
      <c r="I38" s="3530"/>
      <c r="J38" s="1233" t="s">
        <v>18</v>
      </c>
      <c r="K38" s="367">
        <f t="shared" ref="K38:L38" si="5">+K37</f>
        <v>638.5</v>
      </c>
      <c r="L38" s="362">
        <f t="shared" si="5"/>
        <v>638.5</v>
      </c>
      <c r="M38" s="361"/>
      <c r="N38" s="368"/>
      <c r="O38" s="378">
        <f>P38+R38</f>
        <v>570.1</v>
      </c>
      <c r="P38" s="394">
        <f>+P37</f>
        <v>570.1</v>
      </c>
      <c r="Q38" s="393"/>
      <c r="R38" s="379"/>
      <c r="S38" s="367">
        <f t="shared" ref="S38:X38" si="6">+S37</f>
        <v>0</v>
      </c>
      <c r="T38" s="362">
        <f t="shared" si="6"/>
        <v>0</v>
      </c>
      <c r="U38" s="361">
        <f t="shared" si="6"/>
        <v>0</v>
      </c>
      <c r="V38" s="368"/>
      <c r="W38" s="383">
        <f t="shared" si="6"/>
        <v>570.1</v>
      </c>
      <c r="X38" s="383">
        <f t="shared" si="6"/>
        <v>570.1</v>
      </c>
      <c r="Y38" s="268" t="s">
        <v>222</v>
      </c>
      <c r="Z38" s="861">
        <v>2200</v>
      </c>
      <c r="AA38" s="862">
        <v>2200</v>
      </c>
      <c r="AB38" s="863">
        <v>2200</v>
      </c>
    </row>
    <row r="39" spans="1:32" s="1187" customFormat="1" ht="16.5" customHeight="1" thickBot="1" x14ac:dyDescent="0.3">
      <c r="A39" s="1190" t="s">
        <v>13</v>
      </c>
      <c r="B39" s="1191" t="s">
        <v>13</v>
      </c>
      <c r="C39" s="3531" t="s">
        <v>30</v>
      </c>
      <c r="D39" s="3531"/>
      <c r="E39" s="3532"/>
      <c r="F39" s="3532"/>
      <c r="G39" s="3532"/>
      <c r="H39" s="3532"/>
      <c r="I39" s="3533"/>
      <c r="J39" s="3533"/>
      <c r="K39" s="1234">
        <f>L39+N39</f>
        <v>75115</v>
      </c>
      <c r="L39" s="1235">
        <f>L38+L36+L34+L32+L30+L28+L26+L18</f>
        <v>75115</v>
      </c>
      <c r="M39" s="1236">
        <f>M38+M36+M34+M32+M30+M28+M26+M18</f>
        <v>1437.1999999999998</v>
      </c>
      <c r="N39" s="1235"/>
      <c r="O39" s="1234">
        <f>P39+R39</f>
        <v>79594.299999999988</v>
      </c>
      <c r="P39" s="1235">
        <f>P38+P36+P34+P32+P30+P28+P26+P18</f>
        <v>79594.299999999988</v>
      </c>
      <c r="Q39" s="1236">
        <f>Q38+Q36+Q34+Q32+Q30+Q28+Q26+Q18</f>
        <v>2071.9</v>
      </c>
      <c r="R39" s="1235"/>
      <c r="S39" s="1234" t="e">
        <f>T39+V39</f>
        <v>#REF!</v>
      </c>
      <c r="T39" s="1235" t="e">
        <f>T38+T36+T34+T32+T30+T28+T26+#REF!</f>
        <v>#REF!</v>
      </c>
      <c r="U39" s="1236" t="e">
        <f>U38+U36+U34+U32+U30+U28+U26+#REF!</f>
        <v>#REF!</v>
      </c>
      <c r="V39" s="1235"/>
      <c r="W39" s="1555">
        <f>W38+W36+W34+W32+W30+W28+W26+W18</f>
        <v>78993.599999999991</v>
      </c>
      <c r="X39" s="1235">
        <f>X38+X36+X34+X32+X30+X28+X26+X18</f>
        <v>78993.599999999991</v>
      </c>
      <c r="Y39" s="3438"/>
      <c r="Z39" s="3439"/>
      <c r="AA39" s="3439"/>
      <c r="AB39" s="3440"/>
      <c r="AE39" s="240"/>
    </row>
    <row r="40" spans="1:32" s="1187" customFormat="1" ht="16.5" customHeight="1" thickBot="1" x14ac:dyDescent="0.3">
      <c r="A40" s="1343" t="s">
        <v>13</v>
      </c>
      <c r="B40" s="1191" t="s">
        <v>19</v>
      </c>
      <c r="C40" s="3525" t="s">
        <v>31</v>
      </c>
      <c r="D40" s="3525"/>
      <c r="E40" s="3525"/>
      <c r="F40" s="3525"/>
      <c r="G40" s="3525"/>
      <c r="H40" s="3525"/>
      <c r="I40" s="3525"/>
      <c r="J40" s="3525"/>
      <c r="K40" s="3525"/>
      <c r="L40" s="3525"/>
      <c r="M40" s="3525"/>
      <c r="N40" s="3525"/>
      <c r="O40" s="3525"/>
      <c r="P40" s="3525"/>
      <c r="Q40" s="3525"/>
      <c r="R40" s="3525"/>
      <c r="S40" s="3525"/>
      <c r="T40" s="3525"/>
      <c r="U40" s="3525"/>
      <c r="V40" s="3525"/>
      <c r="W40" s="3525"/>
      <c r="X40" s="3525"/>
      <c r="Y40" s="3525"/>
      <c r="Z40" s="3525"/>
      <c r="AA40" s="3525"/>
      <c r="AB40" s="3526"/>
    </row>
    <row r="41" spans="1:32" s="240" customFormat="1" ht="27" customHeight="1" x14ac:dyDescent="0.25">
      <c r="A41" s="2199" t="s">
        <v>13</v>
      </c>
      <c r="B41" s="2200" t="s">
        <v>19</v>
      </c>
      <c r="C41" s="2201" t="s">
        <v>13</v>
      </c>
      <c r="D41" s="1346"/>
      <c r="E41" s="1609" t="s">
        <v>56</v>
      </c>
      <c r="F41" s="1237"/>
      <c r="G41" s="1238" t="s">
        <v>16</v>
      </c>
      <c r="H41" s="1228">
        <v>3</v>
      </c>
      <c r="I41" s="2173" t="s">
        <v>159</v>
      </c>
      <c r="J41" s="1610"/>
      <c r="K41" s="1611"/>
      <c r="L41" s="1612"/>
      <c r="M41" s="1613"/>
      <c r="N41" s="1614"/>
      <c r="O41" s="1615"/>
      <c r="P41" s="1616"/>
      <c r="Q41" s="1616"/>
      <c r="R41" s="1617"/>
      <c r="S41" s="1618"/>
      <c r="T41" s="1619"/>
      <c r="U41" s="1620"/>
      <c r="V41" s="1621"/>
      <c r="W41" s="1611"/>
      <c r="X41" s="1622"/>
      <c r="Y41" s="1623"/>
      <c r="Z41" s="215"/>
      <c r="AA41" s="2142"/>
      <c r="AB41" s="1624"/>
    </row>
    <row r="42" spans="1:32" s="240" customFormat="1" ht="16.5" customHeight="1" x14ac:dyDescent="0.25">
      <c r="A42" s="2193"/>
      <c r="B42" s="2195"/>
      <c r="C42" s="1239"/>
      <c r="D42" s="3516" t="s">
        <v>13</v>
      </c>
      <c r="E42" s="1240" t="s">
        <v>111</v>
      </c>
      <c r="F42" s="1241"/>
      <c r="G42" s="1242"/>
      <c r="H42" s="1608"/>
      <c r="I42" s="2174"/>
      <c r="J42" s="203" t="s">
        <v>27</v>
      </c>
      <c r="K42" s="307">
        <f>L42</f>
        <v>889.1</v>
      </c>
      <c r="L42" s="308">
        <v>889.1</v>
      </c>
      <c r="M42" s="308">
        <v>665.1</v>
      </c>
      <c r="N42" s="1094"/>
      <c r="O42" s="1759">
        <f>P42</f>
        <v>955.40000000000009</v>
      </c>
      <c r="P42" s="1113">
        <f>941-10+6.7+17.7</f>
        <v>955.40000000000009</v>
      </c>
      <c r="Q42" s="1113">
        <f>710.8+5.1+13.5</f>
        <v>729.4</v>
      </c>
      <c r="R42" s="156"/>
      <c r="S42" s="354">
        <f>T42</f>
        <v>0</v>
      </c>
      <c r="T42" s="355">
        <v>0</v>
      </c>
      <c r="U42" s="355">
        <v>0</v>
      </c>
      <c r="V42" s="356"/>
      <c r="W42" s="72">
        <v>955.4</v>
      </c>
      <c r="X42" s="72">
        <v>955.4</v>
      </c>
      <c r="Y42" s="1146" t="s">
        <v>353</v>
      </c>
      <c r="Z42" s="1158">
        <v>82</v>
      </c>
      <c r="AA42" s="1159">
        <v>82</v>
      </c>
      <c r="AB42" s="1154">
        <v>82</v>
      </c>
      <c r="AC42" s="1821"/>
      <c r="AD42" s="1821"/>
      <c r="AE42" s="1821"/>
      <c r="AF42" s="1821"/>
    </row>
    <row r="43" spans="1:32" s="240" customFormat="1" ht="16.5" customHeight="1" x14ac:dyDescent="0.25">
      <c r="A43" s="2193"/>
      <c r="B43" s="2195"/>
      <c r="C43" s="1239"/>
      <c r="D43" s="3516"/>
      <c r="E43" s="1240"/>
      <c r="F43" s="1241"/>
      <c r="G43" s="1242"/>
      <c r="H43" s="1232"/>
      <c r="I43" s="2174"/>
      <c r="J43" s="202"/>
      <c r="K43" s="307"/>
      <c r="L43" s="308"/>
      <c r="M43" s="308"/>
      <c r="N43" s="1094"/>
      <c r="O43" s="1556"/>
      <c r="P43" s="150"/>
      <c r="Q43" s="150"/>
      <c r="R43" s="156"/>
      <c r="S43" s="354"/>
      <c r="T43" s="355"/>
      <c r="U43" s="355"/>
      <c r="V43" s="356"/>
      <c r="W43" s="72"/>
      <c r="X43" s="335"/>
      <c r="Y43" s="1123" t="s">
        <v>354</v>
      </c>
      <c r="Z43" s="1108">
        <v>59.5</v>
      </c>
      <c r="AA43" s="1124">
        <v>59.5</v>
      </c>
      <c r="AB43" s="1125">
        <v>59.5</v>
      </c>
      <c r="AC43" s="1821"/>
      <c r="AD43" s="1821"/>
      <c r="AE43" s="1821"/>
      <c r="AF43" s="1821"/>
    </row>
    <row r="44" spans="1:32" s="240" customFormat="1" ht="28.5" customHeight="1" x14ac:dyDescent="0.25">
      <c r="A44" s="2193"/>
      <c r="B44" s="2195"/>
      <c r="C44" s="1239"/>
      <c r="D44" s="3516"/>
      <c r="E44" s="1240"/>
      <c r="F44" s="1241"/>
      <c r="G44" s="1242"/>
      <c r="H44" s="1232"/>
      <c r="I44" s="2174"/>
      <c r="J44" s="202"/>
      <c r="K44" s="307"/>
      <c r="L44" s="308"/>
      <c r="M44" s="308"/>
      <c r="N44" s="1094"/>
      <c r="O44" s="1556"/>
      <c r="P44" s="150"/>
      <c r="Q44" s="150"/>
      <c r="R44" s="156"/>
      <c r="S44" s="354"/>
      <c r="T44" s="355"/>
      <c r="U44" s="355"/>
      <c r="V44" s="356"/>
      <c r="W44" s="72"/>
      <c r="X44" s="335"/>
      <c r="Y44" s="1123" t="s">
        <v>343</v>
      </c>
      <c r="Z44" s="1108"/>
      <c r="AA44" s="1126"/>
      <c r="AB44" s="1127"/>
      <c r="AC44" s="1821"/>
      <c r="AD44" s="1821"/>
      <c r="AE44" s="1821"/>
      <c r="AF44" s="1821"/>
    </row>
    <row r="45" spans="1:32" s="240" customFormat="1" ht="16.5" customHeight="1" x14ac:dyDescent="0.25">
      <c r="A45" s="2193"/>
      <c r="B45" s="2195"/>
      <c r="C45" s="1239"/>
      <c r="D45" s="3516"/>
      <c r="E45" s="1240"/>
      <c r="F45" s="1241"/>
      <c r="G45" s="1242"/>
      <c r="H45" s="1232"/>
      <c r="I45" s="2174"/>
      <c r="J45" s="199" t="s">
        <v>27</v>
      </c>
      <c r="K45" s="943"/>
      <c r="L45" s="326"/>
      <c r="M45" s="326"/>
      <c r="N45" s="524"/>
      <c r="O45" s="272"/>
      <c r="P45" s="153"/>
      <c r="Q45" s="153"/>
      <c r="R45" s="154"/>
      <c r="S45" s="342"/>
      <c r="T45" s="343"/>
      <c r="U45" s="343"/>
      <c r="V45" s="353"/>
      <c r="W45" s="1120"/>
      <c r="X45" s="57"/>
      <c r="Y45" s="1123" t="s">
        <v>355</v>
      </c>
      <c r="Z45" s="1108"/>
      <c r="AA45" s="1126"/>
      <c r="AB45" s="1127"/>
      <c r="AC45" s="1208"/>
    </row>
    <row r="46" spans="1:32" s="240" customFormat="1" ht="16.5" customHeight="1" x14ac:dyDescent="0.25">
      <c r="A46" s="2193"/>
      <c r="B46" s="2195"/>
      <c r="C46" s="1239"/>
      <c r="D46" s="3516"/>
      <c r="E46" s="1240"/>
      <c r="F46" s="1241"/>
      <c r="G46" s="1242"/>
      <c r="H46" s="1232"/>
      <c r="I46" s="2174"/>
      <c r="J46" s="199" t="s">
        <v>27</v>
      </c>
      <c r="K46" s="943"/>
      <c r="L46" s="326"/>
      <c r="M46" s="326"/>
      <c r="N46" s="524"/>
      <c r="O46" s="272"/>
      <c r="P46" s="153"/>
      <c r="Q46" s="153"/>
      <c r="R46" s="154"/>
      <c r="S46" s="342"/>
      <c r="T46" s="343"/>
      <c r="U46" s="343"/>
      <c r="V46" s="353"/>
      <c r="W46" s="1120">
        <v>9</v>
      </c>
      <c r="X46" s="57">
        <v>9</v>
      </c>
      <c r="Y46" s="1123" t="s">
        <v>356</v>
      </c>
      <c r="Z46" s="1108"/>
      <c r="AA46" s="1126">
        <v>3</v>
      </c>
      <c r="AB46" s="1127">
        <v>3</v>
      </c>
    </row>
    <row r="47" spans="1:32" s="240" customFormat="1" ht="16.5" customHeight="1" x14ac:dyDescent="0.25">
      <c r="A47" s="2193"/>
      <c r="B47" s="2195"/>
      <c r="C47" s="1239"/>
      <c r="D47" s="3516"/>
      <c r="E47" s="1240"/>
      <c r="F47" s="1241"/>
      <c r="G47" s="1242"/>
      <c r="H47" s="1243"/>
      <c r="I47" s="2174"/>
      <c r="J47" s="59" t="s">
        <v>32</v>
      </c>
      <c r="K47" s="966">
        <f>L47</f>
        <v>848.90000000000009</v>
      </c>
      <c r="L47" s="328">
        <f>5.7+843.2</f>
        <v>848.90000000000009</v>
      </c>
      <c r="M47" s="328">
        <v>110.5</v>
      </c>
      <c r="N47" s="526"/>
      <c r="O47" s="272">
        <v>53</v>
      </c>
      <c r="P47" s="153"/>
      <c r="Q47" s="153"/>
      <c r="R47" s="154">
        <v>53</v>
      </c>
      <c r="S47" s="357">
        <f>T47</f>
        <v>0</v>
      </c>
      <c r="T47" s="358">
        <v>0</v>
      </c>
      <c r="U47" s="358">
        <v>0</v>
      </c>
      <c r="V47" s="359"/>
      <c r="W47" s="66"/>
      <c r="X47" s="62"/>
      <c r="Y47" s="3521" t="s">
        <v>154</v>
      </c>
      <c r="Z47" s="1940">
        <v>1</v>
      </c>
      <c r="AA47" s="1941"/>
      <c r="AB47" s="1557"/>
    </row>
    <row r="48" spans="1:32" s="240" customFormat="1" ht="16.5" customHeight="1" x14ac:dyDescent="0.25">
      <c r="A48" s="2193"/>
      <c r="B48" s="2195"/>
      <c r="C48" s="1239"/>
      <c r="D48" s="3516"/>
      <c r="E48" s="1240"/>
      <c r="F48" s="1241"/>
      <c r="G48" s="1242"/>
      <c r="H48" s="1232"/>
      <c r="I48" s="2174"/>
      <c r="J48" s="199" t="s">
        <v>32</v>
      </c>
      <c r="K48" s="943"/>
      <c r="L48" s="1090"/>
      <c r="M48" s="1090"/>
      <c r="N48" s="1093"/>
      <c r="O48" s="260">
        <v>845.7</v>
      </c>
      <c r="P48" s="261">
        <v>845.7</v>
      </c>
      <c r="Q48" s="261">
        <v>76.400000000000006</v>
      </c>
      <c r="R48" s="295"/>
      <c r="S48" s="342"/>
      <c r="T48" s="395"/>
      <c r="U48" s="395"/>
      <c r="V48" s="432"/>
      <c r="W48" s="1120">
        <v>918.7</v>
      </c>
      <c r="X48" s="57">
        <v>928.7</v>
      </c>
      <c r="Y48" s="3522"/>
      <c r="Z48" s="861"/>
      <c r="AA48" s="213"/>
      <c r="AB48" s="61"/>
    </row>
    <row r="49" spans="1:28" s="240" customFormat="1" ht="16.5" customHeight="1" thickBot="1" x14ac:dyDescent="0.3">
      <c r="A49" s="2193"/>
      <c r="B49" s="2195"/>
      <c r="C49" s="1244"/>
      <c r="D49" s="3516"/>
      <c r="E49" s="1240"/>
      <c r="F49" s="280"/>
      <c r="G49" s="1245"/>
      <c r="H49" s="1232"/>
      <c r="I49" s="1726"/>
      <c r="J49" s="1233" t="s">
        <v>18</v>
      </c>
      <c r="K49" s="360">
        <f>SUM(K42:K47)</f>
        <v>1738</v>
      </c>
      <c r="L49" s="363">
        <f>SUM(L42:L47)</f>
        <v>1738</v>
      </c>
      <c r="M49" s="363">
        <f>SUM(M42:M47)</f>
        <v>775.6</v>
      </c>
      <c r="N49" s="433"/>
      <c r="O49" s="360">
        <f>SUM(O42:O48)</f>
        <v>1854.1000000000001</v>
      </c>
      <c r="P49" s="363">
        <f>SUM(P42:P48)</f>
        <v>1801.1000000000001</v>
      </c>
      <c r="Q49" s="363">
        <f>SUM(Q42:Q48)</f>
        <v>805.8</v>
      </c>
      <c r="R49" s="1247">
        <f>SUM(R42:R48)</f>
        <v>53</v>
      </c>
      <c r="S49" s="360">
        <f>SUM(S42:S47)</f>
        <v>0</v>
      </c>
      <c r="T49" s="363">
        <f>SUM(T42:T47)</f>
        <v>0</v>
      </c>
      <c r="U49" s="363">
        <f>SUM(U42:U47)</f>
        <v>0</v>
      </c>
      <c r="V49" s="433"/>
      <c r="W49" s="382">
        <f>SUM(W42:W48)</f>
        <v>1883.1</v>
      </c>
      <c r="X49" s="361">
        <f>SUM(X42:X48)</f>
        <v>1893.1</v>
      </c>
      <c r="Y49" s="3523"/>
      <c r="Z49" s="1782"/>
      <c r="AA49" s="1783"/>
      <c r="AB49" s="1784"/>
    </row>
    <row r="50" spans="1:28" s="240" customFormat="1" ht="78" customHeight="1" x14ac:dyDescent="0.25">
      <c r="A50" s="2193"/>
      <c r="B50" s="2195"/>
      <c r="C50" s="1239"/>
      <c r="D50" s="2207" t="s">
        <v>19</v>
      </c>
      <c r="E50" s="1250" t="s">
        <v>142</v>
      </c>
      <c r="F50" s="1241"/>
      <c r="G50" s="1242"/>
      <c r="H50" s="1232"/>
      <c r="I50" s="1252"/>
      <c r="J50" s="201" t="s">
        <v>27</v>
      </c>
      <c r="K50" s="944">
        <f>L50</f>
        <v>1572.7</v>
      </c>
      <c r="L50" s="309">
        <v>1572.7</v>
      </c>
      <c r="M50" s="309">
        <v>1024.0999999999999</v>
      </c>
      <c r="N50" s="945"/>
      <c r="O50" s="270">
        <f>P50+R50</f>
        <v>1674.8</v>
      </c>
      <c r="P50" s="271">
        <f>1632.5+6.7+35.6</f>
        <v>1674.8</v>
      </c>
      <c r="Q50" s="271">
        <f>1058+5.1+27.2</f>
        <v>1090.3</v>
      </c>
      <c r="R50" s="520"/>
      <c r="S50" s="350">
        <f>T50</f>
        <v>0</v>
      </c>
      <c r="T50" s="351">
        <v>0</v>
      </c>
      <c r="U50" s="351">
        <v>0</v>
      </c>
      <c r="V50" s="352"/>
      <c r="W50" s="1130">
        <v>1674.8</v>
      </c>
      <c r="X50" s="2246">
        <v>1674.8</v>
      </c>
      <c r="Y50" s="1145" t="s">
        <v>245</v>
      </c>
      <c r="Z50" s="1141" t="s">
        <v>246</v>
      </c>
      <c r="AA50" s="1142" t="s">
        <v>247</v>
      </c>
      <c r="AB50" s="1143" t="s">
        <v>248</v>
      </c>
    </row>
    <row r="51" spans="1:28" s="240" customFormat="1" ht="26.25" customHeight="1" x14ac:dyDescent="0.25">
      <c r="A51" s="1734"/>
      <c r="B51" s="1735"/>
      <c r="C51" s="1736"/>
      <c r="D51" s="2209"/>
      <c r="E51" s="1253"/>
      <c r="F51" s="1737"/>
      <c r="G51" s="1269"/>
      <c r="H51" s="1738"/>
      <c r="I51" s="1739"/>
      <c r="J51" s="199" t="s">
        <v>27</v>
      </c>
      <c r="K51" s="307"/>
      <c r="L51" s="308"/>
      <c r="M51" s="308"/>
      <c r="N51" s="1094"/>
      <c r="O51" s="275"/>
      <c r="P51" s="274"/>
      <c r="Q51" s="274"/>
      <c r="R51" s="521"/>
      <c r="S51" s="354"/>
      <c r="T51" s="355"/>
      <c r="U51" s="355"/>
      <c r="V51" s="356"/>
      <c r="W51" s="1119">
        <v>12.1</v>
      </c>
      <c r="X51" s="1155"/>
      <c r="Y51" s="1139" t="s">
        <v>133</v>
      </c>
      <c r="Z51" s="1108"/>
      <c r="AA51" s="1137">
        <v>1</v>
      </c>
      <c r="AB51" s="1154"/>
    </row>
    <row r="52" spans="1:28" s="240" customFormat="1" ht="26.25" customHeight="1" x14ac:dyDescent="0.25">
      <c r="A52" s="2193"/>
      <c r="B52" s="2195"/>
      <c r="C52" s="1239"/>
      <c r="D52" s="2208"/>
      <c r="E52" s="1240"/>
      <c r="F52" s="1241"/>
      <c r="G52" s="1242"/>
      <c r="H52" s="1232"/>
      <c r="I52" s="1252"/>
      <c r="J52" s="203" t="s">
        <v>27</v>
      </c>
      <c r="K52" s="307"/>
      <c r="L52" s="308"/>
      <c r="M52" s="308"/>
      <c r="N52" s="1094"/>
      <c r="O52" s="275"/>
      <c r="P52" s="274"/>
      <c r="Q52" s="274"/>
      <c r="R52" s="2091"/>
      <c r="S52" s="354"/>
      <c r="T52" s="355"/>
      <c r="U52" s="355"/>
      <c r="V52" s="356"/>
      <c r="W52" s="1509"/>
      <c r="X52" s="276">
        <v>55.1</v>
      </c>
      <c r="Y52" s="1138" t="s">
        <v>249</v>
      </c>
      <c r="Z52" s="861"/>
      <c r="AA52" s="862"/>
      <c r="AB52" s="863">
        <v>1</v>
      </c>
    </row>
    <row r="53" spans="1:28" s="240" customFormat="1" ht="97.5" customHeight="1" x14ac:dyDescent="0.25">
      <c r="A53" s="2193"/>
      <c r="B53" s="2195"/>
      <c r="C53" s="1239"/>
      <c r="D53" s="2208"/>
      <c r="E53" s="1240"/>
      <c r="F53" s="1241"/>
      <c r="G53" s="1242"/>
      <c r="H53" s="1232"/>
      <c r="I53" s="1252"/>
      <c r="J53" s="199" t="s">
        <v>32</v>
      </c>
      <c r="K53" s="628">
        <f>L53</f>
        <v>167.3</v>
      </c>
      <c r="L53" s="327">
        <v>167.3</v>
      </c>
      <c r="M53" s="327">
        <v>71.2</v>
      </c>
      <c r="N53" s="1058"/>
      <c r="O53" s="277">
        <f>R53+P53</f>
        <v>204.5</v>
      </c>
      <c r="P53" s="167">
        <v>204.5</v>
      </c>
      <c r="Q53" s="167">
        <v>90.4</v>
      </c>
      <c r="R53" s="168"/>
      <c r="S53" s="385">
        <f>T53</f>
        <v>0</v>
      </c>
      <c r="T53" s="386">
        <v>0</v>
      </c>
      <c r="U53" s="386">
        <v>0</v>
      </c>
      <c r="V53" s="387"/>
      <c r="W53" s="1131">
        <v>211</v>
      </c>
      <c r="X53" s="1844">
        <v>211</v>
      </c>
      <c r="Y53" s="1139" t="s">
        <v>358</v>
      </c>
      <c r="Z53" s="1140" t="s">
        <v>250</v>
      </c>
      <c r="AA53" s="1109" t="s">
        <v>250</v>
      </c>
      <c r="AB53" s="1144" t="s">
        <v>250</v>
      </c>
    </row>
    <row r="54" spans="1:28" s="240" customFormat="1" ht="16.5" customHeight="1" x14ac:dyDescent="0.25">
      <c r="A54" s="2193"/>
      <c r="B54" s="2195"/>
      <c r="C54" s="1239"/>
      <c r="D54" s="2208"/>
      <c r="E54" s="1240"/>
      <c r="F54" s="1241"/>
      <c r="G54" s="1242"/>
      <c r="H54" s="1232"/>
      <c r="I54" s="1252"/>
      <c r="J54" s="199" t="s">
        <v>32</v>
      </c>
      <c r="K54" s="628"/>
      <c r="L54" s="327"/>
      <c r="M54" s="327"/>
      <c r="N54" s="1058"/>
      <c r="O54" s="277">
        <f>P54+R54</f>
        <v>6</v>
      </c>
      <c r="P54" s="167"/>
      <c r="Q54" s="167"/>
      <c r="R54" s="168">
        <v>6</v>
      </c>
      <c r="S54" s="385"/>
      <c r="T54" s="386"/>
      <c r="U54" s="386"/>
      <c r="V54" s="387"/>
      <c r="W54" s="1131"/>
      <c r="X54" s="1844"/>
      <c r="Y54" s="1139" t="s">
        <v>251</v>
      </c>
      <c r="Z54" s="1108">
        <v>4</v>
      </c>
      <c r="AA54" s="1941"/>
      <c r="AB54" s="1942"/>
    </row>
    <row r="55" spans="1:28" s="240" customFormat="1" ht="27" customHeight="1" x14ac:dyDescent="0.25">
      <c r="A55" s="2193"/>
      <c r="B55" s="2195"/>
      <c r="C55" s="1239"/>
      <c r="D55" s="2208"/>
      <c r="E55" s="1240"/>
      <c r="F55" s="1241"/>
      <c r="G55" s="1242"/>
      <c r="H55" s="1232"/>
      <c r="I55" s="1252"/>
      <c r="J55" s="199" t="s">
        <v>42</v>
      </c>
      <c r="K55" s="943">
        <v>3.6</v>
      </c>
      <c r="L55" s="326">
        <v>3.6</v>
      </c>
      <c r="M55" s="326"/>
      <c r="N55" s="524"/>
      <c r="O55" s="278">
        <f>P55+R55</f>
        <v>4</v>
      </c>
      <c r="P55" s="153">
        <v>4</v>
      </c>
      <c r="Q55" s="153"/>
      <c r="R55" s="154"/>
      <c r="S55" s="342">
        <f>T55+V55</f>
        <v>0</v>
      </c>
      <c r="T55" s="343">
        <v>0</v>
      </c>
      <c r="U55" s="343"/>
      <c r="V55" s="353"/>
      <c r="W55" s="1132">
        <v>4</v>
      </c>
      <c r="X55" s="1155">
        <v>4</v>
      </c>
      <c r="Y55" s="1123" t="s">
        <v>357</v>
      </c>
      <c r="Z55" s="1111" t="s">
        <v>253</v>
      </c>
      <c r="AA55" s="1109" t="s">
        <v>253</v>
      </c>
      <c r="AB55" s="1110" t="s">
        <v>253</v>
      </c>
    </row>
    <row r="56" spans="1:28" s="240" customFormat="1" ht="27.75" customHeight="1" x14ac:dyDescent="0.25">
      <c r="A56" s="2193"/>
      <c r="B56" s="2195"/>
      <c r="C56" s="1239"/>
      <c r="D56" s="2208"/>
      <c r="E56" s="1240"/>
      <c r="F56" s="1241"/>
      <c r="G56" s="1242"/>
      <c r="H56" s="1243"/>
      <c r="I56" s="1252"/>
      <c r="J56" s="1218" t="s">
        <v>21</v>
      </c>
      <c r="K56" s="966">
        <f>L56+N56</f>
        <v>120</v>
      </c>
      <c r="L56" s="328">
        <v>85</v>
      </c>
      <c r="M56" s="328"/>
      <c r="N56" s="526">
        <v>35</v>
      </c>
      <c r="O56" s="279">
        <f>P56+R56</f>
        <v>120</v>
      </c>
      <c r="P56" s="261">
        <v>85</v>
      </c>
      <c r="Q56" s="261"/>
      <c r="R56" s="522">
        <v>35</v>
      </c>
      <c r="S56" s="357">
        <f>T56+V56</f>
        <v>0</v>
      </c>
      <c r="T56" s="358">
        <v>0</v>
      </c>
      <c r="U56" s="358"/>
      <c r="V56" s="359">
        <v>0</v>
      </c>
      <c r="W56" s="2227">
        <v>130</v>
      </c>
      <c r="X56" s="276">
        <v>130</v>
      </c>
      <c r="Y56" s="1146" t="s">
        <v>359</v>
      </c>
      <c r="Z56" s="1731" t="s">
        <v>254</v>
      </c>
      <c r="AA56" s="1732" t="s">
        <v>254</v>
      </c>
      <c r="AB56" s="1733" t="s">
        <v>254</v>
      </c>
    </row>
    <row r="57" spans="1:28" s="240" customFormat="1" ht="29.25" customHeight="1" x14ac:dyDescent="0.25">
      <c r="A57" s="2193"/>
      <c r="B57" s="2195"/>
      <c r="C57" s="1239"/>
      <c r="D57" s="2208"/>
      <c r="E57" s="2206"/>
      <c r="F57" s="1241"/>
      <c r="G57" s="1242"/>
      <c r="H57" s="1232"/>
      <c r="I57" s="1726"/>
      <c r="J57" s="1218"/>
      <c r="K57" s="966"/>
      <c r="L57" s="328"/>
      <c r="M57" s="328"/>
      <c r="N57" s="526"/>
      <c r="O57" s="279"/>
      <c r="P57" s="261"/>
      <c r="Q57" s="261"/>
      <c r="R57" s="522"/>
      <c r="S57" s="357"/>
      <c r="T57" s="358"/>
      <c r="U57" s="358"/>
      <c r="V57" s="359"/>
      <c r="W57" s="2227"/>
      <c r="X57" s="276"/>
      <c r="Y57" s="1123" t="s">
        <v>360</v>
      </c>
      <c r="Z57" s="1108" t="s">
        <v>252</v>
      </c>
      <c r="AA57" s="1124" t="s">
        <v>252</v>
      </c>
      <c r="AB57" s="1125" t="s">
        <v>252</v>
      </c>
    </row>
    <row r="58" spans="1:28" s="240" customFormat="1" ht="16.5" customHeight="1" x14ac:dyDescent="0.25">
      <c r="A58" s="2193"/>
      <c r="B58" s="2195"/>
      <c r="C58" s="1239"/>
      <c r="D58" s="2208"/>
      <c r="E58" s="3509" t="s">
        <v>143</v>
      </c>
      <c r="F58" s="1241"/>
      <c r="G58" s="1242"/>
      <c r="H58" s="1232"/>
      <c r="I58" s="1726"/>
      <c r="J58" s="739" t="s">
        <v>27</v>
      </c>
      <c r="K58" s="628">
        <f>L58</f>
        <v>79.8</v>
      </c>
      <c r="L58" s="327">
        <v>79.8</v>
      </c>
      <c r="M58" s="327">
        <v>58.6</v>
      </c>
      <c r="N58" s="1058"/>
      <c r="O58" s="628">
        <f>P58</f>
        <v>142</v>
      </c>
      <c r="P58" s="327">
        <v>142</v>
      </c>
      <c r="Q58" s="327">
        <v>104.4</v>
      </c>
      <c r="R58" s="168"/>
      <c r="S58" s="385">
        <f>T58</f>
        <v>0</v>
      </c>
      <c r="T58" s="386">
        <v>0</v>
      </c>
      <c r="U58" s="386">
        <v>0</v>
      </c>
      <c r="V58" s="387"/>
      <c r="W58" s="1136">
        <v>142</v>
      </c>
      <c r="X58" s="1844">
        <v>142</v>
      </c>
      <c r="Y58" s="1558" t="s">
        <v>117</v>
      </c>
      <c r="Z58" s="1600">
        <v>30</v>
      </c>
      <c r="AA58" s="1109">
        <v>30</v>
      </c>
      <c r="AB58" s="1110">
        <v>30</v>
      </c>
    </row>
    <row r="59" spans="1:28" s="240" customFormat="1" ht="16.5" customHeight="1" x14ac:dyDescent="0.25">
      <c r="A59" s="2193"/>
      <c r="B59" s="2195"/>
      <c r="C59" s="1239"/>
      <c r="D59" s="3516"/>
      <c r="E59" s="3509"/>
      <c r="F59" s="1241"/>
      <c r="G59" s="1242"/>
      <c r="H59" s="1232"/>
      <c r="I59" s="1726"/>
      <c r="J59" s="1218"/>
      <c r="K59" s="966"/>
      <c r="L59" s="328"/>
      <c r="M59" s="328"/>
      <c r="N59" s="526"/>
      <c r="O59" s="260"/>
      <c r="P59" s="261"/>
      <c r="Q59" s="261"/>
      <c r="R59" s="159"/>
      <c r="S59" s="357"/>
      <c r="T59" s="358"/>
      <c r="U59" s="358"/>
      <c r="V59" s="359"/>
      <c r="W59" s="2227"/>
      <c r="X59" s="276"/>
      <c r="Y59" s="1559" t="s">
        <v>361</v>
      </c>
      <c r="Z59" s="1601">
        <v>6</v>
      </c>
      <c r="AA59" s="1115">
        <v>6</v>
      </c>
      <c r="AB59" s="1116">
        <v>6</v>
      </c>
    </row>
    <row r="60" spans="1:28" s="240" customFormat="1" ht="16.5" customHeight="1" x14ac:dyDescent="0.25">
      <c r="A60" s="2193"/>
      <c r="B60" s="2195"/>
      <c r="C60" s="1244"/>
      <c r="D60" s="3517"/>
      <c r="E60" s="3510"/>
      <c r="F60" s="280"/>
      <c r="G60" s="1245"/>
      <c r="H60" s="1232"/>
      <c r="I60" s="1726"/>
      <c r="J60" s="1637" t="s">
        <v>18</v>
      </c>
      <c r="K60" s="1638">
        <f>SUM(K50:K59)</f>
        <v>1943.3999999999999</v>
      </c>
      <c r="L60" s="1639">
        <f>SUM(L50:L59)</f>
        <v>1908.3999999999999</v>
      </c>
      <c r="M60" s="1639">
        <f>SUM(M50:M59)</f>
        <v>1153.8999999999999</v>
      </c>
      <c r="N60" s="1640">
        <f>SUM(N50:N59)</f>
        <v>35</v>
      </c>
      <c r="O60" s="1638">
        <f>P60+R60</f>
        <v>2151.3000000000002</v>
      </c>
      <c r="P60" s="1639">
        <f t="shared" ref="P60:W60" si="7">SUM(P50:P59)</f>
        <v>2110.3000000000002</v>
      </c>
      <c r="Q60" s="1639">
        <f t="shared" si="7"/>
        <v>1285.1000000000001</v>
      </c>
      <c r="R60" s="1060">
        <f t="shared" si="7"/>
        <v>41</v>
      </c>
      <c r="S60" s="1638">
        <f t="shared" si="7"/>
        <v>0</v>
      </c>
      <c r="T60" s="1639">
        <f t="shared" si="7"/>
        <v>0</v>
      </c>
      <c r="U60" s="1639">
        <f t="shared" si="7"/>
        <v>0</v>
      </c>
      <c r="V60" s="1640">
        <f t="shared" si="7"/>
        <v>0</v>
      </c>
      <c r="W60" s="1641">
        <f t="shared" si="7"/>
        <v>2173.8999999999996</v>
      </c>
      <c r="X60" s="1648">
        <f>SUM(X50:X59)</f>
        <v>2216.8999999999996</v>
      </c>
      <c r="Y60" s="1146"/>
      <c r="Z60" s="1158"/>
      <c r="AA60" s="1159"/>
      <c r="AB60" s="1154"/>
    </row>
    <row r="61" spans="1:28" s="240" customFormat="1" ht="54.75" customHeight="1" x14ac:dyDescent="0.25">
      <c r="A61" s="2193"/>
      <c r="B61" s="2195"/>
      <c r="C61" s="1239"/>
      <c r="D61" s="1249" t="s">
        <v>22</v>
      </c>
      <c r="E61" s="1240" t="s">
        <v>112</v>
      </c>
      <c r="F61" s="1241"/>
      <c r="G61" s="1242"/>
      <c r="H61" s="1232"/>
      <c r="I61" s="1726"/>
      <c r="J61" s="203" t="s">
        <v>27</v>
      </c>
      <c r="K61" s="307">
        <f>L61</f>
        <v>513.70000000000005</v>
      </c>
      <c r="L61" s="308">
        <v>513.70000000000005</v>
      </c>
      <c r="M61" s="308">
        <v>370.5</v>
      </c>
      <c r="N61" s="1094"/>
      <c r="O61" s="258">
        <f>P61</f>
        <v>533.6</v>
      </c>
      <c r="P61" s="150">
        <f>516.6+6.7+10.3</f>
        <v>533.6</v>
      </c>
      <c r="Q61" s="150">
        <f>373.7+5.1+7.9</f>
        <v>386.7</v>
      </c>
      <c r="R61" s="156"/>
      <c r="S61" s="354">
        <f>T61</f>
        <v>0</v>
      </c>
      <c r="T61" s="355">
        <v>0</v>
      </c>
      <c r="U61" s="355">
        <v>0</v>
      </c>
      <c r="V61" s="356"/>
      <c r="W61" s="1574">
        <f>560.4+10.3</f>
        <v>570.69999999999993</v>
      </c>
      <c r="X61" s="72">
        <f>565.1+10.3</f>
        <v>575.4</v>
      </c>
      <c r="Y61" s="1146" t="s">
        <v>167</v>
      </c>
      <c r="Z61" s="1147">
        <f>SUM(Z62:Z64)</f>
        <v>97</v>
      </c>
      <c r="AA61" s="1148">
        <f>SUM(AA62:AA64)</f>
        <v>100</v>
      </c>
      <c r="AB61" s="1149">
        <f>SUM(AB62:AB64)</f>
        <v>100</v>
      </c>
    </row>
    <row r="62" spans="1:28" s="240" customFormat="1" ht="27.75" customHeight="1" x14ac:dyDescent="0.25">
      <c r="A62" s="2193"/>
      <c r="B62" s="2195"/>
      <c r="C62" s="1239"/>
      <c r="D62" s="1249"/>
      <c r="E62" s="1240"/>
      <c r="F62" s="1241"/>
      <c r="G62" s="1242"/>
      <c r="H62" s="1232"/>
      <c r="I62" s="1726"/>
      <c r="J62" s="283" t="s">
        <v>32</v>
      </c>
      <c r="K62" s="628">
        <f>L62</f>
        <v>195.8</v>
      </c>
      <c r="L62" s="327">
        <f>88.8+107</f>
        <v>195.8</v>
      </c>
      <c r="M62" s="327">
        <v>42.6</v>
      </c>
      <c r="N62" s="1058"/>
      <c r="O62" s="1776">
        <f>102.8+101.5</f>
        <v>204.3</v>
      </c>
      <c r="P62" s="167">
        <f>102.8+101.5</f>
        <v>204.3</v>
      </c>
      <c r="Q62" s="167">
        <v>32.200000000000003</v>
      </c>
      <c r="R62" s="168"/>
      <c r="S62" s="385">
        <f>T62</f>
        <v>0</v>
      </c>
      <c r="T62" s="386">
        <v>0</v>
      </c>
      <c r="U62" s="386">
        <v>0</v>
      </c>
      <c r="V62" s="387"/>
      <c r="W62" s="1381">
        <v>204.3</v>
      </c>
      <c r="X62" s="282">
        <v>204.3</v>
      </c>
      <c r="Y62" s="1123" t="s">
        <v>362</v>
      </c>
      <c r="Z62" s="1108">
        <v>30</v>
      </c>
      <c r="AA62" s="1124">
        <v>30</v>
      </c>
      <c r="AB62" s="1125">
        <v>30</v>
      </c>
    </row>
    <row r="63" spans="1:28" s="240" customFormat="1" ht="27.75" customHeight="1" x14ac:dyDescent="0.25">
      <c r="A63" s="2193"/>
      <c r="B63" s="2195"/>
      <c r="C63" s="1239"/>
      <c r="D63" s="1249"/>
      <c r="E63" s="1240"/>
      <c r="F63" s="1241"/>
      <c r="G63" s="1242"/>
      <c r="H63" s="1232"/>
      <c r="I63" s="1726"/>
      <c r="J63" s="253"/>
      <c r="K63" s="966"/>
      <c r="L63" s="328"/>
      <c r="M63" s="328"/>
      <c r="N63" s="526"/>
      <c r="O63" s="1777"/>
      <c r="P63" s="261"/>
      <c r="Q63" s="261"/>
      <c r="R63" s="159"/>
      <c r="S63" s="357"/>
      <c r="T63" s="358"/>
      <c r="U63" s="358"/>
      <c r="V63" s="359"/>
      <c r="W63" s="492"/>
      <c r="X63" s="66"/>
      <c r="Y63" s="1123" t="s">
        <v>364</v>
      </c>
      <c r="Z63" s="1108">
        <v>30</v>
      </c>
      <c r="AA63" s="1124">
        <v>30</v>
      </c>
      <c r="AB63" s="1125">
        <v>30</v>
      </c>
    </row>
    <row r="64" spans="1:28" s="240" customFormat="1" ht="14.25" customHeight="1" x14ac:dyDescent="0.25">
      <c r="A64" s="2193"/>
      <c r="B64" s="2195"/>
      <c r="C64" s="1239"/>
      <c r="D64" s="1249"/>
      <c r="E64" s="1240"/>
      <c r="F64" s="1241"/>
      <c r="G64" s="1242"/>
      <c r="H64" s="1232"/>
      <c r="I64" s="1726"/>
      <c r="J64" s="253"/>
      <c r="K64" s="966"/>
      <c r="L64" s="328"/>
      <c r="M64" s="328"/>
      <c r="N64" s="526"/>
      <c r="O64" s="260"/>
      <c r="P64" s="261"/>
      <c r="Q64" s="261"/>
      <c r="R64" s="159"/>
      <c r="S64" s="357"/>
      <c r="T64" s="358"/>
      <c r="U64" s="358"/>
      <c r="V64" s="359"/>
      <c r="W64" s="492"/>
      <c r="X64" s="66"/>
      <c r="Y64" s="3521" t="s">
        <v>363</v>
      </c>
      <c r="Z64" s="1940">
        <v>37</v>
      </c>
      <c r="AA64" s="1941">
        <v>40</v>
      </c>
      <c r="AB64" s="1942">
        <v>40</v>
      </c>
    </row>
    <row r="65" spans="1:29" s="240" customFormat="1" ht="16.5" customHeight="1" thickBot="1" x14ac:dyDescent="0.3">
      <c r="A65" s="2193"/>
      <c r="B65" s="2195"/>
      <c r="C65" s="1244"/>
      <c r="D65" s="1249"/>
      <c r="E65" s="1240"/>
      <c r="F65" s="280"/>
      <c r="G65" s="1245"/>
      <c r="H65" s="1232"/>
      <c r="I65" s="1726"/>
      <c r="J65" s="1233" t="s">
        <v>18</v>
      </c>
      <c r="K65" s="360">
        <f>SUM(K61:K64)</f>
        <v>709.5</v>
      </c>
      <c r="L65" s="363">
        <f>SUM(L61:L64)</f>
        <v>709.5</v>
      </c>
      <c r="M65" s="363">
        <f>SUM(M61:M64)</f>
        <v>413.1</v>
      </c>
      <c r="N65" s="433"/>
      <c r="O65" s="360">
        <f>SUM(O61:O64)</f>
        <v>737.90000000000009</v>
      </c>
      <c r="P65" s="363">
        <f>SUM(P61:P64)</f>
        <v>737.90000000000009</v>
      </c>
      <c r="Q65" s="363">
        <f>SUM(Q61:Q64)</f>
        <v>418.9</v>
      </c>
      <c r="R65" s="1248">
        <f t="shared" ref="R65" si="8">SUM(R61:R64)</f>
        <v>0</v>
      </c>
      <c r="S65" s="360">
        <f>SUM(S61:S64)</f>
        <v>0</v>
      </c>
      <c r="T65" s="363">
        <f>SUM(T61:T64)</f>
        <v>0</v>
      </c>
      <c r="U65" s="363">
        <f>SUM(U61:U64)</f>
        <v>0</v>
      </c>
      <c r="V65" s="433"/>
      <c r="W65" s="367">
        <f>SUM(W61:W64)</f>
        <v>775</v>
      </c>
      <c r="X65" s="382">
        <f>SUM(X61:X64)</f>
        <v>779.7</v>
      </c>
      <c r="Y65" s="3523"/>
      <c r="Z65" s="1782"/>
      <c r="AA65" s="1783"/>
      <c r="AB65" s="1784"/>
    </row>
    <row r="66" spans="1:29" s="240" customFormat="1" ht="39.75" customHeight="1" x14ac:dyDescent="0.25">
      <c r="A66" s="2193"/>
      <c r="B66" s="2195"/>
      <c r="C66" s="1239"/>
      <c r="D66" s="1627" t="s">
        <v>24</v>
      </c>
      <c r="E66" s="1250" t="s">
        <v>306</v>
      </c>
      <c r="F66" s="1251"/>
      <c r="G66" s="1242"/>
      <c r="H66" s="1232"/>
      <c r="I66" s="1252"/>
      <c r="J66" s="201" t="s">
        <v>27</v>
      </c>
      <c r="K66" s="944">
        <f>L66</f>
        <v>1650.8</v>
      </c>
      <c r="L66" s="309">
        <v>1650.8</v>
      </c>
      <c r="M66" s="309">
        <v>994.9</v>
      </c>
      <c r="N66" s="1067"/>
      <c r="O66" s="1760">
        <f>R66+P66</f>
        <v>1607.1000000000001</v>
      </c>
      <c r="P66" s="148">
        <f>1572.5+6.7+27.9</f>
        <v>1607.1000000000001</v>
      </c>
      <c r="Q66" s="160">
        <f>952.5+5.1+21.3</f>
        <v>978.9</v>
      </c>
      <c r="R66" s="334"/>
      <c r="S66" s="350">
        <f>T66</f>
        <v>0</v>
      </c>
      <c r="T66" s="351">
        <v>0</v>
      </c>
      <c r="U66" s="351">
        <v>0</v>
      </c>
      <c r="V66" s="388"/>
      <c r="W66" s="35">
        <v>1607.1</v>
      </c>
      <c r="X66" s="35">
        <v>1607.1</v>
      </c>
      <c r="Y66" s="1121" t="s">
        <v>365</v>
      </c>
      <c r="Z66" s="1150">
        <v>3</v>
      </c>
      <c r="AA66" s="1151">
        <v>3</v>
      </c>
      <c r="AB66" s="1122">
        <v>3</v>
      </c>
    </row>
    <row r="67" spans="1:29" s="240" customFormat="1" ht="17.25" customHeight="1" x14ac:dyDescent="0.25">
      <c r="A67" s="2193"/>
      <c r="B67" s="2195"/>
      <c r="C67" s="1239"/>
      <c r="D67" s="2204"/>
      <c r="E67" s="1240"/>
      <c r="F67" s="1251"/>
      <c r="G67" s="1242"/>
      <c r="H67" s="1232"/>
      <c r="I67" s="1252"/>
      <c r="J67" s="283" t="s">
        <v>32</v>
      </c>
      <c r="K67" s="628">
        <f>L67+N67</f>
        <v>2</v>
      </c>
      <c r="L67" s="327">
        <v>2</v>
      </c>
      <c r="M67" s="327"/>
      <c r="N67" s="1024"/>
      <c r="O67" s="277">
        <f>P67+R67</f>
        <v>1.5</v>
      </c>
      <c r="P67" s="2147">
        <v>1.5</v>
      </c>
      <c r="Q67" s="2147"/>
      <c r="R67" s="295"/>
      <c r="S67" s="385">
        <f>T67+V67</f>
        <v>0</v>
      </c>
      <c r="T67" s="386">
        <v>0</v>
      </c>
      <c r="U67" s="386"/>
      <c r="V67" s="391"/>
      <c r="W67" s="282">
        <v>1.5</v>
      </c>
      <c r="X67" s="1450">
        <v>1.5</v>
      </c>
      <c r="Y67" s="1123" t="s">
        <v>223</v>
      </c>
      <c r="Z67" s="1152">
        <v>15700</v>
      </c>
      <c r="AA67" s="1153">
        <v>15700</v>
      </c>
      <c r="AB67" s="1154">
        <v>15700</v>
      </c>
    </row>
    <row r="68" spans="1:29" s="240" customFormat="1" ht="41.25" customHeight="1" x14ac:dyDescent="0.25">
      <c r="A68" s="2193"/>
      <c r="B68" s="2195"/>
      <c r="C68" s="1239"/>
      <c r="D68" s="2204"/>
      <c r="E68" s="1240"/>
      <c r="F68" s="1251"/>
      <c r="G68" s="1242"/>
      <c r="H68" s="1232"/>
      <c r="I68" s="1252"/>
      <c r="J68" s="253"/>
      <c r="K68" s="966"/>
      <c r="L68" s="328"/>
      <c r="M68" s="328"/>
      <c r="N68" s="967"/>
      <c r="O68" s="1628"/>
      <c r="P68" s="1629"/>
      <c r="Q68" s="1630"/>
      <c r="R68" s="331"/>
      <c r="S68" s="357"/>
      <c r="T68" s="358"/>
      <c r="U68" s="358"/>
      <c r="V68" s="632"/>
      <c r="W68" s="66"/>
      <c r="X68" s="63"/>
      <c r="Y68" s="1123" t="s">
        <v>366</v>
      </c>
      <c r="Z68" s="1108">
        <v>12</v>
      </c>
      <c r="AA68" s="1124">
        <v>12</v>
      </c>
      <c r="AB68" s="1125">
        <v>12</v>
      </c>
    </row>
    <row r="69" spans="1:29" s="240" customFormat="1" ht="30" customHeight="1" x14ac:dyDescent="0.25">
      <c r="A69" s="2193"/>
      <c r="B69" s="2195"/>
      <c r="C69" s="1239"/>
      <c r="D69" s="2204"/>
      <c r="E69" s="1240"/>
      <c r="F69" s="1251"/>
      <c r="G69" s="1242"/>
      <c r="H69" s="1232"/>
      <c r="I69" s="1252"/>
      <c r="J69" s="253"/>
      <c r="K69" s="966"/>
      <c r="L69" s="328"/>
      <c r="M69" s="328"/>
      <c r="N69" s="967"/>
      <c r="O69" s="1628"/>
      <c r="P69" s="1629"/>
      <c r="Q69" s="1630"/>
      <c r="R69" s="331"/>
      <c r="S69" s="357"/>
      <c r="T69" s="358"/>
      <c r="U69" s="358"/>
      <c r="V69" s="632"/>
      <c r="W69" s="66"/>
      <c r="X69" s="63"/>
      <c r="Y69" s="1123" t="s">
        <v>367</v>
      </c>
      <c r="Z69" s="1108">
        <v>12</v>
      </c>
      <c r="AA69" s="1124">
        <v>12</v>
      </c>
      <c r="AB69" s="1125">
        <v>12</v>
      </c>
    </row>
    <row r="70" spans="1:29" s="240" customFormat="1" ht="63.75" customHeight="1" x14ac:dyDescent="0.25">
      <c r="A70" s="1734"/>
      <c r="B70" s="1735"/>
      <c r="C70" s="1736"/>
      <c r="D70" s="2205"/>
      <c r="E70" s="1253"/>
      <c r="F70" s="2092"/>
      <c r="G70" s="1269"/>
      <c r="H70" s="1738"/>
      <c r="I70" s="1739"/>
      <c r="J70" s="203"/>
      <c r="K70" s="307"/>
      <c r="L70" s="308"/>
      <c r="M70" s="308"/>
      <c r="N70" s="1102"/>
      <c r="O70" s="2093"/>
      <c r="P70" s="274"/>
      <c r="Q70" s="2094"/>
      <c r="R70" s="507"/>
      <c r="S70" s="354"/>
      <c r="T70" s="355"/>
      <c r="U70" s="355"/>
      <c r="V70" s="390"/>
      <c r="W70" s="72"/>
      <c r="X70" s="1509"/>
      <c r="Y70" s="1146" t="s">
        <v>368</v>
      </c>
      <c r="Z70" s="1158">
        <v>40</v>
      </c>
      <c r="AA70" s="1159">
        <v>40</v>
      </c>
      <c r="AB70" s="1154">
        <v>40</v>
      </c>
    </row>
    <row r="71" spans="1:29" s="240" customFormat="1" ht="63" customHeight="1" x14ac:dyDescent="0.25">
      <c r="A71" s="2193"/>
      <c r="B71" s="2195"/>
      <c r="C71" s="1239"/>
      <c r="D71" s="1249"/>
      <c r="E71" s="1240"/>
      <c r="F71" s="1251"/>
      <c r="G71" s="1242"/>
      <c r="H71" s="1232"/>
      <c r="I71" s="1252"/>
      <c r="J71" s="253"/>
      <c r="K71" s="966"/>
      <c r="L71" s="978"/>
      <c r="M71" s="978"/>
      <c r="N71" s="1030"/>
      <c r="O71" s="1628"/>
      <c r="P71" s="1629"/>
      <c r="Q71" s="1630"/>
      <c r="R71" s="331"/>
      <c r="S71" s="357"/>
      <c r="T71" s="396"/>
      <c r="U71" s="396"/>
      <c r="V71" s="688"/>
      <c r="W71" s="66"/>
      <c r="X71" s="63"/>
      <c r="Y71" s="58" t="s">
        <v>369</v>
      </c>
      <c r="Z71" s="861">
        <v>16</v>
      </c>
      <c r="AA71" s="862">
        <v>16</v>
      </c>
      <c r="AB71" s="863">
        <v>16</v>
      </c>
    </row>
    <row r="72" spans="1:29" s="240" customFormat="1" ht="27.75" customHeight="1" x14ac:dyDescent="0.25">
      <c r="A72" s="2193"/>
      <c r="B72" s="2195"/>
      <c r="C72" s="1239"/>
      <c r="D72" s="1249"/>
      <c r="E72" s="3509" t="s">
        <v>317</v>
      </c>
      <c r="F72" s="1251"/>
      <c r="G72" s="1242"/>
      <c r="H72" s="1232"/>
      <c r="I72" s="1252"/>
      <c r="J72" s="199" t="s">
        <v>27</v>
      </c>
      <c r="K72" s="943"/>
      <c r="L72" s="1090"/>
      <c r="M72" s="1090"/>
      <c r="N72" s="1105"/>
      <c r="O72" s="1956">
        <f>P72+R72</f>
        <v>30.2</v>
      </c>
      <c r="P72" s="170">
        <v>25.7</v>
      </c>
      <c r="Q72" s="1957"/>
      <c r="R72" s="336">
        <v>4.5</v>
      </c>
      <c r="S72" s="342"/>
      <c r="T72" s="395"/>
      <c r="U72" s="395"/>
      <c r="V72" s="1106"/>
      <c r="W72" s="1120"/>
      <c r="X72" s="1119"/>
      <c r="Y72" s="1961" t="s">
        <v>370</v>
      </c>
      <c r="Z72" s="1706">
        <v>25</v>
      </c>
      <c r="AA72" s="1124"/>
      <c r="AB72" s="1125"/>
    </row>
    <row r="73" spans="1:29" s="240" customFormat="1" ht="16.5" customHeight="1" x14ac:dyDescent="0.25">
      <c r="A73" s="2193"/>
      <c r="B73" s="2195"/>
      <c r="C73" s="1239"/>
      <c r="D73" s="1249"/>
      <c r="E73" s="3509"/>
      <c r="F73" s="1251"/>
      <c r="G73" s="1242"/>
      <c r="H73" s="1232"/>
      <c r="I73" s="1252"/>
      <c r="J73" s="199" t="s">
        <v>41</v>
      </c>
      <c r="K73" s="152">
        <f>L73+N73</f>
        <v>2362.1999999999998</v>
      </c>
      <c r="L73" s="153">
        <v>2153</v>
      </c>
      <c r="M73" s="153">
        <v>221.4</v>
      </c>
      <c r="N73" s="1955">
        <v>209.2</v>
      </c>
      <c r="O73" s="1956"/>
      <c r="P73" s="170"/>
      <c r="Q73" s="1957"/>
      <c r="R73" s="336"/>
      <c r="S73" s="342"/>
      <c r="T73" s="395"/>
      <c r="U73" s="395"/>
      <c r="V73" s="1106"/>
      <c r="W73" s="1120"/>
      <c r="X73" s="1119"/>
      <c r="Y73" s="1179" t="s">
        <v>371</v>
      </c>
      <c r="Z73" s="1182">
        <v>20</v>
      </c>
      <c r="AA73" s="1124"/>
      <c r="AB73" s="1125"/>
    </row>
    <row r="74" spans="1:29" s="240" customFormat="1" ht="16.5" customHeight="1" x14ac:dyDescent="0.25">
      <c r="A74" s="2193"/>
      <c r="B74" s="2195"/>
      <c r="C74" s="1244"/>
      <c r="D74" s="2082"/>
      <c r="E74" s="1253"/>
      <c r="F74" s="280"/>
      <c r="G74" s="1245"/>
      <c r="H74" s="1232"/>
      <c r="I74" s="1726"/>
      <c r="J74" s="1637" t="s">
        <v>18</v>
      </c>
      <c r="K74" s="1638">
        <f t="shared" ref="K74:X74" si="9">SUM(K66:K73)</f>
        <v>4015</v>
      </c>
      <c r="L74" s="1638">
        <f t="shared" si="9"/>
        <v>3805.8</v>
      </c>
      <c r="M74" s="1638">
        <f t="shared" si="9"/>
        <v>1216.3</v>
      </c>
      <c r="N74" s="1638">
        <f t="shared" si="9"/>
        <v>209.2</v>
      </c>
      <c r="O74" s="1638">
        <f t="shared" si="9"/>
        <v>1638.8000000000002</v>
      </c>
      <c r="P74" s="1638">
        <f t="shared" si="9"/>
        <v>1634.3000000000002</v>
      </c>
      <c r="Q74" s="1638">
        <f t="shared" si="9"/>
        <v>978.9</v>
      </c>
      <c r="R74" s="1638">
        <f t="shared" si="9"/>
        <v>4.5</v>
      </c>
      <c r="S74" s="1638">
        <f t="shared" si="9"/>
        <v>0</v>
      </c>
      <c r="T74" s="1638">
        <f t="shared" si="9"/>
        <v>0</v>
      </c>
      <c r="U74" s="1638">
        <f t="shared" si="9"/>
        <v>0</v>
      </c>
      <c r="V74" s="1638">
        <f t="shared" si="9"/>
        <v>0</v>
      </c>
      <c r="W74" s="1638">
        <f t="shared" si="9"/>
        <v>1608.6</v>
      </c>
      <c r="X74" s="1642">
        <f t="shared" si="9"/>
        <v>1608.6</v>
      </c>
      <c r="Y74" s="1961" t="s">
        <v>372</v>
      </c>
      <c r="Z74" s="2151">
        <v>1</v>
      </c>
      <c r="AA74" s="1159"/>
      <c r="AB74" s="1154"/>
    </row>
    <row r="75" spans="1:29" s="240" customFormat="1" ht="64.5" customHeight="1" x14ac:dyDescent="0.25">
      <c r="A75" s="2193"/>
      <c r="B75" s="2195"/>
      <c r="C75" s="1239"/>
      <c r="D75" s="2204" t="s">
        <v>28</v>
      </c>
      <c r="E75" s="1240" t="s">
        <v>113</v>
      </c>
      <c r="F75" s="1251"/>
      <c r="G75" s="1242"/>
      <c r="H75" s="1232"/>
      <c r="I75" s="1726"/>
      <c r="J75" s="203" t="s">
        <v>27</v>
      </c>
      <c r="K75" s="307">
        <f>L75</f>
        <v>1091.5999999999999</v>
      </c>
      <c r="L75" s="308">
        <v>1091.5999999999999</v>
      </c>
      <c r="M75" s="308">
        <v>734.4</v>
      </c>
      <c r="N75" s="1102"/>
      <c r="O75" s="1556">
        <f>P75+R75</f>
        <v>1126.5</v>
      </c>
      <c r="P75" s="157">
        <f>1098.4+6.5+21.6</f>
        <v>1126.5</v>
      </c>
      <c r="Q75" s="150">
        <f>738.5+5+16.5</f>
        <v>760</v>
      </c>
      <c r="R75" s="156"/>
      <c r="S75" s="354">
        <f>T75</f>
        <v>0</v>
      </c>
      <c r="T75" s="355">
        <v>0</v>
      </c>
      <c r="U75" s="355">
        <v>0</v>
      </c>
      <c r="V75" s="390"/>
      <c r="W75" s="1156">
        <v>1126.5</v>
      </c>
      <c r="X75" s="1156">
        <v>1126.5</v>
      </c>
      <c r="Y75" s="2081" t="s">
        <v>224</v>
      </c>
      <c r="Z75" s="1731" t="s">
        <v>134</v>
      </c>
      <c r="AA75" s="1732" t="s">
        <v>135</v>
      </c>
      <c r="AB75" s="1733" t="s">
        <v>135</v>
      </c>
    </row>
    <row r="76" spans="1:29" s="240" customFormat="1" ht="16.5" customHeight="1" x14ac:dyDescent="0.25">
      <c r="A76" s="2193"/>
      <c r="B76" s="2195"/>
      <c r="C76" s="1239"/>
      <c r="D76" s="2204"/>
      <c r="E76" s="1240"/>
      <c r="F76" s="1251"/>
      <c r="G76" s="1242"/>
      <c r="H76" s="1232"/>
      <c r="I76" s="1726"/>
      <c r="J76" s="199" t="s">
        <v>32</v>
      </c>
      <c r="K76" s="307">
        <f>L76+N76</f>
        <v>9</v>
      </c>
      <c r="L76" s="308">
        <v>6</v>
      </c>
      <c r="M76" s="308"/>
      <c r="N76" s="1102">
        <v>3</v>
      </c>
      <c r="O76" s="258">
        <f>P76+R76</f>
        <v>12</v>
      </c>
      <c r="P76" s="2146">
        <v>9</v>
      </c>
      <c r="Q76" s="2146"/>
      <c r="R76" s="507">
        <v>3</v>
      </c>
      <c r="S76" s="354">
        <f>T76+V76</f>
        <v>0</v>
      </c>
      <c r="T76" s="355">
        <v>0</v>
      </c>
      <c r="U76" s="355"/>
      <c r="V76" s="390">
        <v>0</v>
      </c>
      <c r="W76" s="1156">
        <v>12</v>
      </c>
      <c r="X76" s="1157">
        <v>12</v>
      </c>
      <c r="Y76" s="3521" t="s">
        <v>136</v>
      </c>
      <c r="Z76" s="1940">
        <v>1</v>
      </c>
      <c r="AA76" s="1941">
        <v>1</v>
      </c>
      <c r="AB76" s="1942">
        <v>1</v>
      </c>
    </row>
    <row r="77" spans="1:29" s="240" customFormat="1" ht="16.5" customHeight="1" x14ac:dyDescent="0.25">
      <c r="A77" s="2193"/>
      <c r="B77" s="2195"/>
      <c r="C77" s="1239"/>
      <c r="D77" s="2204"/>
      <c r="E77" s="1240"/>
      <c r="F77" s="1251"/>
      <c r="G77" s="1242"/>
      <c r="H77" s="1232"/>
      <c r="I77" s="1726"/>
      <c r="J77" s="203" t="s">
        <v>148</v>
      </c>
      <c r="K77" s="2146">
        <v>4.7</v>
      </c>
      <c r="L77" s="2146">
        <v>4.7</v>
      </c>
      <c r="M77" s="978"/>
      <c r="N77" s="1030"/>
      <c r="O77" s="260"/>
      <c r="P77" s="158"/>
      <c r="Q77" s="158"/>
      <c r="R77" s="331"/>
      <c r="S77" s="357"/>
      <c r="T77" s="396"/>
      <c r="U77" s="396"/>
      <c r="V77" s="688"/>
      <c r="W77" s="276"/>
      <c r="X77" s="64"/>
      <c r="Y77" s="3522"/>
      <c r="Z77" s="861"/>
      <c r="AA77" s="633"/>
      <c r="AB77" s="863"/>
    </row>
    <row r="78" spans="1:29" s="240" customFormat="1" ht="16.5" customHeight="1" x14ac:dyDescent="0.25">
      <c r="A78" s="2193"/>
      <c r="B78" s="2195"/>
      <c r="C78" s="1244"/>
      <c r="D78" s="2205"/>
      <c r="E78" s="1253"/>
      <c r="F78" s="280"/>
      <c r="G78" s="1245"/>
      <c r="H78" s="1232"/>
      <c r="I78" s="1726"/>
      <c r="J78" s="1637" t="s">
        <v>18</v>
      </c>
      <c r="K78" s="1638">
        <f>SUM(K75:K77)</f>
        <v>1105.3</v>
      </c>
      <c r="L78" s="1639">
        <f>SUM(L75:L77)</f>
        <v>1102.3</v>
      </c>
      <c r="M78" s="1639">
        <f>SUM(M75:M76)</f>
        <v>734.4</v>
      </c>
      <c r="N78" s="1641">
        <f t="shared" ref="N78" si="10">SUM(N75:N76)</f>
        <v>3</v>
      </c>
      <c r="O78" s="1638">
        <f>SUM(O75:O76)</f>
        <v>1138.5</v>
      </c>
      <c r="P78" s="1639">
        <f>SUM(P75:P76)</f>
        <v>1135.5</v>
      </c>
      <c r="Q78" s="1639">
        <f>SUM(Q75:Q76)</f>
        <v>760</v>
      </c>
      <c r="R78" s="1060">
        <f t="shared" ref="R78:V78" si="11">SUM(R75:R76)</f>
        <v>3</v>
      </c>
      <c r="S78" s="1638">
        <f t="shared" si="11"/>
        <v>0</v>
      </c>
      <c r="T78" s="1639">
        <f t="shared" si="11"/>
        <v>0</v>
      </c>
      <c r="U78" s="1639">
        <f t="shared" si="11"/>
        <v>0</v>
      </c>
      <c r="V78" s="1641">
        <f t="shared" si="11"/>
        <v>0</v>
      </c>
      <c r="W78" s="1648">
        <f t="shared" ref="W78:X78" si="12">SUM(W75:W76)</f>
        <v>1138.5</v>
      </c>
      <c r="X78" s="1640">
        <f t="shared" si="12"/>
        <v>1138.5</v>
      </c>
      <c r="Y78" s="3524"/>
      <c r="Z78" s="1158"/>
      <c r="AA78" s="1153"/>
      <c r="AB78" s="1154"/>
      <c r="AC78" s="1208"/>
    </row>
    <row r="79" spans="1:29" s="240" customFormat="1" ht="16.5" customHeight="1" x14ac:dyDescent="0.25">
      <c r="A79" s="2193"/>
      <c r="B79" s="2195"/>
      <c r="C79" s="1254"/>
      <c r="D79" s="3507" t="s">
        <v>36</v>
      </c>
      <c r="E79" s="3509" t="s">
        <v>114</v>
      </c>
      <c r="F79" s="2245"/>
      <c r="G79" s="1255"/>
      <c r="H79" s="1232"/>
      <c r="I79" s="1726"/>
      <c r="J79" s="203" t="s">
        <v>21</v>
      </c>
      <c r="K79" s="307">
        <f>L79+N79</f>
        <v>224.6</v>
      </c>
      <c r="L79" s="308">
        <v>224.6</v>
      </c>
      <c r="M79" s="308"/>
      <c r="N79" s="1094"/>
      <c r="O79" s="258">
        <f>P79</f>
        <v>224</v>
      </c>
      <c r="P79" s="150">
        <v>224</v>
      </c>
      <c r="Q79" s="150"/>
      <c r="R79" s="156"/>
      <c r="S79" s="354">
        <f>T79+V79</f>
        <v>0</v>
      </c>
      <c r="T79" s="355">
        <v>0</v>
      </c>
      <c r="U79" s="355"/>
      <c r="V79" s="356"/>
      <c r="W79" s="258">
        <v>224</v>
      </c>
      <c r="X79" s="200">
        <v>224</v>
      </c>
      <c r="Y79" s="58" t="s">
        <v>131</v>
      </c>
      <c r="Z79" s="509">
        <v>50</v>
      </c>
      <c r="AA79" s="510">
        <v>50</v>
      </c>
      <c r="AB79" s="2232">
        <v>50</v>
      </c>
    </row>
    <row r="80" spans="1:29" s="240" customFormat="1" ht="15.75" customHeight="1" x14ac:dyDescent="0.25">
      <c r="A80" s="2193"/>
      <c r="B80" s="2195"/>
      <c r="C80" s="1254"/>
      <c r="D80" s="3507"/>
      <c r="E80" s="3509"/>
      <c r="F80" s="2245"/>
      <c r="G80" s="1255"/>
      <c r="H80" s="1232"/>
      <c r="I80" s="1726"/>
      <c r="J80" s="199" t="s">
        <v>32</v>
      </c>
      <c r="K80" s="943">
        <v>26.7</v>
      </c>
      <c r="L80" s="326">
        <v>26.7</v>
      </c>
      <c r="M80" s="326"/>
      <c r="N80" s="524"/>
      <c r="O80" s="152">
        <f>P80</f>
        <v>6</v>
      </c>
      <c r="P80" s="153">
        <v>6</v>
      </c>
      <c r="Q80" s="153"/>
      <c r="R80" s="154"/>
      <c r="S80" s="342">
        <f>T80+V80</f>
        <v>0</v>
      </c>
      <c r="T80" s="343">
        <v>0</v>
      </c>
      <c r="U80" s="343"/>
      <c r="V80" s="353"/>
      <c r="W80" s="152">
        <v>6</v>
      </c>
      <c r="X80" s="1107">
        <v>6</v>
      </c>
      <c r="Y80" s="3521" t="s">
        <v>132</v>
      </c>
      <c r="Z80" s="1940">
        <v>73</v>
      </c>
      <c r="AA80" s="1941">
        <v>73</v>
      </c>
      <c r="AB80" s="1942">
        <v>73</v>
      </c>
      <c r="AC80" s="1208"/>
    </row>
    <row r="81" spans="1:29" s="240" customFormat="1" ht="15.75" customHeight="1" x14ac:dyDescent="0.25">
      <c r="A81" s="2193"/>
      <c r="B81" s="2195"/>
      <c r="C81" s="1254"/>
      <c r="D81" s="3507"/>
      <c r="E81" s="3511"/>
      <c r="F81" s="2245"/>
      <c r="G81" s="1255"/>
      <c r="H81" s="1232"/>
      <c r="I81" s="1726"/>
      <c r="J81" s="283" t="s">
        <v>17</v>
      </c>
      <c r="K81" s="1095">
        <f>L81</f>
        <v>463</v>
      </c>
      <c r="L81" s="1096">
        <f>468-5</f>
        <v>463</v>
      </c>
      <c r="M81" s="1096">
        <v>324.39999999999998</v>
      </c>
      <c r="N81" s="524"/>
      <c r="O81" s="1160">
        <f>P81</f>
        <v>399.5</v>
      </c>
      <c r="P81" s="1204">
        <v>399.5</v>
      </c>
      <c r="Q81" s="1204">
        <v>305</v>
      </c>
      <c r="R81" s="524"/>
      <c r="S81" s="588">
        <f>T81</f>
        <v>0</v>
      </c>
      <c r="T81" s="589">
        <v>0</v>
      </c>
      <c r="U81" s="589">
        <v>0</v>
      </c>
      <c r="V81" s="353"/>
      <c r="W81" s="1160">
        <v>396</v>
      </c>
      <c r="X81" s="1161">
        <v>396</v>
      </c>
      <c r="Y81" s="3522"/>
      <c r="Z81" s="861"/>
      <c r="AA81" s="862"/>
      <c r="AB81" s="863"/>
    </row>
    <row r="82" spans="1:29" s="240" customFormat="1" ht="15.75" customHeight="1" x14ac:dyDescent="0.25">
      <c r="A82" s="2193"/>
      <c r="B82" s="2195"/>
      <c r="C82" s="1254"/>
      <c r="D82" s="3507"/>
      <c r="E82" s="3511"/>
      <c r="F82" s="2245"/>
      <c r="G82" s="1255"/>
      <c r="H82" s="1232"/>
      <c r="I82" s="1726"/>
      <c r="J82" s="283" t="s">
        <v>27</v>
      </c>
      <c r="K82" s="969">
        <f>L82</f>
        <v>866.8</v>
      </c>
      <c r="L82" s="970">
        <v>866.8</v>
      </c>
      <c r="M82" s="970">
        <v>649.29999999999995</v>
      </c>
      <c r="N82" s="526"/>
      <c r="O82" s="1162">
        <f>P82</f>
        <v>1068.1999999999998</v>
      </c>
      <c r="P82" s="252">
        <f>1046.8+6.6+14.8</f>
        <v>1068.1999999999998</v>
      </c>
      <c r="Q82" s="1211">
        <f>662.4+5.1+11.3</f>
        <v>678.8</v>
      </c>
      <c r="R82" s="522"/>
      <c r="S82" s="590">
        <f>T82</f>
        <v>0</v>
      </c>
      <c r="T82" s="591">
        <v>0</v>
      </c>
      <c r="U82" s="591">
        <v>0</v>
      </c>
      <c r="V82" s="359"/>
      <c r="W82" s="1162">
        <v>1068.2</v>
      </c>
      <c r="X82" s="1162">
        <v>1068.2</v>
      </c>
      <c r="Y82" s="3522"/>
      <c r="Z82" s="861"/>
      <c r="AA82" s="862"/>
      <c r="AB82" s="863"/>
    </row>
    <row r="83" spans="1:29" s="240" customFormat="1" ht="15.75" customHeight="1" thickBot="1" x14ac:dyDescent="0.3">
      <c r="A83" s="2193"/>
      <c r="B83" s="2195"/>
      <c r="C83" s="1254"/>
      <c r="D83" s="3508"/>
      <c r="E83" s="3512"/>
      <c r="F83" s="2245"/>
      <c r="G83" s="1255"/>
      <c r="H83" s="1232"/>
      <c r="I83" s="1726"/>
      <c r="J83" s="1256" t="s">
        <v>18</v>
      </c>
      <c r="K83" s="1165">
        <f>SUM(K79:K82)</f>
        <v>1581.1</v>
      </c>
      <c r="L83" s="592">
        <f>SUM(L79:L82)</f>
        <v>1581.1</v>
      </c>
      <c r="M83" s="592">
        <f>SUM(M79:M82)</f>
        <v>973.69999999999993</v>
      </c>
      <c r="N83" s="405"/>
      <c r="O83" s="378">
        <f>P83+R83</f>
        <v>1697.6999999999998</v>
      </c>
      <c r="P83" s="393">
        <f>SUM(P79:P82)</f>
        <v>1697.6999999999998</v>
      </c>
      <c r="Q83" s="393">
        <f>SUM(Q79:Q82)</f>
        <v>983.8</v>
      </c>
      <c r="R83" s="479"/>
      <c r="S83" s="1165">
        <f>T83+V83</f>
        <v>0</v>
      </c>
      <c r="T83" s="592">
        <f>SUM(T79:T82)</f>
        <v>0</v>
      </c>
      <c r="U83" s="592">
        <f>SUM(U79:U82)</f>
        <v>0</v>
      </c>
      <c r="V83" s="405"/>
      <c r="W83" s="404">
        <f>SUM(W79:W82)</f>
        <v>1694.2</v>
      </c>
      <c r="X83" s="404">
        <f>SUM(X79:X82)</f>
        <v>1694.2</v>
      </c>
      <c r="Y83" s="3523"/>
      <c r="Z83" s="1958"/>
      <c r="AA83" s="1959"/>
      <c r="AB83" s="1960"/>
    </row>
    <row r="84" spans="1:29" s="240" customFormat="1" ht="16.5" customHeight="1" x14ac:dyDescent="0.25">
      <c r="A84" s="2193"/>
      <c r="B84" s="2195"/>
      <c r="C84" s="2197"/>
      <c r="D84" s="3507" t="s">
        <v>38</v>
      </c>
      <c r="E84" s="3509" t="s">
        <v>269</v>
      </c>
      <c r="F84" s="1257"/>
      <c r="G84" s="2177"/>
      <c r="H84" s="1258"/>
      <c r="I84" s="1259"/>
      <c r="J84" s="201" t="s">
        <v>21</v>
      </c>
      <c r="K84" s="1167">
        <f>L84+N84</f>
        <v>41.9</v>
      </c>
      <c r="L84" s="953">
        <v>41.9</v>
      </c>
      <c r="M84" s="953"/>
      <c r="N84" s="945"/>
      <c r="O84" s="270">
        <v>118.6</v>
      </c>
      <c r="P84" s="271">
        <v>118.6</v>
      </c>
      <c r="Q84" s="271"/>
      <c r="R84" s="520"/>
      <c r="S84" s="1168">
        <f>T84+V84</f>
        <v>0</v>
      </c>
      <c r="T84" s="369">
        <v>0</v>
      </c>
      <c r="U84" s="369"/>
      <c r="V84" s="352"/>
      <c r="W84" s="1169">
        <v>118.6</v>
      </c>
      <c r="X84" s="1170">
        <v>118.6</v>
      </c>
      <c r="Y84" s="1171" t="s">
        <v>373</v>
      </c>
      <c r="Z84" s="860">
        <v>39</v>
      </c>
      <c r="AA84" s="265">
        <v>39</v>
      </c>
      <c r="AB84" s="266">
        <v>39</v>
      </c>
    </row>
    <row r="85" spans="1:29" s="240" customFormat="1" ht="16.5" customHeight="1" x14ac:dyDescent="0.25">
      <c r="A85" s="2193"/>
      <c r="B85" s="2195"/>
      <c r="C85" s="2197"/>
      <c r="D85" s="3507"/>
      <c r="E85" s="3509"/>
      <c r="F85" s="1257"/>
      <c r="G85" s="2177"/>
      <c r="H85" s="1258"/>
      <c r="I85" s="1259"/>
      <c r="J85" s="203" t="s">
        <v>17</v>
      </c>
      <c r="K85" s="1095">
        <f>L85</f>
        <v>606.9</v>
      </c>
      <c r="L85" s="1096">
        <f>612-5.1</f>
        <v>606.9</v>
      </c>
      <c r="M85" s="1096">
        <v>349.4</v>
      </c>
      <c r="N85" s="524"/>
      <c r="O85" s="272">
        <f>P85</f>
        <v>471</v>
      </c>
      <c r="P85" s="153">
        <v>471</v>
      </c>
      <c r="Q85" s="153">
        <v>282.8</v>
      </c>
      <c r="R85" s="154"/>
      <c r="S85" s="588">
        <f>T85</f>
        <v>0</v>
      </c>
      <c r="T85" s="589">
        <v>0</v>
      </c>
      <c r="U85" s="589">
        <v>0</v>
      </c>
      <c r="V85" s="353"/>
      <c r="W85" s="1120">
        <v>474.1</v>
      </c>
      <c r="X85" s="57">
        <v>474.1</v>
      </c>
      <c r="Y85" s="3521" t="s">
        <v>132</v>
      </c>
      <c r="Z85" s="1940">
        <v>71</v>
      </c>
      <c r="AA85" s="1941">
        <v>71</v>
      </c>
      <c r="AB85" s="1942">
        <v>71</v>
      </c>
    </row>
    <row r="86" spans="1:29" s="240" customFormat="1" ht="16.5" customHeight="1" x14ac:dyDescent="0.25">
      <c r="A86" s="2193"/>
      <c r="B86" s="2195"/>
      <c r="C86" s="2197"/>
      <c r="D86" s="3507"/>
      <c r="E86" s="3509"/>
      <c r="F86" s="1257"/>
      <c r="G86" s="2177"/>
      <c r="H86" s="1258"/>
      <c r="I86" s="1259"/>
      <c r="J86" s="203" t="s">
        <v>27</v>
      </c>
      <c r="K86" s="969">
        <f>L86</f>
        <v>316.8</v>
      </c>
      <c r="L86" s="970">
        <v>316.8</v>
      </c>
      <c r="M86" s="970">
        <v>184.9</v>
      </c>
      <c r="N86" s="526"/>
      <c r="O86" s="1761">
        <f>P86</f>
        <v>410.6</v>
      </c>
      <c r="P86" s="1762">
        <f>303+93.9+6.6+7.1</f>
        <v>410.6</v>
      </c>
      <c r="Q86" s="1762">
        <f>303+5.1+5.4</f>
        <v>313.5</v>
      </c>
      <c r="R86" s="159"/>
      <c r="S86" s="590">
        <f>T86</f>
        <v>0</v>
      </c>
      <c r="T86" s="591">
        <v>0</v>
      </c>
      <c r="U86" s="591">
        <v>0</v>
      </c>
      <c r="V86" s="359"/>
      <c r="W86" s="66">
        <v>403.5</v>
      </c>
      <c r="X86" s="66">
        <v>403.5</v>
      </c>
      <c r="Y86" s="3522"/>
      <c r="Z86" s="861"/>
      <c r="AA86" s="862"/>
      <c r="AB86" s="863"/>
    </row>
    <row r="87" spans="1:29" s="240" customFormat="1" ht="16.5" customHeight="1" x14ac:dyDescent="0.25">
      <c r="A87" s="2193"/>
      <c r="B87" s="2195"/>
      <c r="C87" s="2197"/>
      <c r="D87" s="3507"/>
      <c r="E87" s="3509"/>
      <c r="F87" s="1257"/>
      <c r="G87" s="2177"/>
      <c r="H87" s="1258"/>
      <c r="I87" s="1259"/>
      <c r="J87" s="203" t="s">
        <v>42</v>
      </c>
      <c r="K87" s="1095"/>
      <c r="L87" s="1096"/>
      <c r="M87" s="1100"/>
      <c r="N87" s="524"/>
      <c r="O87" s="1095">
        <f>P87</f>
        <v>84.1</v>
      </c>
      <c r="P87" s="1096">
        <v>84.1</v>
      </c>
      <c r="Q87" s="1096"/>
      <c r="R87" s="336"/>
      <c r="S87" s="588"/>
      <c r="T87" s="589"/>
      <c r="U87" s="597"/>
      <c r="V87" s="353"/>
      <c r="W87" s="1120"/>
      <c r="X87" s="57"/>
      <c r="Y87" s="3522"/>
      <c r="Z87" s="861"/>
      <c r="AA87" s="862"/>
      <c r="AB87" s="863"/>
    </row>
    <row r="88" spans="1:29" s="240" customFormat="1" ht="16.5" customHeight="1" x14ac:dyDescent="0.25">
      <c r="A88" s="2193"/>
      <c r="B88" s="2195"/>
      <c r="C88" s="2197"/>
      <c r="D88" s="3508"/>
      <c r="E88" s="3510"/>
      <c r="F88" s="1695"/>
      <c r="G88" s="2177"/>
      <c r="H88" s="1258"/>
      <c r="I88" s="1259"/>
      <c r="J88" s="1643" t="s">
        <v>18</v>
      </c>
      <c r="K88" s="1644">
        <f>L88+N88</f>
        <v>965.59999999999991</v>
      </c>
      <c r="L88" s="1645">
        <f>SUM(L84:L86)</f>
        <v>965.59999999999991</v>
      </c>
      <c r="M88" s="738">
        <f>SUM(M84:M86)</f>
        <v>534.29999999999995</v>
      </c>
      <c r="N88" s="2136"/>
      <c r="O88" s="1642">
        <f>P88+R88</f>
        <v>1084.3</v>
      </c>
      <c r="P88" s="1758">
        <f>SUM(P84:P87)</f>
        <v>1084.3</v>
      </c>
      <c r="Q88" s="1758">
        <f>SUM(Q84:Q87)</f>
        <v>596.29999999999995</v>
      </c>
      <c r="R88" s="1647"/>
      <c r="S88" s="1644">
        <f>T88+V88</f>
        <v>0</v>
      </c>
      <c r="T88" s="1645">
        <f>SUM(T84:T86)</f>
        <v>0</v>
      </c>
      <c r="U88" s="738">
        <f>SUM(U84:U86)</f>
        <v>0</v>
      </c>
      <c r="V88" s="1646"/>
      <c r="W88" s="1648">
        <f>SUM(W84:W86)</f>
        <v>996.2</v>
      </c>
      <c r="X88" s="1640">
        <f>SUM(X84:X86)</f>
        <v>996.2</v>
      </c>
      <c r="Y88" s="1146"/>
      <c r="Z88" s="1649"/>
      <c r="AA88" s="1650"/>
      <c r="AB88" s="1651"/>
    </row>
    <row r="89" spans="1:29" s="1265" customFormat="1" ht="16.5" customHeight="1" x14ac:dyDescent="0.25">
      <c r="A89" s="2193"/>
      <c r="B89" s="2195"/>
      <c r="C89" s="1262"/>
      <c r="D89" s="2204" t="s">
        <v>70</v>
      </c>
      <c r="E89" s="3509" t="s">
        <v>115</v>
      </c>
      <c r="F89" s="1263"/>
      <c r="G89" s="1264"/>
      <c r="H89" s="1232"/>
      <c r="I89" s="1726"/>
      <c r="J89" s="203" t="s">
        <v>21</v>
      </c>
      <c r="K89" s="1219">
        <v>225</v>
      </c>
      <c r="L89" s="1224">
        <v>225</v>
      </c>
      <c r="M89" s="1098"/>
      <c r="N89" s="1094"/>
      <c r="O89" s="1556">
        <v>218.4</v>
      </c>
      <c r="P89" s="150">
        <v>218.4</v>
      </c>
      <c r="Q89" s="150"/>
      <c r="R89" s="156"/>
      <c r="S89" s="1166"/>
      <c r="T89" s="596"/>
      <c r="U89" s="596"/>
      <c r="V89" s="356"/>
      <c r="W89" s="72">
        <v>218.4</v>
      </c>
      <c r="X89" s="335">
        <v>218.4</v>
      </c>
      <c r="Y89" s="1172" t="s">
        <v>373</v>
      </c>
      <c r="Z89" s="1158">
        <v>66</v>
      </c>
      <c r="AA89" s="1159">
        <v>66</v>
      </c>
      <c r="AB89" s="1154">
        <v>66</v>
      </c>
    </row>
    <row r="90" spans="1:29" s="1265" customFormat="1" ht="42" customHeight="1" x14ac:dyDescent="0.25">
      <c r="A90" s="2193"/>
      <c r="B90" s="2195"/>
      <c r="C90" s="1262"/>
      <c r="D90" s="2204"/>
      <c r="E90" s="3509"/>
      <c r="F90" s="1263"/>
      <c r="G90" s="1264"/>
      <c r="H90" s="1232"/>
      <c r="I90" s="1726"/>
      <c r="J90" s="203" t="s">
        <v>27</v>
      </c>
      <c r="K90" s="1097">
        <f>L90</f>
        <v>668.3</v>
      </c>
      <c r="L90" s="1098">
        <v>668.3</v>
      </c>
      <c r="M90" s="1098">
        <v>456.8</v>
      </c>
      <c r="N90" s="1094"/>
      <c r="O90" s="1556">
        <f>P90</f>
        <v>830.6</v>
      </c>
      <c r="P90" s="150">
        <f>811.8+6.7+12.1</f>
        <v>830.6</v>
      </c>
      <c r="Q90" s="150">
        <f>474.5+5.1+9.2</f>
        <v>488.8</v>
      </c>
      <c r="R90" s="156"/>
      <c r="S90" s="595">
        <f>T90</f>
        <v>0</v>
      </c>
      <c r="T90" s="596">
        <v>0</v>
      </c>
      <c r="U90" s="596">
        <v>0</v>
      </c>
      <c r="V90" s="356"/>
      <c r="W90" s="72">
        <v>830.6</v>
      </c>
      <c r="X90" s="72">
        <v>830.6</v>
      </c>
      <c r="Y90" s="1172" t="s">
        <v>225</v>
      </c>
      <c r="Z90" s="1158">
        <v>1</v>
      </c>
      <c r="AA90" s="1159">
        <v>1</v>
      </c>
      <c r="AB90" s="1154">
        <v>1</v>
      </c>
    </row>
    <row r="91" spans="1:29" s="1265" customFormat="1" ht="16.5" customHeight="1" x14ac:dyDescent="0.25">
      <c r="A91" s="2193"/>
      <c r="B91" s="2195"/>
      <c r="C91" s="1262"/>
      <c r="D91" s="2204"/>
      <c r="E91" s="3511"/>
      <c r="F91" s="1263"/>
      <c r="G91" s="1264"/>
      <c r="H91" s="1232"/>
      <c r="I91" s="1726"/>
      <c r="J91" s="283" t="s">
        <v>32</v>
      </c>
      <c r="K91" s="1099">
        <f>L91</f>
        <v>251.5</v>
      </c>
      <c r="L91" s="1096">
        <v>251.5</v>
      </c>
      <c r="M91" s="1096">
        <v>192</v>
      </c>
      <c r="N91" s="524"/>
      <c r="O91" s="272">
        <f>P91</f>
        <v>219.9</v>
      </c>
      <c r="P91" s="153">
        <v>219.9</v>
      </c>
      <c r="Q91" s="153">
        <v>167.9</v>
      </c>
      <c r="R91" s="154"/>
      <c r="S91" s="593">
        <f>T91</f>
        <v>0</v>
      </c>
      <c r="T91" s="589">
        <v>0</v>
      </c>
      <c r="U91" s="589">
        <v>0</v>
      </c>
      <c r="V91" s="353"/>
      <c r="W91" s="1120">
        <v>219.9</v>
      </c>
      <c r="X91" s="57">
        <v>219.9</v>
      </c>
      <c r="Y91" s="3513" t="s">
        <v>132</v>
      </c>
      <c r="Z91" s="1940">
        <v>79</v>
      </c>
      <c r="AA91" s="1941">
        <v>79</v>
      </c>
      <c r="AB91" s="1942">
        <v>79</v>
      </c>
      <c r="AC91" s="1266"/>
    </row>
    <row r="92" spans="1:29" s="1265" customFormat="1" ht="16.5" customHeight="1" x14ac:dyDescent="0.25">
      <c r="A92" s="2193"/>
      <c r="B92" s="2195"/>
      <c r="C92" s="1262"/>
      <c r="D92" s="2204"/>
      <c r="E92" s="3511"/>
      <c r="F92" s="1263"/>
      <c r="G92" s="1264"/>
      <c r="H92" s="1232"/>
      <c r="I92" s="1726"/>
      <c r="J92" s="199" t="s">
        <v>17</v>
      </c>
      <c r="K92" s="1100">
        <f>L92</f>
        <v>823</v>
      </c>
      <c r="L92" s="1096">
        <f>828-5</f>
        <v>823</v>
      </c>
      <c r="M92" s="1096">
        <v>452</v>
      </c>
      <c r="N92" s="524"/>
      <c r="O92" s="272">
        <f>P92</f>
        <v>797.5</v>
      </c>
      <c r="P92" s="153">
        <v>797.5</v>
      </c>
      <c r="Q92" s="153">
        <v>446.1</v>
      </c>
      <c r="R92" s="154"/>
      <c r="S92" s="597">
        <f>T92</f>
        <v>0</v>
      </c>
      <c r="T92" s="589">
        <v>0</v>
      </c>
      <c r="U92" s="589">
        <v>0</v>
      </c>
      <c r="V92" s="353"/>
      <c r="W92" s="1120">
        <v>804.8</v>
      </c>
      <c r="X92" s="57">
        <v>804.8</v>
      </c>
      <c r="Y92" s="3514"/>
      <c r="Z92" s="861"/>
      <c r="AA92" s="862"/>
      <c r="AB92" s="863"/>
      <c r="AC92" s="1266"/>
    </row>
    <row r="93" spans="1:29" s="1265" customFormat="1" ht="16.5" customHeight="1" x14ac:dyDescent="0.25">
      <c r="A93" s="2193"/>
      <c r="B93" s="2195"/>
      <c r="C93" s="1262"/>
      <c r="D93" s="2205"/>
      <c r="E93" s="3512"/>
      <c r="F93" s="1263"/>
      <c r="G93" s="1264"/>
      <c r="H93" s="1232"/>
      <c r="I93" s="1726"/>
      <c r="J93" s="1514" t="s">
        <v>18</v>
      </c>
      <c r="K93" s="598">
        <f>L93+N93</f>
        <v>1967.8</v>
      </c>
      <c r="L93" s="592">
        <f>SUM(L89:L92)</f>
        <v>1967.8</v>
      </c>
      <c r="M93" s="592">
        <f>SUM(M89:M92)</f>
        <v>1100.8</v>
      </c>
      <c r="N93" s="479"/>
      <c r="O93" s="378">
        <f>P93+R93</f>
        <v>2066.4</v>
      </c>
      <c r="P93" s="393">
        <f>SUM(P89:P92)</f>
        <v>2066.4</v>
      </c>
      <c r="Q93" s="393">
        <f>SUM(Q89:Q92)</f>
        <v>1102.8000000000002</v>
      </c>
      <c r="R93" s="1173"/>
      <c r="S93" s="598">
        <f>T93+V93</f>
        <v>0</v>
      </c>
      <c r="T93" s="592">
        <f>SUM(T89:T92)</f>
        <v>0</v>
      </c>
      <c r="U93" s="592">
        <f>SUM(U89:U92)</f>
        <v>0</v>
      </c>
      <c r="V93" s="479"/>
      <c r="W93" s="1541">
        <f>SUM(W89:W92)</f>
        <v>2073.6999999999998</v>
      </c>
      <c r="X93" s="1542">
        <f>SUM(X89:X92)</f>
        <v>2073.6999999999998</v>
      </c>
      <c r="Y93" s="3514"/>
      <c r="Z93" s="861"/>
      <c r="AA93" s="862"/>
      <c r="AB93" s="863"/>
    </row>
    <row r="94" spans="1:29" s="240" customFormat="1" ht="14.25" customHeight="1" x14ac:dyDescent="0.25">
      <c r="A94" s="2193"/>
      <c r="B94" s="2195"/>
      <c r="C94" s="1239"/>
      <c r="D94" s="3515" t="s">
        <v>84</v>
      </c>
      <c r="E94" s="3352" t="s">
        <v>116</v>
      </c>
      <c r="F94" s="2245"/>
      <c r="G94" s="1242"/>
      <c r="H94" s="1232"/>
      <c r="I94" s="1726"/>
      <c r="J94" s="199" t="s">
        <v>27</v>
      </c>
      <c r="K94" s="943"/>
      <c r="L94" s="326"/>
      <c r="M94" s="326"/>
      <c r="N94" s="524"/>
      <c r="O94" s="152">
        <f>P94+R94</f>
        <v>223.5</v>
      </c>
      <c r="P94" s="153">
        <f>218.4+3.1</f>
        <v>221.5</v>
      </c>
      <c r="Q94" s="153">
        <f>117.1+2.4</f>
        <v>119.5</v>
      </c>
      <c r="R94" s="154">
        <v>2</v>
      </c>
      <c r="S94" s="342"/>
      <c r="T94" s="343"/>
      <c r="U94" s="343"/>
      <c r="V94" s="353"/>
      <c r="W94" s="1120">
        <f>430+3.1</f>
        <v>433.1</v>
      </c>
      <c r="X94" s="1120">
        <f>430+3.1</f>
        <v>433.1</v>
      </c>
      <c r="Y94" s="3518" t="s">
        <v>117</v>
      </c>
      <c r="Z94" s="3520" t="s">
        <v>141</v>
      </c>
      <c r="AA94" s="2863">
        <v>40</v>
      </c>
      <c r="AB94" s="2859">
        <v>40</v>
      </c>
    </row>
    <row r="95" spans="1:29" s="240" customFormat="1" ht="14.25" customHeight="1" x14ac:dyDescent="0.25">
      <c r="A95" s="2193"/>
      <c r="B95" s="1199"/>
      <c r="C95" s="1239"/>
      <c r="D95" s="3516"/>
      <c r="E95" s="3307"/>
      <c r="F95" s="2245"/>
      <c r="G95" s="1242"/>
      <c r="H95" s="1232"/>
      <c r="I95" s="1726"/>
      <c r="J95" s="283" t="s">
        <v>32</v>
      </c>
      <c r="K95" s="943"/>
      <c r="L95" s="1090"/>
      <c r="M95" s="1090"/>
      <c r="N95" s="1093"/>
      <c r="O95" s="152">
        <f>P95</f>
        <v>27.9</v>
      </c>
      <c r="P95" s="1703">
        <v>27.9</v>
      </c>
      <c r="Q95" s="1703"/>
      <c r="R95" s="336"/>
      <c r="S95" s="342"/>
      <c r="T95" s="395"/>
      <c r="U95" s="395"/>
      <c r="V95" s="432"/>
      <c r="W95" s="1120">
        <v>110</v>
      </c>
      <c r="X95" s="57">
        <v>110</v>
      </c>
      <c r="Y95" s="2980"/>
      <c r="Z95" s="2972"/>
      <c r="AA95" s="2974"/>
      <c r="AB95" s="2976"/>
    </row>
    <row r="96" spans="1:29" s="240" customFormat="1" ht="14.25" customHeight="1" x14ac:dyDescent="0.25">
      <c r="A96" s="1734"/>
      <c r="B96" s="1735"/>
      <c r="C96" s="2095"/>
      <c r="D96" s="3517"/>
      <c r="E96" s="3353"/>
      <c r="F96" s="2096"/>
      <c r="G96" s="1269"/>
      <c r="H96" s="2097"/>
      <c r="I96" s="2098"/>
      <c r="J96" s="1636" t="s">
        <v>18</v>
      </c>
      <c r="K96" s="397">
        <f t="shared" ref="K96:V96" si="13">SUM(K94:K95)</f>
        <v>0</v>
      </c>
      <c r="L96" s="398">
        <f t="shared" si="13"/>
        <v>0</v>
      </c>
      <c r="M96" s="398">
        <f t="shared" si="13"/>
        <v>0</v>
      </c>
      <c r="N96" s="406">
        <f t="shared" si="13"/>
        <v>0</v>
      </c>
      <c r="O96" s="397">
        <f t="shared" si="13"/>
        <v>251.4</v>
      </c>
      <c r="P96" s="398">
        <f t="shared" si="13"/>
        <v>249.4</v>
      </c>
      <c r="Q96" s="398">
        <f t="shared" si="13"/>
        <v>119.5</v>
      </c>
      <c r="R96" s="406">
        <f t="shared" si="13"/>
        <v>2</v>
      </c>
      <c r="S96" s="397">
        <f t="shared" si="13"/>
        <v>0</v>
      </c>
      <c r="T96" s="398">
        <f t="shared" si="13"/>
        <v>0</v>
      </c>
      <c r="U96" s="398">
        <f t="shared" si="13"/>
        <v>0</v>
      </c>
      <c r="V96" s="406">
        <f t="shared" si="13"/>
        <v>0</v>
      </c>
      <c r="W96" s="1560">
        <f t="shared" ref="W96:X96" si="14">SUM(W94:W95)</f>
        <v>543.1</v>
      </c>
      <c r="X96" s="406">
        <f t="shared" si="14"/>
        <v>543.1</v>
      </c>
      <c r="Y96" s="3519"/>
      <c r="Z96" s="3506"/>
      <c r="AA96" s="2862"/>
      <c r="AB96" s="2858"/>
    </row>
    <row r="97" spans="1:36" s="240" customFormat="1" ht="14.25" customHeight="1" x14ac:dyDescent="0.25">
      <c r="A97" s="2193"/>
      <c r="B97" s="2195"/>
      <c r="C97" s="1239"/>
      <c r="D97" s="1272">
        <v>10</v>
      </c>
      <c r="E97" s="3307" t="s">
        <v>118</v>
      </c>
      <c r="F97" s="2245"/>
      <c r="G97" s="1242"/>
      <c r="H97" s="1232"/>
      <c r="I97" s="1726"/>
      <c r="J97" s="203" t="s">
        <v>27</v>
      </c>
      <c r="K97" s="307"/>
      <c r="L97" s="308"/>
      <c r="M97" s="308"/>
      <c r="N97" s="1094"/>
      <c r="O97" s="258">
        <f>P97</f>
        <v>215.8</v>
      </c>
      <c r="P97" s="150">
        <f>212.4+3.4</f>
        <v>215.8</v>
      </c>
      <c r="Q97" s="150">
        <f>117.1+2.6</f>
        <v>119.69999999999999</v>
      </c>
      <c r="R97" s="156"/>
      <c r="S97" s="354"/>
      <c r="T97" s="355"/>
      <c r="U97" s="355"/>
      <c r="V97" s="356"/>
      <c r="W97" s="72">
        <f>430+3.4</f>
        <v>433.4</v>
      </c>
      <c r="X97" s="72">
        <f>430+3.4</f>
        <v>433.4</v>
      </c>
      <c r="Y97" s="2970" t="s">
        <v>117</v>
      </c>
      <c r="Z97" s="2972" t="s">
        <v>141</v>
      </c>
      <c r="AA97" s="2974">
        <v>40</v>
      </c>
      <c r="AB97" s="2976">
        <v>40</v>
      </c>
    </row>
    <row r="98" spans="1:36" s="240" customFormat="1" ht="14.25" customHeight="1" x14ac:dyDescent="0.25">
      <c r="A98" s="2193"/>
      <c r="B98" s="1199"/>
      <c r="C98" s="1239"/>
      <c r="D98" s="1249"/>
      <c r="E98" s="3307"/>
      <c r="F98" s="2245"/>
      <c r="G98" s="1242"/>
      <c r="H98" s="1232"/>
      <c r="I98" s="1726"/>
      <c r="J98" s="283" t="s">
        <v>32</v>
      </c>
      <c r="K98" s="943"/>
      <c r="L98" s="1090"/>
      <c r="M98" s="1090"/>
      <c r="N98" s="1093"/>
      <c r="O98" s="152">
        <f>P98</f>
        <v>28.1</v>
      </c>
      <c r="P98" s="1703">
        <v>28.1</v>
      </c>
      <c r="Q98" s="1703"/>
      <c r="R98" s="336"/>
      <c r="S98" s="342"/>
      <c r="T98" s="395"/>
      <c r="U98" s="395"/>
      <c r="V98" s="432"/>
      <c r="W98" s="1120">
        <v>56.2</v>
      </c>
      <c r="X98" s="57">
        <v>56.2</v>
      </c>
      <c r="Y98" s="2970"/>
      <c r="Z98" s="2972"/>
      <c r="AA98" s="2974"/>
      <c r="AB98" s="2976"/>
    </row>
    <row r="99" spans="1:36" s="240" customFormat="1" ht="14.25" customHeight="1" x14ac:dyDescent="0.25">
      <c r="A99" s="2193"/>
      <c r="B99" s="2195"/>
      <c r="C99" s="2197"/>
      <c r="D99" s="2082"/>
      <c r="E99" s="3353"/>
      <c r="F99" s="1607"/>
      <c r="G99" s="1242"/>
      <c r="H99" s="1270"/>
      <c r="I99" s="1271"/>
      <c r="J99" s="1636" t="s">
        <v>18</v>
      </c>
      <c r="K99" s="397">
        <f t="shared" ref="K99:V99" si="15">SUM(K97:K98)</f>
        <v>0</v>
      </c>
      <c r="L99" s="398">
        <f t="shared" si="15"/>
        <v>0</v>
      </c>
      <c r="M99" s="398">
        <f t="shared" si="15"/>
        <v>0</v>
      </c>
      <c r="N99" s="406">
        <f t="shared" si="15"/>
        <v>0</v>
      </c>
      <c r="O99" s="397">
        <f t="shared" si="15"/>
        <v>243.9</v>
      </c>
      <c r="P99" s="398">
        <f t="shared" si="15"/>
        <v>243.9</v>
      </c>
      <c r="Q99" s="398">
        <f t="shared" si="15"/>
        <v>119.69999999999999</v>
      </c>
      <c r="R99" s="406">
        <f t="shared" si="15"/>
        <v>0</v>
      </c>
      <c r="S99" s="397">
        <f t="shared" si="15"/>
        <v>0</v>
      </c>
      <c r="T99" s="398">
        <f t="shared" si="15"/>
        <v>0</v>
      </c>
      <c r="U99" s="398">
        <f t="shared" si="15"/>
        <v>0</v>
      </c>
      <c r="V99" s="406">
        <f t="shared" si="15"/>
        <v>0</v>
      </c>
      <c r="W99" s="1560">
        <f t="shared" ref="W99" si="16">SUM(W97:W98)</f>
        <v>489.59999999999997</v>
      </c>
      <c r="X99" s="406">
        <f>SUM(X97:X98)</f>
        <v>489.59999999999997</v>
      </c>
      <c r="Y99" s="2971"/>
      <c r="Z99" s="3506"/>
      <c r="AA99" s="2862"/>
      <c r="AB99" s="2858"/>
    </row>
    <row r="100" spans="1:36" s="240" customFormat="1" ht="14.25" customHeight="1" x14ac:dyDescent="0.25">
      <c r="A100" s="2193"/>
      <c r="B100" s="2195"/>
      <c r="C100" s="1239"/>
      <c r="D100" s="2204" t="s">
        <v>293</v>
      </c>
      <c r="E100" s="3509" t="s">
        <v>72</v>
      </c>
      <c r="F100" s="2245"/>
      <c r="G100" s="1242"/>
      <c r="H100" s="1232"/>
      <c r="I100" s="1267"/>
      <c r="J100" s="203" t="s">
        <v>27</v>
      </c>
      <c r="K100" s="307">
        <f>L100+N100</f>
        <v>49.2</v>
      </c>
      <c r="L100" s="308">
        <v>47.2</v>
      </c>
      <c r="M100" s="308"/>
      <c r="N100" s="1094">
        <v>2</v>
      </c>
      <c r="O100" s="1759">
        <f>P100+R100</f>
        <v>541.79999999999995</v>
      </c>
      <c r="P100" s="1113">
        <f>531.8+10</f>
        <v>541.79999999999995</v>
      </c>
      <c r="Q100" s="1113">
        <f>344.4+7.6</f>
        <v>352</v>
      </c>
      <c r="R100" s="156"/>
      <c r="S100" s="354">
        <f>T100+V100</f>
        <v>0</v>
      </c>
      <c r="T100" s="355">
        <v>0</v>
      </c>
      <c r="U100" s="355"/>
      <c r="V100" s="356">
        <v>0</v>
      </c>
      <c r="W100" s="72">
        <v>541.79999999999995</v>
      </c>
      <c r="X100" s="72">
        <v>541.79999999999995</v>
      </c>
      <c r="Y100" s="3504" t="s">
        <v>117</v>
      </c>
      <c r="Z100" s="2972" t="s">
        <v>141</v>
      </c>
      <c r="AA100" s="2974">
        <v>40</v>
      </c>
      <c r="AB100" s="2976">
        <v>40</v>
      </c>
    </row>
    <row r="101" spans="1:36" s="240" customFormat="1" ht="14.25" customHeight="1" x14ac:dyDescent="0.25">
      <c r="A101" s="2193"/>
      <c r="B101" s="1199"/>
      <c r="C101" s="1239"/>
      <c r="D101" s="1268"/>
      <c r="E101" s="3509"/>
      <c r="F101" s="2245"/>
      <c r="G101" s="1242"/>
      <c r="H101" s="1232"/>
      <c r="I101" s="1726"/>
      <c r="J101" s="199" t="s">
        <v>32</v>
      </c>
      <c r="K101" s="943"/>
      <c r="L101" s="1090"/>
      <c r="M101" s="1090"/>
      <c r="N101" s="1093"/>
      <c r="O101" s="152">
        <v>80.599999999999994</v>
      </c>
      <c r="P101" s="1703">
        <v>80.599999999999994</v>
      </c>
      <c r="Q101" s="1703"/>
      <c r="R101" s="336"/>
      <c r="S101" s="342"/>
      <c r="T101" s="395"/>
      <c r="U101" s="395"/>
      <c r="V101" s="432"/>
      <c r="W101" s="1120">
        <v>80.599999999999994</v>
      </c>
      <c r="X101" s="57">
        <v>80.599999999999994</v>
      </c>
      <c r="Y101" s="3504"/>
      <c r="Z101" s="2972"/>
      <c r="AA101" s="2974"/>
      <c r="AB101" s="2976"/>
    </row>
    <row r="102" spans="1:36" s="240" customFormat="1" ht="14.25" customHeight="1" x14ac:dyDescent="0.25">
      <c r="A102" s="1680"/>
      <c r="B102" s="2195"/>
      <c r="C102" s="2197"/>
      <c r="D102" s="1635"/>
      <c r="E102" s="3510"/>
      <c r="F102" s="1607"/>
      <c r="G102" s="1242"/>
      <c r="H102" s="1270"/>
      <c r="I102" s="1726"/>
      <c r="J102" s="1636" t="s">
        <v>18</v>
      </c>
      <c r="K102" s="397">
        <f t="shared" ref="K102:V102" si="17">SUM(K100:K101)</f>
        <v>49.2</v>
      </c>
      <c r="L102" s="398">
        <f t="shared" si="17"/>
        <v>47.2</v>
      </c>
      <c r="M102" s="398">
        <f t="shared" si="17"/>
        <v>0</v>
      </c>
      <c r="N102" s="406">
        <f t="shared" si="17"/>
        <v>2</v>
      </c>
      <c r="O102" s="397">
        <f t="shared" si="17"/>
        <v>622.4</v>
      </c>
      <c r="P102" s="398">
        <f t="shared" si="17"/>
        <v>622.4</v>
      </c>
      <c r="Q102" s="398">
        <f t="shared" si="17"/>
        <v>352</v>
      </c>
      <c r="R102" s="406">
        <f t="shared" si="17"/>
        <v>0</v>
      </c>
      <c r="S102" s="397">
        <f t="shared" si="17"/>
        <v>0</v>
      </c>
      <c r="T102" s="398">
        <f t="shared" si="17"/>
        <v>0</v>
      </c>
      <c r="U102" s="398">
        <f t="shared" si="17"/>
        <v>0</v>
      </c>
      <c r="V102" s="406">
        <f t="shared" si="17"/>
        <v>0</v>
      </c>
      <c r="W102" s="1560">
        <f t="shared" ref="W102:X102" si="18">SUM(W100:W101)</f>
        <v>622.4</v>
      </c>
      <c r="X102" s="406">
        <f t="shared" si="18"/>
        <v>622.4</v>
      </c>
      <c r="Y102" s="3505"/>
      <c r="Z102" s="3506"/>
      <c r="AA102" s="2862"/>
      <c r="AB102" s="2858"/>
    </row>
    <row r="103" spans="1:36" ht="16.5" customHeight="1" x14ac:dyDescent="0.2">
      <c r="A103" s="1352"/>
      <c r="B103" s="2195"/>
      <c r="C103" s="1353"/>
      <c r="D103" s="2207" t="s">
        <v>45</v>
      </c>
      <c r="E103" s="3318" t="s">
        <v>299</v>
      </c>
      <c r="F103" s="1715"/>
      <c r="G103" s="1424"/>
      <c r="H103" s="2895"/>
      <c r="I103" s="3320"/>
      <c r="J103" s="1127" t="s">
        <v>27</v>
      </c>
      <c r="K103" s="278"/>
      <c r="L103" s="1204"/>
      <c r="M103" s="1204"/>
      <c r="N103" s="1711"/>
      <c r="O103" s="1099">
        <v>16.899999999999999</v>
      </c>
      <c r="P103" s="1101">
        <v>16.899999999999999</v>
      </c>
      <c r="Q103" s="1096"/>
      <c r="R103" s="1765"/>
      <c r="S103" s="1712">
        <f>T103+V103</f>
        <v>0</v>
      </c>
      <c r="T103" s="1713">
        <v>0</v>
      </c>
      <c r="U103" s="1713"/>
      <c r="V103" s="1714"/>
      <c r="W103" s="1120">
        <v>16.899999999999999</v>
      </c>
      <c r="X103" s="1120">
        <v>16.899999999999999</v>
      </c>
      <c r="Y103" s="3279" t="s">
        <v>330</v>
      </c>
      <c r="Z103" s="3351">
        <v>8</v>
      </c>
      <c r="AA103" s="3363">
        <v>8</v>
      </c>
      <c r="AB103" s="3364">
        <v>8</v>
      </c>
    </row>
    <row r="104" spans="1:36" ht="16.5" customHeight="1" x14ac:dyDescent="0.2">
      <c r="A104" s="1352"/>
      <c r="B104" s="2195"/>
      <c r="C104" s="1353"/>
      <c r="D104" s="2208"/>
      <c r="E104" s="3319"/>
      <c r="F104" s="1716"/>
      <c r="G104" s="1426"/>
      <c r="H104" s="3284"/>
      <c r="I104" s="3321"/>
      <c r="J104" s="1427" t="s">
        <v>18</v>
      </c>
      <c r="K104" s="383"/>
      <c r="L104" s="460"/>
      <c r="M104" s="460"/>
      <c r="N104" s="405"/>
      <c r="O104" s="378">
        <f>SUM(O103:O103)</f>
        <v>16.899999999999999</v>
      </c>
      <c r="P104" s="393">
        <f t="shared" ref="P104:X104" si="19">SUM(P103:P103)</f>
        <v>16.899999999999999</v>
      </c>
      <c r="Q104" s="379">
        <f t="shared" si="19"/>
        <v>0</v>
      </c>
      <c r="R104" s="479">
        <f t="shared" si="19"/>
        <v>0</v>
      </c>
      <c r="S104" s="383">
        <f t="shared" si="19"/>
        <v>0</v>
      </c>
      <c r="T104" s="383">
        <f t="shared" si="19"/>
        <v>0</v>
      </c>
      <c r="U104" s="383">
        <f t="shared" si="19"/>
        <v>0</v>
      </c>
      <c r="V104" s="383">
        <f t="shared" si="19"/>
        <v>0</v>
      </c>
      <c r="W104" s="383">
        <f t="shared" si="19"/>
        <v>16.899999999999999</v>
      </c>
      <c r="X104" s="383">
        <f t="shared" si="19"/>
        <v>16.899999999999999</v>
      </c>
      <c r="Y104" s="3280"/>
      <c r="Z104" s="3351"/>
      <c r="AA104" s="3363"/>
      <c r="AB104" s="3364"/>
    </row>
    <row r="105" spans="1:36" s="240" customFormat="1" ht="16.5" customHeight="1" thickBot="1" x14ac:dyDescent="0.3">
      <c r="A105" s="1680"/>
      <c r="B105" s="2195"/>
      <c r="C105" s="2239"/>
      <c r="D105" s="3291" t="s">
        <v>18</v>
      </c>
      <c r="E105" s="3292"/>
      <c r="F105" s="3292"/>
      <c r="G105" s="3292"/>
      <c r="H105" s="3292"/>
      <c r="I105" s="3292"/>
      <c r="J105" s="3293"/>
      <c r="K105" s="1273">
        <f>K99+K96+K102+K93+K88+K83+K78+K74+K65+K60+K49</f>
        <v>14074.9</v>
      </c>
      <c r="L105" s="1728">
        <f>L99+L96+L102+L93+L88+L83+L78+L74+L65+L60+L49</f>
        <v>13825.699999999999</v>
      </c>
      <c r="M105" s="1727">
        <f>M99+M96+M102+M93+M88+M83+M78+M74+M65+M60+M49</f>
        <v>6902.1</v>
      </c>
      <c r="N105" s="1730">
        <f>N99+N96+N102+N93+N88+N83+N78+N74+N65+N60+N49</f>
        <v>249.2</v>
      </c>
      <c r="O105" s="1729">
        <f>O99+O96+O102+O93+O88+O83+O78+O74+O65+O60+O49+O104</f>
        <v>13503.600000000002</v>
      </c>
      <c r="P105" s="1729">
        <f t="shared" ref="P105:X105" si="20">P99+P96+P102+P93+P88+P83+P78+P74+P65+P60+P49+P104</f>
        <v>13400.100000000002</v>
      </c>
      <c r="Q105" s="1729">
        <f t="shared" si="20"/>
        <v>7522.8</v>
      </c>
      <c r="R105" s="1729">
        <f t="shared" si="20"/>
        <v>103.5</v>
      </c>
      <c r="S105" s="1729">
        <f t="shared" si="20"/>
        <v>0</v>
      </c>
      <c r="T105" s="1729">
        <f t="shared" si="20"/>
        <v>0</v>
      </c>
      <c r="U105" s="1729">
        <f t="shared" si="20"/>
        <v>0</v>
      </c>
      <c r="V105" s="1729">
        <f t="shared" si="20"/>
        <v>0</v>
      </c>
      <c r="W105" s="1729">
        <f t="shared" si="20"/>
        <v>14015.199999999999</v>
      </c>
      <c r="X105" s="1729">
        <f t="shared" si="20"/>
        <v>14072.9</v>
      </c>
      <c r="Y105" s="3297"/>
      <c r="Z105" s="3298"/>
      <c r="AA105" s="3298"/>
      <c r="AB105" s="3299"/>
    </row>
    <row r="106" spans="1:36" s="1187" customFormat="1" ht="27" customHeight="1" x14ac:dyDescent="0.25">
      <c r="A106" s="3490" t="s">
        <v>13</v>
      </c>
      <c r="B106" s="3492" t="s">
        <v>19</v>
      </c>
      <c r="C106" s="3494" t="s">
        <v>19</v>
      </c>
      <c r="D106" s="1274"/>
      <c r="E106" s="2920" t="s">
        <v>54</v>
      </c>
      <c r="F106" s="3496"/>
      <c r="G106" s="3498">
        <v>10</v>
      </c>
      <c r="H106" s="3500" t="s">
        <v>26</v>
      </c>
      <c r="I106" s="3502" t="s">
        <v>159</v>
      </c>
      <c r="J106" s="1275" t="s">
        <v>27</v>
      </c>
      <c r="K106" s="975">
        <f>L106+N106</f>
        <v>832.3</v>
      </c>
      <c r="L106" s="949">
        <v>832.3</v>
      </c>
      <c r="M106" s="949"/>
      <c r="N106" s="976"/>
      <c r="O106" s="1276">
        <v>960</v>
      </c>
      <c r="P106" s="1196">
        <v>960</v>
      </c>
      <c r="Q106" s="1196"/>
      <c r="R106" s="1277"/>
      <c r="S106" s="769">
        <f>T106+V106</f>
        <v>0</v>
      </c>
      <c r="T106" s="339">
        <v>0</v>
      </c>
      <c r="U106" s="339"/>
      <c r="V106" s="870"/>
      <c r="W106" s="768">
        <v>960</v>
      </c>
      <c r="X106" s="768">
        <v>960</v>
      </c>
      <c r="Y106" s="3288" t="s">
        <v>331</v>
      </c>
      <c r="Z106" s="218">
        <v>70</v>
      </c>
      <c r="AA106" s="219">
        <v>70</v>
      </c>
      <c r="AB106" s="220">
        <v>70</v>
      </c>
    </row>
    <row r="107" spans="1:36" s="240" customFormat="1" ht="21.75" customHeight="1" thickBot="1" x14ac:dyDescent="0.3">
      <c r="A107" s="3491"/>
      <c r="B107" s="3493"/>
      <c r="C107" s="3495"/>
      <c r="D107" s="1278"/>
      <c r="E107" s="2823"/>
      <c r="F107" s="3497"/>
      <c r="G107" s="3499"/>
      <c r="H107" s="3501"/>
      <c r="I107" s="3503"/>
      <c r="J107" s="1214" t="s">
        <v>18</v>
      </c>
      <c r="K107" s="367">
        <f>L107+N107</f>
        <v>832.3</v>
      </c>
      <c r="L107" s="362">
        <f>L106</f>
        <v>832.3</v>
      </c>
      <c r="M107" s="361"/>
      <c r="N107" s="368"/>
      <c r="O107" s="367">
        <f>P107+R107</f>
        <v>960</v>
      </c>
      <c r="P107" s="362">
        <f>SUM(P106)</f>
        <v>960</v>
      </c>
      <c r="Q107" s="361"/>
      <c r="R107" s="368"/>
      <c r="S107" s="367">
        <f>T107+V107</f>
        <v>0</v>
      </c>
      <c r="T107" s="362">
        <f>T106</f>
        <v>0</v>
      </c>
      <c r="U107" s="361"/>
      <c r="V107" s="368"/>
      <c r="W107" s="363">
        <f>SUM(W106)</f>
        <v>960</v>
      </c>
      <c r="X107" s="382">
        <f>SUM(X106)</f>
        <v>960</v>
      </c>
      <c r="Y107" s="2942"/>
      <c r="Z107" s="700"/>
      <c r="AA107" s="701"/>
      <c r="AB107" s="702"/>
    </row>
    <row r="108" spans="1:36" s="1187" customFormat="1" ht="66" customHeight="1" x14ac:dyDescent="0.25">
      <c r="A108" s="2233" t="s">
        <v>13</v>
      </c>
      <c r="B108" s="2235" t="s">
        <v>19</v>
      </c>
      <c r="C108" s="2214" t="s">
        <v>22</v>
      </c>
      <c r="D108" s="1279"/>
      <c r="E108" s="1280" t="s">
        <v>55</v>
      </c>
      <c r="F108" s="1281"/>
      <c r="G108" s="2047">
        <v>10</v>
      </c>
      <c r="H108" s="2049" t="s">
        <v>26</v>
      </c>
      <c r="I108" s="3294" t="s">
        <v>347</v>
      </c>
      <c r="J108" s="1275"/>
      <c r="K108" s="1282"/>
      <c r="L108" s="1283"/>
      <c r="M108" s="1283"/>
      <c r="N108" s="1282"/>
      <c r="O108" s="1284"/>
      <c r="P108" s="1285"/>
      <c r="Q108" s="1285"/>
      <c r="R108" s="693"/>
      <c r="S108" s="1286"/>
      <c r="T108" s="1287"/>
      <c r="U108" s="1287"/>
      <c r="V108" s="1286"/>
      <c r="W108" s="1284"/>
      <c r="X108" s="692"/>
      <c r="Y108" s="2172"/>
      <c r="Z108" s="1561"/>
      <c r="AA108" s="219"/>
      <c r="AB108" s="221"/>
    </row>
    <row r="109" spans="1:36" s="1187" customFormat="1" ht="52.5" customHeight="1" x14ac:dyDescent="0.25">
      <c r="A109" s="2234"/>
      <c r="B109" s="2236"/>
      <c r="C109" s="2238"/>
      <c r="D109" s="1302" t="s">
        <v>13</v>
      </c>
      <c r="E109" s="1178" t="s">
        <v>119</v>
      </c>
      <c r="F109" s="1289"/>
      <c r="G109" s="2048"/>
      <c r="H109" s="2050"/>
      <c r="I109" s="3295"/>
      <c r="J109" s="1290" t="s">
        <v>27</v>
      </c>
      <c r="K109" s="1291">
        <f t="shared" ref="K109:K110" si="21">L109+N109</f>
        <v>290</v>
      </c>
      <c r="L109" s="1091">
        <v>290</v>
      </c>
      <c r="M109" s="1091"/>
      <c r="N109" s="1291"/>
      <c r="O109" s="1292">
        <v>359</v>
      </c>
      <c r="P109" s="1293">
        <v>359</v>
      </c>
      <c r="Q109" s="1294"/>
      <c r="R109" s="57"/>
      <c r="S109" s="1295">
        <f t="shared" ref="S109:S110" si="22">T109+V109</f>
        <v>0</v>
      </c>
      <c r="T109" s="462">
        <v>0</v>
      </c>
      <c r="U109" s="462"/>
      <c r="V109" s="1295"/>
      <c r="W109" s="1133">
        <v>150</v>
      </c>
      <c r="X109" s="1155">
        <v>150</v>
      </c>
      <c r="Y109" s="1174" t="s">
        <v>120</v>
      </c>
      <c r="Z109" s="1175">
        <v>35</v>
      </c>
      <c r="AA109" s="1176">
        <v>17</v>
      </c>
      <c r="AB109" s="1177">
        <v>17</v>
      </c>
      <c r="AJ109" s="240"/>
    </row>
    <row r="110" spans="1:36" s="1187" customFormat="1" ht="51.75" customHeight="1" x14ac:dyDescent="0.25">
      <c r="A110" s="2234"/>
      <c r="B110" s="2236"/>
      <c r="C110" s="2238"/>
      <c r="D110" s="1656" t="s">
        <v>19</v>
      </c>
      <c r="E110" s="1741" t="s">
        <v>121</v>
      </c>
      <c r="F110" s="1289"/>
      <c r="G110" s="2048"/>
      <c r="H110" s="2050"/>
      <c r="I110" s="1726"/>
      <c r="J110" s="1325" t="s">
        <v>27</v>
      </c>
      <c r="K110" s="1507">
        <f t="shared" si="21"/>
        <v>230</v>
      </c>
      <c r="L110" s="1031">
        <v>230</v>
      </c>
      <c r="M110" s="1031"/>
      <c r="N110" s="1507"/>
      <c r="O110" s="1742">
        <v>218.3</v>
      </c>
      <c r="P110" s="1743">
        <v>218.3</v>
      </c>
      <c r="Q110" s="1510"/>
      <c r="R110" s="335"/>
      <c r="S110" s="1511">
        <f t="shared" si="22"/>
        <v>0</v>
      </c>
      <c r="T110" s="684">
        <v>0</v>
      </c>
      <c r="U110" s="684"/>
      <c r="V110" s="1511"/>
      <c r="W110" s="1574">
        <v>218.3</v>
      </c>
      <c r="X110" s="72">
        <v>218.3</v>
      </c>
      <c r="Y110" s="1741" t="s">
        <v>122</v>
      </c>
      <c r="Z110" s="1747">
        <v>20</v>
      </c>
      <c r="AA110" s="1732">
        <v>20</v>
      </c>
      <c r="AB110" s="1733">
        <v>20</v>
      </c>
    </row>
    <row r="111" spans="1:36" s="1187" customFormat="1" ht="51" customHeight="1" x14ac:dyDescent="0.25">
      <c r="A111" s="2234"/>
      <c r="B111" s="2236"/>
      <c r="C111" s="2238"/>
      <c r="D111" s="1740" t="s">
        <v>22</v>
      </c>
      <c r="E111" s="1741" t="s">
        <v>123</v>
      </c>
      <c r="F111" s="1289"/>
      <c r="G111" s="2048"/>
      <c r="H111" s="2229"/>
      <c r="I111" s="2223"/>
      <c r="J111" s="1325" t="s">
        <v>27</v>
      </c>
      <c r="K111" s="1507">
        <f>L111+N111</f>
        <v>272.2</v>
      </c>
      <c r="L111" s="1031">
        <v>272.2</v>
      </c>
      <c r="M111" s="1031"/>
      <c r="N111" s="1507"/>
      <c r="O111" s="1742">
        <v>340.6</v>
      </c>
      <c r="P111" s="1743">
        <f>O111</f>
        <v>340.6</v>
      </c>
      <c r="Q111" s="1510"/>
      <c r="R111" s="335"/>
      <c r="S111" s="1511">
        <f>T111+V111</f>
        <v>0</v>
      </c>
      <c r="T111" s="684">
        <v>0</v>
      </c>
      <c r="U111" s="684"/>
      <c r="V111" s="1511"/>
      <c r="W111" s="1574">
        <v>340.6</v>
      </c>
      <c r="X111" s="72">
        <v>340.6</v>
      </c>
      <c r="Y111" s="1741" t="s">
        <v>138</v>
      </c>
      <c r="Z111" s="1731">
        <v>34</v>
      </c>
      <c r="AA111" s="1732">
        <v>34</v>
      </c>
      <c r="AB111" s="1733">
        <v>34</v>
      </c>
    </row>
    <row r="112" spans="1:36" s="1187" customFormat="1" ht="51.75" customHeight="1" x14ac:dyDescent="0.25">
      <c r="A112" s="2234"/>
      <c r="B112" s="2236"/>
      <c r="C112" s="2238"/>
      <c r="D112" s="1656" t="s">
        <v>24</v>
      </c>
      <c r="E112" s="1657" t="s">
        <v>98</v>
      </c>
      <c r="F112" s="1289"/>
      <c r="G112" s="2048"/>
      <c r="H112" s="2050"/>
      <c r="I112" s="2223"/>
      <c r="J112" s="1290" t="s">
        <v>27</v>
      </c>
      <c r="K112" s="1291">
        <f>L112+N112</f>
        <v>140</v>
      </c>
      <c r="L112" s="1091">
        <v>140</v>
      </c>
      <c r="M112" s="1091"/>
      <c r="N112" s="1291"/>
      <c r="O112" s="1292">
        <v>150</v>
      </c>
      <c r="P112" s="1293">
        <v>150</v>
      </c>
      <c r="Q112" s="1294"/>
      <c r="R112" s="57"/>
      <c r="S112" s="1295">
        <f>T112+V112</f>
        <v>0</v>
      </c>
      <c r="T112" s="462">
        <v>0</v>
      </c>
      <c r="U112" s="462"/>
      <c r="V112" s="1295"/>
      <c r="W112" s="1128">
        <v>150</v>
      </c>
      <c r="X112" s="1120">
        <v>150</v>
      </c>
      <c r="Y112" s="1178" t="s">
        <v>139</v>
      </c>
      <c r="Z112" s="1658">
        <v>200</v>
      </c>
      <c r="AA112" s="1109">
        <v>200</v>
      </c>
      <c r="AB112" s="1659">
        <v>200</v>
      </c>
    </row>
    <row r="113" spans="1:28" s="1187" customFormat="1" ht="30.75" customHeight="1" x14ac:dyDescent="0.25">
      <c r="A113" s="2234"/>
      <c r="B113" s="2236"/>
      <c r="C113" s="2238"/>
      <c r="D113" s="1652" t="s">
        <v>28</v>
      </c>
      <c r="E113" s="3296" t="s">
        <v>289</v>
      </c>
      <c r="F113" s="1289"/>
      <c r="G113" s="2048"/>
      <c r="H113" s="2050"/>
      <c r="I113" s="2223"/>
      <c r="J113" s="1653" t="s">
        <v>42</v>
      </c>
      <c r="K113" s="1654">
        <f t="shared" ref="K113" si="23">L113+N113</f>
        <v>206.1</v>
      </c>
      <c r="L113" s="1033">
        <v>206.1</v>
      </c>
      <c r="M113" s="1033"/>
      <c r="N113" s="1631"/>
      <c r="O113" s="1632"/>
      <c r="P113" s="1633"/>
      <c r="Q113" s="1634"/>
      <c r="R113" s="62"/>
      <c r="S113" s="1655">
        <f t="shared" ref="S113" si="24">T113+V113</f>
        <v>0</v>
      </c>
      <c r="T113" s="686">
        <v>0</v>
      </c>
      <c r="U113" s="686"/>
      <c r="V113" s="1513"/>
      <c r="W113" s="492"/>
      <c r="X113" s="66"/>
      <c r="Y113" s="3345" t="s">
        <v>140</v>
      </c>
      <c r="Z113" s="1200">
        <v>8</v>
      </c>
      <c r="AA113" s="504">
        <v>8</v>
      </c>
      <c r="AB113" s="654">
        <v>8</v>
      </c>
    </row>
    <row r="114" spans="1:28" s="1187" customFormat="1" ht="30.75" customHeight="1" x14ac:dyDescent="0.25">
      <c r="A114" s="2234"/>
      <c r="B114" s="2236"/>
      <c r="C114" s="2238"/>
      <c r="D114" s="1288"/>
      <c r="E114" s="3296"/>
      <c r="F114" s="1289"/>
      <c r="G114" s="2048"/>
      <c r="H114" s="2050"/>
      <c r="I114" s="2223"/>
      <c r="J114" s="1303" t="s">
        <v>27</v>
      </c>
      <c r="K114" s="1304"/>
      <c r="L114" s="1298"/>
      <c r="M114" s="1297"/>
      <c r="N114" s="1092"/>
      <c r="O114" s="1763">
        <f>P114+R114</f>
        <v>150</v>
      </c>
      <c r="P114" s="1764">
        <v>150</v>
      </c>
      <c r="Q114" s="1515"/>
      <c r="R114" s="1164"/>
      <c r="S114" s="1305">
        <f>T114+V114</f>
        <v>0</v>
      </c>
      <c r="T114" s="1301"/>
      <c r="U114" s="1300"/>
      <c r="V114" s="1360"/>
      <c r="W114" s="1626">
        <v>150</v>
      </c>
      <c r="X114" s="1323">
        <v>150</v>
      </c>
      <c r="Y114" s="3296"/>
      <c r="Z114" s="1200"/>
      <c r="AA114" s="504"/>
      <c r="AB114" s="654"/>
    </row>
    <row r="115" spans="1:28" s="240" customFormat="1" ht="16.5" customHeight="1" thickBot="1" x14ac:dyDescent="0.3">
      <c r="A115" s="1306"/>
      <c r="B115" s="2237"/>
      <c r="C115" s="1307"/>
      <c r="D115" s="1311"/>
      <c r="E115" s="2823"/>
      <c r="F115" s="1308"/>
      <c r="G115" s="1309"/>
      <c r="H115" s="2230"/>
      <c r="I115" s="2224"/>
      <c r="J115" s="1214" t="s">
        <v>18</v>
      </c>
      <c r="K115" s="367">
        <f>L115+N115</f>
        <v>1138.3</v>
      </c>
      <c r="L115" s="362">
        <f>SUM(L109:L113)</f>
        <v>1138.3</v>
      </c>
      <c r="M115" s="361"/>
      <c r="N115" s="368"/>
      <c r="O115" s="367">
        <f>P115+R115</f>
        <v>1217.9000000000001</v>
      </c>
      <c r="P115" s="362">
        <f>SUM(P109:P114)</f>
        <v>1217.9000000000001</v>
      </c>
      <c r="Q115" s="361"/>
      <c r="R115" s="368"/>
      <c r="S115" s="367">
        <f t="shared" ref="S115" si="25">T115+V115</f>
        <v>0</v>
      </c>
      <c r="T115" s="362">
        <f>SUM(T109:T113)</f>
        <v>0</v>
      </c>
      <c r="U115" s="361"/>
      <c r="V115" s="368"/>
      <c r="W115" s="367">
        <f>SUM(W109:W114)</f>
        <v>1008.9000000000001</v>
      </c>
      <c r="X115" s="382">
        <f>SUM(X109:X114)</f>
        <v>1008.9000000000001</v>
      </c>
      <c r="Y115" s="2823"/>
      <c r="Z115" s="222"/>
      <c r="AA115" s="223"/>
      <c r="AB115" s="224"/>
    </row>
    <row r="116" spans="1:28" s="1187" customFormat="1" ht="25.5" customHeight="1" x14ac:dyDescent="0.25">
      <c r="A116" s="2099" t="s">
        <v>13</v>
      </c>
      <c r="B116" s="2101" t="s">
        <v>19</v>
      </c>
      <c r="C116" s="2104" t="s">
        <v>24</v>
      </c>
      <c r="D116" s="1279"/>
      <c r="E116" s="1456" t="s">
        <v>318</v>
      </c>
      <c r="F116" s="1281"/>
      <c r="G116" s="2047">
        <v>10</v>
      </c>
      <c r="H116" s="2228" t="s">
        <v>26</v>
      </c>
      <c r="I116" s="3294" t="s">
        <v>159</v>
      </c>
      <c r="J116" s="1275"/>
      <c r="K116" s="975"/>
      <c r="L116" s="949"/>
      <c r="M116" s="949"/>
      <c r="N116" s="1029"/>
      <c r="O116" s="1276"/>
      <c r="P116" s="1196"/>
      <c r="Q116" s="1196"/>
      <c r="R116" s="1277"/>
      <c r="S116" s="769"/>
      <c r="T116" s="339"/>
      <c r="U116" s="339"/>
      <c r="V116" s="691"/>
      <c r="W116" s="1198"/>
      <c r="X116" s="1310"/>
      <c r="Y116" s="3288" t="s">
        <v>168</v>
      </c>
      <c r="Z116" s="2158">
        <v>24</v>
      </c>
      <c r="AA116" s="2160">
        <v>24</v>
      </c>
      <c r="AB116" s="2161">
        <v>24</v>
      </c>
    </row>
    <row r="117" spans="1:28" s="1187" customFormat="1" ht="28.5" customHeight="1" x14ac:dyDescent="0.25">
      <c r="A117" s="2119"/>
      <c r="B117" s="2120"/>
      <c r="C117" s="2121"/>
      <c r="D117" s="2122"/>
      <c r="E117" s="2123" t="s">
        <v>33</v>
      </c>
      <c r="F117" s="1745"/>
      <c r="G117" s="1746"/>
      <c r="H117" s="2124"/>
      <c r="I117" s="3346"/>
      <c r="J117" s="1290" t="s">
        <v>27</v>
      </c>
      <c r="K117" s="943">
        <f>L117+M117+N117</f>
        <v>80</v>
      </c>
      <c r="L117" s="326">
        <v>80</v>
      </c>
      <c r="M117" s="326"/>
      <c r="N117" s="1070"/>
      <c r="O117" s="278">
        <v>110</v>
      </c>
      <c r="P117" s="1204">
        <v>110</v>
      </c>
      <c r="Q117" s="1204"/>
      <c r="R117" s="1711"/>
      <c r="S117" s="342">
        <f>T117+U117+V117</f>
        <v>0</v>
      </c>
      <c r="T117" s="343">
        <v>0</v>
      </c>
      <c r="U117" s="343"/>
      <c r="V117" s="389"/>
      <c r="W117" s="1161">
        <v>110</v>
      </c>
      <c r="X117" s="1206">
        <v>110</v>
      </c>
      <c r="Y117" s="3347"/>
      <c r="Z117" s="2125"/>
      <c r="AA117" s="2126"/>
      <c r="AB117" s="2127"/>
    </row>
    <row r="118" spans="1:28" s="1187" customFormat="1" ht="50.25" customHeight="1" x14ac:dyDescent="0.25">
      <c r="A118" s="2100"/>
      <c r="B118" s="2102"/>
      <c r="C118" s="2105"/>
      <c r="D118" s="1954"/>
      <c r="E118" s="3289" t="s">
        <v>319</v>
      </c>
      <c r="F118" s="1289"/>
      <c r="G118" s="2106"/>
      <c r="H118" s="2107"/>
      <c r="I118" s="2109"/>
      <c r="J118" s="1325" t="s">
        <v>27</v>
      </c>
      <c r="K118" s="307"/>
      <c r="L118" s="308"/>
      <c r="M118" s="308"/>
      <c r="N118" s="1102"/>
      <c r="O118" s="1759">
        <f>P118+R118</f>
        <v>160</v>
      </c>
      <c r="P118" s="1113">
        <v>160</v>
      </c>
      <c r="Q118" s="1113"/>
      <c r="R118" s="521"/>
      <c r="S118" s="354"/>
      <c r="T118" s="355"/>
      <c r="U118" s="355"/>
      <c r="V118" s="390"/>
      <c r="W118" s="2117"/>
      <c r="X118" s="2118"/>
      <c r="Y118" s="2084"/>
      <c r="Z118" s="2111"/>
      <c r="AA118" s="2113"/>
      <c r="AB118" s="2115"/>
    </row>
    <row r="119" spans="1:28" s="1187" customFormat="1" ht="16.5" customHeight="1" thickBot="1" x14ac:dyDescent="0.3">
      <c r="A119" s="1306"/>
      <c r="B119" s="2103"/>
      <c r="C119" s="1307"/>
      <c r="D119" s="1311"/>
      <c r="E119" s="3290"/>
      <c r="F119" s="1308"/>
      <c r="G119" s="1309"/>
      <c r="H119" s="2108"/>
      <c r="I119" s="2110"/>
      <c r="J119" s="1233" t="s">
        <v>18</v>
      </c>
      <c r="K119" s="1246">
        <f>SUM(K117:K118)</f>
        <v>80</v>
      </c>
      <c r="L119" s="1260">
        <f>SUM(L117:L118)</f>
        <v>80</v>
      </c>
      <c r="M119" s="1260"/>
      <c r="N119" s="1312"/>
      <c r="O119" s="1246">
        <f t="shared" ref="O119" si="26">P119+R119</f>
        <v>270</v>
      </c>
      <c r="P119" s="1260">
        <f>SUM(P116:P118)</f>
        <v>270</v>
      </c>
      <c r="Q119" s="1260"/>
      <c r="R119" s="1313"/>
      <c r="S119" s="1246">
        <f t="shared" ref="S119:S126" si="27">T119+V119</f>
        <v>0</v>
      </c>
      <c r="T119" s="1260">
        <f>SUM(T116)</f>
        <v>0</v>
      </c>
      <c r="U119" s="1260"/>
      <c r="V119" s="1312"/>
      <c r="W119" s="382">
        <f>SUM(W117:W118)</f>
        <v>110</v>
      </c>
      <c r="X119" s="382">
        <f>SUM(X117:X118)</f>
        <v>110</v>
      </c>
      <c r="Y119" s="2085"/>
      <c r="Z119" s="2112"/>
      <c r="AA119" s="2114"/>
      <c r="AB119" s="2116"/>
    </row>
    <row r="120" spans="1:28" s="1187" customFormat="1" ht="16.5" customHeight="1" x14ac:dyDescent="0.25">
      <c r="A120" s="3475" t="s">
        <v>13</v>
      </c>
      <c r="B120" s="3476" t="s">
        <v>19</v>
      </c>
      <c r="C120" s="2196" t="s">
        <v>28</v>
      </c>
      <c r="D120" s="1314"/>
      <c r="E120" s="3365" t="s">
        <v>34</v>
      </c>
      <c r="F120" s="1315"/>
      <c r="G120" s="2202">
        <v>10</v>
      </c>
      <c r="H120" s="1316" t="s">
        <v>35</v>
      </c>
      <c r="I120" s="3486" t="s">
        <v>158</v>
      </c>
      <c r="J120" s="1317" t="s">
        <v>27</v>
      </c>
      <c r="K120" s="944">
        <f t="shared" ref="K120:K125" si="28">L120+N120</f>
        <v>100</v>
      </c>
      <c r="L120" s="309">
        <v>70</v>
      </c>
      <c r="M120" s="309"/>
      <c r="N120" s="1067">
        <v>30</v>
      </c>
      <c r="O120" s="1479">
        <f>+P120+R120</f>
        <v>100</v>
      </c>
      <c r="P120" s="1480">
        <v>70</v>
      </c>
      <c r="Q120" s="1480"/>
      <c r="R120" s="1481">
        <v>30</v>
      </c>
      <c r="S120" s="350">
        <f t="shared" si="27"/>
        <v>0</v>
      </c>
      <c r="T120" s="351">
        <v>0</v>
      </c>
      <c r="U120" s="351"/>
      <c r="V120" s="388">
        <v>0</v>
      </c>
      <c r="W120" s="1318">
        <v>100</v>
      </c>
      <c r="X120" s="1318">
        <v>100</v>
      </c>
      <c r="Y120" s="3489" t="s">
        <v>332</v>
      </c>
      <c r="Z120" s="3300">
        <v>6</v>
      </c>
      <c r="AA120" s="3302">
        <v>6</v>
      </c>
      <c r="AB120" s="3304">
        <v>6</v>
      </c>
    </row>
    <row r="121" spans="1:28" s="1187" customFormat="1" ht="16.5" customHeight="1" x14ac:dyDescent="0.25">
      <c r="A121" s="3455"/>
      <c r="B121" s="3457"/>
      <c r="C121" s="2197"/>
      <c r="D121" s="1319"/>
      <c r="E121" s="3366"/>
      <c r="F121" s="1320"/>
      <c r="G121" s="1321"/>
      <c r="H121" s="1322"/>
      <c r="I121" s="3487"/>
      <c r="J121" s="1296" t="s">
        <v>21</v>
      </c>
      <c r="K121" s="966">
        <f t="shared" si="28"/>
        <v>400</v>
      </c>
      <c r="L121" s="328">
        <v>280</v>
      </c>
      <c r="M121" s="328"/>
      <c r="N121" s="526">
        <v>120</v>
      </c>
      <c r="O121" s="1482">
        <f>+P121+R121</f>
        <v>151.19999999999999</v>
      </c>
      <c r="P121" s="1096">
        <v>79.2</v>
      </c>
      <c r="Q121" s="1096"/>
      <c r="R121" s="1483">
        <v>72</v>
      </c>
      <c r="S121" s="357">
        <f t="shared" si="27"/>
        <v>0</v>
      </c>
      <c r="T121" s="358">
        <v>0</v>
      </c>
      <c r="U121" s="358"/>
      <c r="V121" s="359">
        <v>0</v>
      </c>
      <c r="W121" s="1323">
        <v>151.19999999999999</v>
      </c>
      <c r="X121" s="1323">
        <v>151.19999999999999</v>
      </c>
      <c r="Y121" s="3369"/>
      <c r="Z121" s="3301"/>
      <c r="AA121" s="3303"/>
      <c r="AB121" s="3305"/>
    </row>
    <row r="122" spans="1:28" s="1187" customFormat="1" ht="16.5" customHeight="1" thickBot="1" x14ac:dyDescent="0.3">
      <c r="A122" s="2193"/>
      <c r="B122" s="2195"/>
      <c r="C122" s="2197"/>
      <c r="D122" s="1319"/>
      <c r="E122" s="3367"/>
      <c r="F122" s="1320"/>
      <c r="G122" s="1321"/>
      <c r="H122" s="1322"/>
      <c r="I122" s="3488"/>
      <c r="J122" s="1233" t="s">
        <v>18</v>
      </c>
      <c r="K122" s="1246">
        <f t="shared" si="28"/>
        <v>500</v>
      </c>
      <c r="L122" s="1260">
        <f>SUM(L120:L121)</f>
        <v>350</v>
      </c>
      <c r="M122" s="1260"/>
      <c r="N122" s="1312">
        <f>SUM(N120:N121)</f>
        <v>150</v>
      </c>
      <c r="O122" s="1246">
        <f>P122+R122</f>
        <v>251.2</v>
      </c>
      <c r="P122" s="1260">
        <f>SUM(P120:P121)</f>
        <v>149.19999999999999</v>
      </c>
      <c r="Q122" s="1260"/>
      <c r="R122" s="1313">
        <f>SUM(R120:R121)</f>
        <v>102</v>
      </c>
      <c r="S122" s="1246">
        <f t="shared" si="27"/>
        <v>0</v>
      </c>
      <c r="T122" s="1260">
        <f>SUM(T120:T121)</f>
        <v>0</v>
      </c>
      <c r="U122" s="1260"/>
      <c r="V122" s="1312">
        <f>SUM(V120:V121)</f>
        <v>0</v>
      </c>
      <c r="W122" s="382">
        <f>SUM(W120:W121)</f>
        <v>251.2</v>
      </c>
      <c r="X122" s="382">
        <f>SUM(X120:X121)</f>
        <v>251.2</v>
      </c>
      <c r="Y122" s="1781"/>
      <c r="Z122" s="228"/>
      <c r="AA122" s="229"/>
      <c r="AB122" s="230"/>
    </row>
    <row r="123" spans="1:28" s="1187" customFormat="1" ht="16.5" customHeight="1" x14ac:dyDescent="0.25">
      <c r="A123" s="3475" t="s">
        <v>13</v>
      </c>
      <c r="B123" s="3476" t="s">
        <v>19</v>
      </c>
      <c r="C123" s="2196" t="s">
        <v>36</v>
      </c>
      <c r="D123" s="1314"/>
      <c r="E123" s="2920" t="s">
        <v>37</v>
      </c>
      <c r="F123" s="1315"/>
      <c r="G123" s="2202">
        <v>10</v>
      </c>
      <c r="H123" s="2049" t="s">
        <v>26</v>
      </c>
      <c r="I123" s="3294" t="s">
        <v>159</v>
      </c>
      <c r="J123" s="1325" t="s">
        <v>27</v>
      </c>
      <c r="K123" s="307">
        <f t="shared" si="28"/>
        <v>69.2</v>
      </c>
      <c r="L123" s="308">
        <v>69.2</v>
      </c>
      <c r="M123" s="308"/>
      <c r="N123" s="1102"/>
      <c r="O123" s="1326">
        <f t="shared" ref="O123:O126" si="29">P123+R123</f>
        <v>74.8</v>
      </c>
      <c r="P123" s="1224">
        <f>72.3+2.5</f>
        <v>74.8</v>
      </c>
      <c r="Q123" s="1113"/>
      <c r="R123" s="521"/>
      <c r="S123" s="354">
        <f t="shared" si="27"/>
        <v>0</v>
      </c>
      <c r="T123" s="355">
        <v>0</v>
      </c>
      <c r="U123" s="355"/>
      <c r="V123" s="390"/>
      <c r="W123" s="1213">
        <v>72.3</v>
      </c>
      <c r="X123" s="1213">
        <v>72.3</v>
      </c>
      <c r="Y123" s="3288" t="s">
        <v>333</v>
      </c>
      <c r="Z123" s="218">
        <v>21</v>
      </c>
      <c r="AA123" s="219">
        <v>21</v>
      </c>
      <c r="AB123" s="221">
        <v>21</v>
      </c>
    </row>
    <row r="124" spans="1:28" s="1187" customFormat="1" ht="16.5" customHeight="1" x14ac:dyDescent="0.2">
      <c r="A124" s="3455"/>
      <c r="B124" s="3457"/>
      <c r="C124" s="2197"/>
      <c r="D124" s="1319"/>
      <c r="E124" s="3296"/>
      <c r="F124" s="1328"/>
      <c r="G124" s="1329"/>
      <c r="H124" s="1330"/>
      <c r="I124" s="3295"/>
      <c r="J124" s="253" t="s">
        <v>21</v>
      </c>
      <c r="K124" s="628">
        <f t="shared" si="28"/>
        <v>692</v>
      </c>
      <c r="L124" s="327">
        <v>692</v>
      </c>
      <c r="M124" s="327"/>
      <c r="N124" s="1024"/>
      <c r="O124" s="1331">
        <f t="shared" si="29"/>
        <v>722.4</v>
      </c>
      <c r="P124" s="1332">
        <v>722.4</v>
      </c>
      <c r="Q124" s="252"/>
      <c r="R124" s="1333"/>
      <c r="S124" s="385">
        <f t="shared" si="27"/>
        <v>0</v>
      </c>
      <c r="T124" s="386">
        <v>0</v>
      </c>
      <c r="U124" s="386"/>
      <c r="V124" s="391"/>
      <c r="W124" s="1161">
        <v>692</v>
      </c>
      <c r="X124" s="1206">
        <v>692</v>
      </c>
      <c r="Y124" s="2933"/>
      <c r="Z124" s="225"/>
      <c r="AA124" s="226"/>
      <c r="AB124" s="227"/>
    </row>
    <row r="125" spans="1:28" s="1187" customFormat="1" ht="16.5" customHeight="1" x14ac:dyDescent="0.2">
      <c r="A125" s="2193"/>
      <c r="B125" s="2195"/>
      <c r="C125" s="2197"/>
      <c r="D125" s="1319"/>
      <c r="E125" s="3296"/>
      <c r="F125" s="1328"/>
      <c r="G125" s="1329"/>
      <c r="H125" s="1330"/>
      <c r="I125" s="3295"/>
      <c r="J125" s="199" t="s">
        <v>21</v>
      </c>
      <c r="K125" s="628">
        <f t="shared" si="28"/>
        <v>38.1</v>
      </c>
      <c r="L125" s="327">
        <v>38.1</v>
      </c>
      <c r="M125" s="327"/>
      <c r="N125" s="1024"/>
      <c r="O125" s="1331">
        <f t="shared" si="29"/>
        <v>36.1</v>
      </c>
      <c r="P125" s="1332">
        <v>36.1</v>
      </c>
      <c r="Q125" s="252"/>
      <c r="R125" s="1333"/>
      <c r="S125" s="385">
        <f t="shared" si="27"/>
        <v>0</v>
      </c>
      <c r="T125" s="386">
        <v>0</v>
      </c>
      <c r="U125" s="386"/>
      <c r="V125" s="391"/>
      <c r="W125" s="1163">
        <v>38.1</v>
      </c>
      <c r="X125" s="1334">
        <v>38.1</v>
      </c>
      <c r="Y125" s="1781"/>
      <c r="Z125" s="225"/>
      <c r="AA125" s="226"/>
      <c r="AB125" s="227"/>
    </row>
    <row r="126" spans="1:28" s="1187" customFormat="1" ht="16.5" customHeight="1" thickBot="1" x14ac:dyDescent="0.25">
      <c r="A126" s="2210"/>
      <c r="B126" s="2211"/>
      <c r="C126" s="1473"/>
      <c r="D126" s="1335"/>
      <c r="E126" s="2823"/>
      <c r="F126" s="1336"/>
      <c r="G126" s="1337"/>
      <c r="H126" s="1338"/>
      <c r="I126" s="3451"/>
      <c r="J126" s="1339" t="s">
        <v>18</v>
      </c>
      <c r="K126" s="1246">
        <f>L126+N126</f>
        <v>799.30000000000007</v>
      </c>
      <c r="L126" s="1260">
        <f>SUM(L123:L125)</f>
        <v>799.30000000000007</v>
      </c>
      <c r="M126" s="1260"/>
      <c r="N126" s="1312"/>
      <c r="O126" s="360">
        <f t="shared" si="29"/>
        <v>833.3</v>
      </c>
      <c r="P126" s="362">
        <f>SUM(P123:P125)</f>
        <v>833.3</v>
      </c>
      <c r="Q126" s="1260"/>
      <c r="R126" s="1313"/>
      <c r="S126" s="1246">
        <f t="shared" si="27"/>
        <v>0</v>
      </c>
      <c r="T126" s="1260">
        <f>SUM(T123:T125)</f>
        <v>0</v>
      </c>
      <c r="U126" s="1260"/>
      <c r="V126" s="1312"/>
      <c r="W126" s="382">
        <f>SUM(W123:W125)</f>
        <v>802.4</v>
      </c>
      <c r="X126" s="433">
        <f>SUM(X123:X125)</f>
        <v>802.4</v>
      </c>
      <c r="Y126" s="249"/>
      <c r="Z126" s="228"/>
      <c r="AA126" s="229"/>
      <c r="AB126" s="230"/>
    </row>
    <row r="127" spans="1:28" s="1187" customFormat="1" ht="16.5" customHeight="1" x14ac:dyDescent="0.25">
      <c r="A127" s="3475" t="s">
        <v>13</v>
      </c>
      <c r="B127" s="3476" t="s">
        <v>19</v>
      </c>
      <c r="C127" s="2196" t="s">
        <v>38</v>
      </c>
      <c r="D127" s="1314"/>
      <c r="E127" s="3483" t="s">
        <v>259</v>
      </c>
      <c r="F127" s="1315"/>
      <c r="G127" s="2202">
        <v>10</v>
      </c>
      <c r="H127" s="1340" t="s">
        <v>71</v>
      </c>
      <c r="I127" s="3294" t="s">
        <v>346</v>
      </c>
      <c r="J127" s="1275" t="s">
        <v>21</v>
      </c>
      <c r="K127" s="1562">
        <f>L127+N127</f>
        <v>496</v>
      </c>
      <c r="L127" s="162">
        <v>196</v>
      </c>
      <c r="M127" s="162"/>
      <c r="N127" s="1563">
        <v>300</v>
      </c>
      <c r="O127" s="1276">
        <v>500</v>
      </c>
      <c r="P127" s="1196">
        <v>200</v>
      </c>
      <c r="Q127" s="1196"/>
      <c r="R127" s="1277">
        <v>300</v>
      </c>
      <c r="S127" s="769">
        <f t="shared" ref="S127" si="30">T127+V127</f>
        <v>0</v>
      </c>
      <c r="T127" s="339">
        <v>0</v>
      </c>
      <c r="U127" s="339"/>
      <c r="V127" s="870">
        <v>0</v>
      </c>
      <c r="W127" s="1198">
        <v>500</v>
      </c>
      <c r="X127" s="1310">
        <v>500</v>
      </c>
      <c r="Y127" s="3288" t="s">
        <v>333</v>
      </c>
      <c r="Z127" s="218"/>
      <c r="AA127" s="219"/>
      <c r="AB127" s="221"/>
    </row>
    <row r="128" spans="1:28" s="1187" customFormat="1" ht="16.5" customHeight="1" x14ac:dyDescent="0.2">
      <c r="A128" s="3455"/>
      <c r="B128" s="3457"/>
      <c r="C128" s="2197"/>
      <c r="D128" s="1319"/>
      <c r="E128" s="3484"/>
      <c r="F128" s="1328"/>
      <c r="G128" s="1329"/>
      <c r="H128" s="1341">
        <v>3</v>
      </c>
      <c r="I128" s="3295"/>
      <c r="J128" s="253"/>
      <c r="K128" s="966"/>
      <c r="L128" s="328"/>
      <c r="M128" s="328"/>
      <c r="N128" s="967"/>
      <c r="O128" s="279"/>
      <c r="P128" s="1211"/>
      <c r="Q128" s="1211"/>
      <c r="R128" s="522"/>
      <c r="S128" s="357"/>
      <c r="T128" s="358"/>
      <c r="U128" s="358"/>
      <c r="V128" s="632"/>
      <c r="W128" s="1213"/>
      <c r="X128" s="1327"/>
      <c r="Y128" s="2933"/>
      <c r="Z128" s="225"/>
      <c r="AA128" s="226"/>
      <c r="AB128" s="227"/>
    </row>
    <row r="129" spans="1:30" s="1187" customFormat="1" ht="16.5" customHeight="1" thickBot="1" x14ac:dyDescent="0.25">
      <c r="A129" s="2193"/>
      <c r="B129" s="2195"/>
      <c r="C129" s="1473"/>
      <c r="D129" s="1335"/>
      <c r="E129" s="3485"/>
      <c r="F129" s="1328"/>
      <c r="G129" s="1337"/>
      <c r="H129" s="1342">
        <v>6</v>
      </c>
      <c r="I129" s="3451"/>
      <c r="J129" s="1339" t="s">
        <v>18</v>
      </c>
      <c r="K129" s="377">
        <f>L129+N129</f>
        <v>496</v>
      </c>
      <c r="L129" s="1260">
        <f>SUM(L127:L128)</f>
        <v>196</v>
      </c>
      <c r="M129" s="1261"/>
      <c r="N129" s="1312">
        <f>N127</f>
        <v>300</v>
      </c>
      <c r="O129" s="377">
        <f>P129+R129</f>
        <v>500</v>
      </c>
      <c r="P129" s="1260">
        <f>SUM(P127:P128)</f>
        <v>200</v>
      </c>
      <c r="Q129" s="1261"/>
      <c r="R129" s="1313">
        <f>SUM(R127:R128)</f>
        <v>300</v>
      </c>
      <c r="S129" s="377">
        <f>T129+V129</f>
        <v>0</v>
      </c>
      <c r="T129" s="1260">
        <f>SUM(T127:T128)</f>
        <v>0</v>
      </c>
      <c r="U129" s="1261"/>
      <c r="V129" s="1312">
        <f>V127</f>
        <v>0</v>
      </c>
      <c r="W129" s="382">
        <f>SUM(W127:W128)</f>
        <v>500</v>
      </c>
      <c r="X129" s="433">
        <f>SUM(X127:X128)</f>
        <v>500</v>
      </c>
      <c r="Y129" s="1781"/>
      <c r="Z129" s="225"/>
      <c r="AA129" s="226"/>
      <c r="AB129" s="227"/>
    </row>
    <row r="130" spans="1:30" s="1187" customFormat="1" ht="19.5" customHeight="1" x14ac:dyDescent="0.25">
      <c r="A130" s="3475" t="s">
        <v>13</v>
      </c>
      <c r="B130" s="3476" t="s">
        <v>19</v>
      </c>
      <c r="C130" s="2196" t="s">
        <v>70</v>
      </c>
      <c r="D130" s="1314"/>
      <c r="E130" s="3477" t="s">
        <v>287</v>
      </c>
      <c r="F130" s="3309"/>
      <c r="G130" s="3348" t="s">
        <v>16</v>
      </c>
      <c r="H130" s="3312" t="s">
        <v>26</v>
      </c>
      <c r="I130" s="3480" t="s">
        <v>159</v>
      </c>
      <c r="J130" s="767" t="s">
        <v>17</v>
      </c>
      <c r="K130" s="944">
        <v>60.8</v>
      </c>
      <c r="L130" s="309">
        <v>60.8</v>
      </c>
      <c r="M130" s="309"/>
      <c r="N130" s="945"/>
      <c r="O130" s="198"/>
      <c r="P130" s="148"/>
      <c r="Q130" s="148"/>
      <c r="R130" s="149"/>
      <c r="S130" s="350">
        <f>T130+V130</f>
        <v>0</v>
      </c>
      <c r="T130" s="351">
        <v>0</v>
      </c>
      <c r="U130" s="351"/>
      <c r="V130" s="352"/>
      <c r="W130" s="97"/>
      <c r="X130" s="98"/>
      <c r="Y130" s="3343" t="s">
        <v>334</v>
      </c>
      <c r="Z130" s="243"/>
      <c r="AA130" s="244"/>
      <c r="AB130" s="245"/>
    </row>
    <row r="131" spans="1:30" s="1187" customFormat="1" ht="19.5" customHeight="1" x14ac:dyDescent="0.25">
      <c r="A131" s="3455"/>
      <c r="B131" s="3457"/>
      <c r="C131" s="2197"/>
      <c r="D131" s="1319"/>
      <c r="E131" s="3478"/>
      <c r="F131" s="3310"/>
      <c r="G131" s="3349"/>
      <c r="H131" s="3313"/>
      <c r="I131" s="3481"/>
      <c r="J131" s="199" t="s">
        <v>41</v>
      </c>
      <c r="K131" s="963">
        <v>484.5</v>
      </c>
      <c r="L131" s="308">
        <v>484.5</v>
      </c>
      <c r="M131" s="308"/>
      <c r="N131" s="979"/>
      <c r="O131" s="963">
        <f>R131+P131</f>
        <v>390.2</v>
      </c>
      <c r="P131" s="308">
        <v>390.2</v>
      </c>
      <c r="Q131" s="308">
        <v>295.89999999999998</v>
      </c>
      <c r="R131" s="156"/>
      <c r="S131" s="489">
        <f>T131+V131</f>
        <v>0</v>
      </c>
      <c r="T131" s="355">
        <v>0</v>
      </c>
      <c r="U131" s="355"/>
      <c r="V131" s="431"/>
      <c r="W131" s="200"/>
      <c r="X131" s="262"/>
      <c r="Y131" s="2919"/>
      <c r="Z131" s="1682">
        <v>50</v>
      </c>
      <c r="AA131" s="2149"/>
      <c r="AB131" s="2145"/>
    </row>
    <row r="132" spans="1:30" s="1187" customFormat="1" ht="63" customHeight="1" x14ac:dyDescent="0.25">
      <c r="A132" s="2193"/>
      <c r="B132" s="2195"/>
      <c r="C132" s="2197"/>
      <c r="D132" s="1319"/>
      <c r="E132" s="3478"/>
      <c r="F132" s="3310"/>
      <c r="G132" s="3349"/>
      <c r="H132" s="3313"/>
      <c r="I132" s="1497"/>
      <c r="J132" s="253" t="s">
        <v>17</v>
      </c>
      <c r="K132" s="963">
        <f>121.7+190.9</f>
        <v>312.60000000000002</v>
      </c>
      <c r="L132" s="326">
        <f>121.7+190.9</f>
        <v>312.60000000000002</v>
      </c>
      <c r="M132" s="308">
        <f>92.9+135.6</f>
        <v>228.5</v>
      </c>
      <c r="N132" s="1093"/>
      <c r="O132" s="1556">
        <f>P132</f>
        <v>347.8</v>
      </c>
      <c r="P132" s="153">
        <v>347.8</v>
      </c>
      <c r="Q132" s="150">
        <v>249.9</v>
      </c>
      <c r="R132" s="154"/>
      <c r="S132" s="489">
        <f t="shared" ref="S132:S133" si="31">T132+V132</f>
        <v>0</v>
      </c>
      <c r="T132" s="343">
        <v>0</v>
      </c>
      <c r="U132" s="355">
        <v>0</v>
      </c>
      <c r="V132" s="432"/>
      <c r="W132" s="200"/>
      <c r="X132" s="1107"/>
      <c r="Y132" s="2184" t="s">
        <v>213</v>
      </c>
      <c r="Z132" s="1111">
        <v>25</v>
      </c>
      <c r="AA132" s="1109"/>
      <c r="AB132" s="2154"/>
      <c r="AD132" s="2256"/>
    </row>
    <row r="133" spans="1:30" s="1187" customFormat="1" ht="46.5" customHeight="1" x14ac:dyDescent="0.25">
      <c r="A133" s="2193"/>
      <c r="B133" s="2195"/>
      <c r="C133" s="2197"/>
      <c r="D133" s="1319"/>
      <c r="E133" s="3478"/>
      <c r="F133" s="3310"/>
      <c r="G133" s="3349"/>
      <c r="H133" s="3313"/>
      <c r="I133" s="1497"/>
      <c r="J133" s="199" t="s">
        <v>17</v>
      </c>
      <c r="K133" s="963">
        <v>243.2</v>
      </c>
      <c r="L133" s="308">
        <v>243.2</v>
      </c>
      <c r="M133" s="308">
        <v>185.7</v>
      </c>
      <c r="N133" s="1094"/>
      <c r="O133" s="1556">
        <f>P133+R133</f>
        <v>327.2</v>
      </c>
      <c r="P133" s="150">
        <v>327.2</v>
      </c>
      <c r="Q133" s="150">
        <v>249.8</v>
      </c>
      <c r="R133" s="156"/>
      <c r="S133" s="489">
        <f t="shared" si="31"/>
        <v>0</v>
      </c>
      <c r="T133" s="355">
        <v>0</v>
      </c>
      <c r="U133" s="355">
        <v>0</v>
      </c>
      <c r="V133" s="356"/>
      <c r="W133" s="200"/>
      <c r="X133" s="262"/>
      <c r="Y133" s="3344" t="s">
        <v>255</v>
      </c>
      <c r="Z133" s="1114">
        <v>25</v>
      </c>
      <c r="AA133" s="1115"/>
      <c r="AB133" s="2145"/>
      <c r="AC133" s="1208"/>
    </row>
    <row r="134" spans="1:30" s="1187" customFormat="1" ht="16.5" customHeight="1" thickBot="1" x14ac:dyDescent="0.3">
      <c r="A134" s="2210"/>
      <c r="B134" s="2211"/>
      <c r="C134" s="1473"/>
      <c r="D134" s="1335"/>
      <c r="E134" s="3479"/>
      <c r="F134" s="3311"/>
      <c r="G134" s="3350"/>
      <c r="H134" s="3314"/>
      <c r="I134" s="1564"/>
      <c r="J134" s="1214" t="s">
        <v>18</v>
      </c>
      <c r="K134" s="383">
        <f>N134+L134</f>
        <v>1101.0999999999999</v>
      </c>
      <c r="L134" s="460">
        <f>SUM(L130:L133)</f>
        <v>1101.0999999999999</v>
      </c>
      <c r="M134" s="460">
        <f>SUM(M130:M133)</f>
        <v>414.2</v>
      </c>
      <c r="N134" s="405"/>
      <c r="O134" s="383">
        <f>P134+R134</f>
        <v>1065.2</v>
      </c>
      <c r="P134" s="460">
        <f>SUM(P130:P133)</f>
        <v>1065.2</v>
      </c>
      <c r="Q134" s="460">
        <f>SUM(Q130:Q133)</f>
        <v>795.59999999999991</v>
      </c>
      <c r="R134" s="405"/>
      <c r="S134" s="360">
        <f>V134+T134</f>
        <v>0</v>
      </c>
      <c r="T134" s="363">
        <f>SUM(T130:T133)</f>
        <v>0</v>
      </c>
      <c r="U134" s="363">
        <f>SUM(U130:U133)</f>
        <v>0</v>
      </c>
      <c r="V134" s="433"/>
      <c r="W134" s="361">
        <f>SUM(W130:W133)</f>
        <v>0</v>
      </c>
      <c r="X134" s="382">
        <f>SUM(X130:X131)</f>
        <v>0</v>
      </c>
      <c r="Y134" s="2810"/>
      <c r="Z134" s="1782"/>
      <c r="AA134" s="1783"/>
      <c r="AB134" s="1784"/>
    </row>
    <row r="135" spans="1:30" s="1187" customFormat="1" ht="27.75" customHeight="1" x14ac:dyDescent="0.25">
      <c r="A135" s="2199" t="s">
        <v>13</v>
      </c>
      <c r="B135" s="2200" t="s">
        <v>19</v>
      </c>
      <c r="C135" s="2196" t="s">
        <v>84</v>
      </c>
      <c r="D135" s="1314"/>
      <c r="E135" s="3365" t="s">
        <v>281</v>
      </c>
      <c r="F135" s="3309"/>
      <c r="G135" s="3348" t="s">
        <v>16</v>
      </c>
      <c r="H135" s="3312" t="s">
        <v>26</v>
      </c>
      <c r="I135" s="3480" t="s">
        <v>173</v>
      </c>
      <c r="J135" s="1484" t="s">
        <v>41</v>
      </c>
      <c r="K135" s="1565">
        <f>L135+N135</f>
        <v>1354.08</v>
      </c>
      <c r="L135" s="1566">
        <f>1094.58+149</f>
        <v>1243.58</v>
      </c>
      <c r="M135" s="959">
        <v>149.01</v>
      </c>
      <c r="N135" s="1567">
        <v>110.5</v>
      </c>
      <c r="O135" s="958">
        <f>P135+R135</f>
        <v>653.79999999999995</v>
      </c>
      <c r="P135" s="959">
        <f>547.3+39.2</f>
        <v>586.5</v>
      </c>
      <c r="Q135" s="1566">
        <v>39.200000000000003</v>
      </c>
      <c r="R135" s="959">
        <v>67.3</v>
      </c>
      <c r="S135" s="350">
        <f>T135+V135</f>
        <v>0</v>
      </c>
      <c r="T135" s="351">
        <v>0</v>
      </c>
      <c r="U135" s="351">
        <v>0</v>
      </c>
      <c r="V135" s="352">
        <v>0</v>
      </c>
      <c r="W135" s="98"/>
      <c r="X135" s="497"/>
      <c r="Y135" s="1552" t="s">
        <v>215</v>
      </c>
      <c r="Z135" s="494">
        <v>948.45</v>
      </c>
      <c r="AA135" s="495"/>
      <c r="AB135" s="496"/>
    </row>
    <row r="136" spans="1:30" s="1187" customFormat="1" ht="16.5" customHeight="1" x14ac:dyDescent="0.25">
      <c r="A136" s="2193"/>
      <c r="B136" s="2195"/>
      <c r="C136" s="2197"/>
      <c r="D136" s="1319"/>
      <c r="E136" s="3366"/>
      <c r="F136" s="3310"/>
      <c r="G136" s="3349"/>
      <c r="H136" s="3313"/>
      <c r="I136" s="3481"/>
      <c r="J136" s="1118" t="s">
        <v>21</v>
      </c>
      <c r="K136" s="1095">
        <f>L136+N136</f>
        <v>238.96</v>
      </c>
      <c r="L136" s="1096">
        <f>193.16+26.3</f>
        <v>219.46</v>
      </c>
      <c r="M136" s="1100">
        <v>26.3</v>
      </c>
      <c r="N136" s="1483">
        <v>19.5</v>
      </c>
      <c r="O136" s="1568">
        <f>P136+R136</f>
        <v>115.4</v>
      </c>
      <c r="P136" s="1100">
        <f>96.6+6.9</f>
        <v>103.5</v>
      </c>
      <c r="Q136" s="1096">
        <v>6.9</v>
      </c>
      <c r="R136" s="1100">
        <v>11.9</v>
      </c>
      <c r="S136" s="357">
        <f>T136+V136</f>
        <v>0</v>
      </c>
      <c r="T136" s="396">
        <v>0</v>
      </c>
      <c r="U136" s="396">
        <v>0</v>
      </c>
      <c r="V136" s="431">
        <v>0</v>
      </c>
      <c r="W136" s="66"/>
      <c r="X136" s="492"/>
      <c r="Y136" s="3342" t="s">
        <v>335</v>
      </c>
      <c r="Z136" s="2912">
        <v>30</v>
      </c>
      <c r="AA136" s="2914">
        <v>30</v>
      </c>
      <c r="AB136" s="2916">
        <v>30</v>
      </c>
    </row>
    <row r="137" spans="1:30" s="1187" customFormat="1" ht="16.5" customHeight="1" thickBot="1" x14ac:dyDescent="0.3">
      <c r="A137" s="2210"/>
      <c r="B137" s="2211"/>
      <c r="C137" s="1473"/>
      <c r="D137" s="1335"/>
      <c r="E137" s="3367"/>
      <c r="F137" s="3311"/>
      <c r="G137" s="3350"/>
      <c r="H137" s="3314"/>
      <c r="I137" s="3482"/>
      <c r="J137" s="1539" t="s">
        <v>18</v>
      </c>
      <c r="K137" s="1569">
        <f>SUM(K135:K136)</f>
        <v>1593.04</v>
      </c>
      <c r="L137" s="1260">
        <f t="shared" ref="L137:N137" si="32">SUM(L135:L136)</f>
        <v>1463.04</v>
      </c>
      <c r="M137" s="1540">
        <f t="shared" si="32"/>
        <v>175.31</v>
      </c>
      <c r="N137" s="1312">
        <f t="shared" si="32"/>
        <v>130</v>
      </c>
      <c r="O137" s="1246">
        <f>SUM(O135:O136)</f>
        <v>769.19999999999993</v>
      </c>
      <c r="P137" s="1540">
        <f t="shared" ref="P137:R137" si="33">SUM(P135:P136)</f>
        <v>690</v>
      </c>
      <c r="Q137" s="1260">
        <f t="shared" si="33"/>
        <v>46.1</v>
      </c>
      <c r="R137" s="1540">
        <f t="shared" si="33"/>
        <v>79.2</v>
      </c>
      <c r="S137" s="360">
        <f>V137+T137</f>
        <v>0</v>
      </c>
      <c r="T137" s="363">
        <f>SUM(T135:T136)</f>
        <v>0</v>
      </c>
      <c r="U137" s="363">
        <f>SUM(U135:U136)</f>
        <v>0</v>
      </c>
      <c r="V137" s="433">
        <f>SUM(V135:V136)</f>
        <v>0</v>
      </c>
      <c r="W137" s="382"/>
      <c r="X137" s="367"/>
      <c r="Y137" s="2927"/>
      <c r="Z137" s="2913"/>
      <c r="AA137" s="2915"/>
      <c r="AB137" s="2917"/>
    </row>
    <row r="138" spans="1:30" s="1187" customFormat="1" ht="16.5" customHeight="1" x14ac:dyDescent="0.25">
      <c r="A138" s="2199" t="s">
        <v>13</v>
      </c>
      <c r="B138" s="2200" t="s">
        <v>19</v>
      </c>
      <c r="C138" s="2196" t="s">
        <v>16</v>
      </c>
      <c r="D138" s="1314"/>
      <c r="E138" s="3306" t="s">
        <v>294</v>
      </c>
      <c r="F138" s="3309"/>
      <c r="G138" s="3348" t="s">
        <v>16</v>
      </c>
      <c r="H138" s="3312" t="s">
        <v>26</v>
      </c>
      <c r="I138" s="3315" t="s">
        <v>159</v>
      </c>
      <c r="J138" s="767" t="s">
        <v>27</v>
      </c>
      <c r="K138" s="1707"/>
      <c r="L138" s="1707"/>
      <c r="M138" s="1707"/>
      <c r="N138" s="1708"/>
      <c r="O138" s="957">
        <f>P138+R138</f>
        <v>40</v>
      </c>
      <c r="P138" s="1566">
        <v>40</v>
      </c>
      <c r="Q138" s="1707"/>
      <c r="R138" s="1563"/>
      <c r="S138" s="690"/>
      <c r="T138" s="339"/>
      <c r="U138" s="339"/>
      <c r="V138" s="691"/>
      <c r="W138" s="692"/>
      <c r="X138" s="693"/>
      <c r="Y138" s="1704" t="s">
        <v>295</v>
      </c>
      <c r="Z138" s="1181">
        <v>1</v>
      </c>
      <c r="AA138" s="1570"/>
      <c r="AB138" s="1571"/>
    </row>
    <row r="139" spans="1:30" s="1187" customFormat="1" ht="30" customHeight="1" x14ac:dyDescent="0.25">
      <c r="A139" s="2193"/>
      <c r="B139" s="2195"/>
      <c r="C139" s="2197"/>
      <c r="D139" s="1319"/>
      <c r="E139" s="3307"/>
      <c r="F139" s="3310"/>
      <c r="G139" s="3349"/>
      <c r="H139" s="3313"/>
      <c r="I139" s="3316"/>
      <c r="J139" s="253"/>
      <c r="K139" s="158"/>
      <c r="L139" s="261"/>
      <c r="M139" s="261"/>
      <c r="N139" s="1709"/>
      <c r="O139" s="969"/>
      <c r="P139" s="970"/>
      <c r="Q139" s="261"/>
      <c r="R139" s="159"/>
      <c r="S139" s="396"/>
      <c r="T139" s="358"/>
      <c r="U139" s="358"/>
      <c r="V139" s="632"/>
      <c r="W139" s="66"/>
      <c r="X139" s="62"/>
      <c r="Y139" s="1705" t="s">
        <v>296</v>
      </c>
      <c r="Z139" s="1706">
        <v>1</v>
      </c>
      <c r="AA139" s="2231"/>
      <c r="AB139" s="2232"/>
    </row>
    <row r="140" spans="1:30" s="1187" customFormat="1" ht="30" customHeight="1" thickBot="1" x14ac:dyDescent="0.3">
      <c r="A140" s="2193"/>
      <c r="B140" s="2195"/>
      <c r="C140" s="1473"/>
      <c r="D140" s="1335"/>
      <c r="E140" s="3308"/>
      <c r="F140" s="3311"/>
      <c r="G140" s="3350"/>
      <c r="H140" s="3314"/>
      <c r="I140" s="3317"/>
      <c r="J140" s="1214" t="s">
        <v>18</v>
      </c>
      <c r="K140" s="361">
        <f t="shared" ref="K140:R140" si="34">K138</f>
        <v>0</v>
      </c>
      <c r="L140" s="362">
        <f t="shared" si="34"/>
        <v>0</v>
      </c>
      <c r="M140" s="361">
        <f t="shared" si="34"/>
        <v>0</v>
      </c>
      <c r="N140" s="472">
        <f t="shared" si="34"/>
        <v>0</v>
      </c>
      <c r="O140" s="360">
        <f t="shared" si="34"/>
        <v>40</v>
      </c>
      <c r="P140" s="361">
        <f t="shared" si="34"/>
        <v>40</v>
      </c>
      <c r="Q140" s="362">
        <f t="shared" si="34"/>
        <v>0</v>
      </c>
      <c r="R140" s="433">
        <f t="shared" si="34"/>
        <v>0</v>
      </c>
      <c r="S140" s="363" t="e">
        <f>S138+#REF!+#REF!</f>
        <v>#REF!</v>
      </c>
      <c r="T140" s="363" t="e">
        <f>T138+#REF!+#REF!</f>
        <v>#REF!</v>
      </c>
      <c r="U140" s="363" t="e">
        <f>U138+#REF!+#REF!</f>
        <v>#REF!</v>
      </c>
      <c r="V140" s="361" t="e">
        <f>V138+#REF!+#REF!</f>
        <v>#REF!</v>
      </c>
      <c r="W140" s="382"/>
      <c r="X140" s="361"/>
      <c r="Y140" s="2157" t="s">
        <v>297</v>
      </c>
      <c r="Z140" s="2159">
        <v>1</v>
      </c>
      <c r="AA140" s="2153"/>
      <c r="AB140" s="2155"/>
    </row>
    <row r="141" spans="1:30" s="1187" customFormat="1" ht="16.5" customHeight="1" thickBot="1" x14ac:dyDescent="0.3">
      <c r="A141" s="1190" t="s">
        <v>13</v>
      </c>
      <c r="B141" s="1191" t="s">
        <v>19</v>
      </c>
      <c r="C141" s="3358" t="s">
        <v>30</v>
      </c>
      <c r="D141" s="3358"/>
      <c r="E141" s="3358"/>
      <c r="F141" s="3358"/>
      <c r="G141" s="3358"/>
      <c r="H141" s="3358"/>
      <c r="I141" s="3358"/>
      <c r="J141" s="3359"/>
      <c r="K141" s="100">
        <f>+K134+K129+K126+K122+K119+K115+K107+K105+K137</f>
        <v>20614.940000000002</v>
      </c>
      <c r="L141" s="100">
        <f t="shared" ref="L141:N141" si="35">+L134+L129+L126+L122+L119+L115+L107+L105+L137</f>
        <v>19785.739999999998</v>
      </c>
      <c r="M141" s="100">
        <f t="shared" si="35"/>
        <v>7491.6100000000006</v>
      </c>
      <c r="N141" s="100">
        <f t="shared" si="35"/>
        <v>829.2</v>
      </c>
      <c r="O141" s="100">
        <f>+O134+O129+O126+O122+O119+O115+O107+O105+O137+O140</f>
        <v>19410.400000000005</v>
      </c>
      <c r="P141" s="100">
        <f t="shared" ref="P141:X141" si="36">+P134+P129+P126+P122+P119+P115+P107+P105+P137+P140</f>
        <v>18825.700000000004</v>
      </c>
      <c r="Q141" s="100">
        <f t="shared" si="36"/>
        <v>8364.5</v>
      </c>
      <c r="R141" s="100">
        <f t="shared" si="36"/>
        <v>584.70000000000005</v>
      </c>
      <c r="S141" s="100" t="e">
        <f t="shared" si="36"/>
        <v>#REF!</v>
      </c>
      <c r="T141" s="100" t="e">
        <f t="shared" si="36"/>
        <v>#REF!</v>
      </c>
      <c r="U141" s="100" t="e">
        <f t="shared" si="36"/>
        <v>#REF!</v>
      </c>
      <c r="V141" s="100" t="e">
        <f t="shared" si="36"/>
        <v>#REF!</v>
      </c>
      <c r="W141" s="100">
        <f t="shared" si="36"/>
        <v>17647.699999999997</v>
      </c>
      <c r="X141" s="100">
        <f t="shared" si="36"/>
        <v>17705.400000000001</v>
      </c>
      <c r="Y141" s="3360"/>
      <c r="Z141" s="3361"/>
      <c r="AA141" s="3361"/>
      <c r="AB141" s="3362"/>
    </row>
    <row r="142" spans="1:30" s="1187" customFormat="1" ht="16.5" customHeight="1" thickBot="1" x14ac:dyDescent="0.3">
      <c r="A142" s="1343" t="s">
        <v>13</v>
      </c>
      <c r="B142" s="1191" t="s">
        <v>22</v>
      </c>
      <c r="C142" s="3372" t="s">
        <v>39</v>
      </c>
      <c r="D142" s="3372"/>
      <c r="E142" s="3372"/>
      <c r="F142" s="3372"/>
      <c r="G142" s="3372"/>
      <c r="H142" s="3372"/>
      <c r="I142" s="3372"/>
      <c r="J142" s="3372"/>
      <c r="K142" s="3372"/>
      <c r="L142" s="3372"/>
      <c r="M142" s="3372"/>
      <c r="N142" s="3372"/>
      <c r="O142" s="3372"/>
      <c r="P142" s="3372"/>
      <c r="Q142" s="3372"/>
      <c r="R142" s="3372"/>
      <c r="S142" s="3372"/>
      <c r="T142" s="3372"/>
      <c r="U142" s="3372"/>
      <c r="V142" s="3372"/>
      <c r="W142" s="3372"/>
      <c r="X142" s="3372"/>
      <c r="Y142" s="3372"/>
      <c r="Z142" s="3372"/>
      <c r="AA142" s="3372"/>
      <c r="AB142" s="3373"/>
    </row>
    <row r="143" spans="1:30" s="240" customFormat="1" ht="39.75" customHeight="1" x14ac:dyDescent="0.25">
      <c r="A143" s="2128" t="s">
        <v>13</v>
      </c>
      <c r="B143" s="2194" t="s">
        <v>22</v>
      </c>
      <c r="C143" s="2129" t="s">
        <v>13</v>
      </c>
      <c r="D143" s="1661"/>
      <c r="E143" s="1662" t="s">
        <v>40</v>
      </c>
      <c r="F143" s="1663"/>
      <c r="G143" s="1664"/>
      <c r="H143" s="1665"/>
      <c r="I143" s="1666"/>
      <c r="J143" s="1667"/>
      <c r="K143" s="1668"/>
      <c r="L143" s="1088"/>
      <c r="M143" s="1088"/>
      <c r="N143" s="1669"/>
      <c r="O143" s="1670"/>
      <c r="P143" s="1671"/>
      <c r="Q143" s="1671"/>
      <c r="R143" s="1672"/>
      <c r="S143" s="1673"/>
      <c r="T143" s="464"/>
      <c r="U143" s="464"/>
      <c r="V143" s="1674"/>
      <c r="W143" s="1675"/>
      <c r="X143" s="1129"/>
      <c r="Y143" s="1676"/>
      <c r="Z143" s="1677"/>
      <c r="AA143" s="1678"/>
      <c r="AB143" s="1679"/>
    </row>
    <row r="144" spans="1:30" s="240" customFormat="1" ht="20.25" customHeight="1" x14ac:dyDescent="0.25">
      <c r="A144" s="1352"/>
      <c r="B144" s="2195"/>
      <c r="C144" s="1353"/>
      <c r="D144" s="2208" t="s">
        <v>13</v>
      </c>
      <c r="E144" s="3340" t="s">
        <v>283</v>
      </c>
      <c r="F144" s="1361" t="s">
        <v>94</v>
      </c>
      <c r="G144" s="1255" t="s">
        <v>16</v>
      </c>
      <c r="H144" s="2243">
        <v>5</v>
      </c>
      <c r="I144" s="3326" t="s">
        <v>160</v>
      </c>
      <c r="J144" s="1388" t="s">
        <v>52</v>
      </c>
      <c r="K144" s="1506">
        <f t="shared" ref="K144:K146" si="37">L144+N144</f>
        <v>274.5</v>
      </c>
      <c r="L144" s="1031"/>
      <c r="M144" s="1031"/>
      <c r="N144" s="1063">
        <v>274.5</v>
      </c>
      <c r="O144" s="1506">
        <f t="shared" ref="O144:O151" si="38">P144+R144</f>
        <v>62</v>
      </c>
      <c r="P144" s="1031"/>
      <c r="Q144" s="1031"/>
      <c r="R144" s="1032">
        <v>62</v>
      </c>
      <c r="S144" s="1660">
        <f t="shared" ref="S144:S151" si="39">T144+V144</f>
        <v>0</v>
      </c>
      <c r="T144" s="684"/>
      <c r="U144" s="684"/>
      <c r="V144" s="1392">
        <v>0</v>
      </c>
      <c r="W144" s="72"/>
      <c r="X144" s="335"/>
      <c r="Y144" s="2850" t="s">
        <v>337</v>
      </c>
      <c r="Z144" s="235"/>
      <c r="AA144" s="2143"/>
      <c r="AB144" s="2241"/>
    </row>
    <row r="145" spans="1:30" s="240" customFormat="1" ht="20.25" customHeight="1" x14ac:dyDescent="0.25">
      <c r="A145" s="1352"/>
      <c r="B145" s="2195"/>
      <c r="C145" s="1353"/>
      <c r="D145" s="2208"/>
      <c r="E145" s="3340"/>
      <c r="F145" s="1361"/>
      <c r="G145" s="1255"/>
      <c r="H145" s="2243"/>
      <c r="I145" s="3326"/>
      <c r="J145" s="604" t="s">
        <v>27</v>
      </c>
      <c r="K145" s="1356">
        <f t="shared" si="37"/>
        <v>2</v>
      </c>
      <c r="L145" s="1092">
        <v>2</v>
      </c>
      <c r="M145" s="1092">
        <v>1.4</v>
      </c>
      <c r="N145" s="1357"/>
      <c r="O145" s="1356">
        <f t="shared" si="38"/>
        <v>62.6</v>
      </c>
      <c r="P145" s="1091">
        <v>14.4</v>
      </c>
      <c r="Q145" s="1091">
        <v>0.7</v>
      </c>
      <c r="R145" s="1092">
        <v>48.2</v>
      </c>
      <c r="S145" s="1359">
        <f t="shared" si="39"/>
        <v>0</v>
      </c>
      <c r="T145" s="463">
        <v>0</v>
      </c>
      <c r="U145" s="463">
        <v>0</v>
      </c>
      <c r="V145" s="1360"/>
      <c r="W145" s="66"/>
      <c r="X145" s="62"/>
      <c r="Y145" s="2850"/>
      <c r="Z145" s="235"/>
      <c r="AA145" s="2143"/>
      <c r="AB145" s="2241"/>
    </row>
    <row r="146" spans="1:30" s="240" customFormat="1" ht="20.25" customHeight="1" x14ac:dyDescent="0.25">
      <c r="A146" s="1352"/>
      <c r="B146" s="2195"/>
      <c r="C146" s="1353"/>
      <c r="D146" s="2208"/>
      <c r="E146" s="3340"/>
      <c r="F146" s="1361"/>
      <c r="G146" s="1255"/>
      <c r="H146" s="2243"/>
      <c r="I146" s="1362"/>
      <c r="J146" s="1363" t="s">
        <v>41</v>
      </c>
      <c r="K146" s="1364">
        <f t="shared" si="37"/>
        <v>1601.7</v>
      </c>
      <c r="L146" s="1034">
        <v>9.8000000000000007</v>
      </c>
      <c r="M146" s="1034">
        <v>7.5</v>
      </c>
      <c r="N146" s="1064">
        <v>1591.9</v>
      </c>
      <c r="O146" s="1364">
        <f t="shared" si="38"/>
        <v>434.9</v>
      </c>
      <c r="P146" s="1034">
        <v>80.5</v>
      </c>
      <c r="Q146" s="1034">
        <v>3.7</v>
      </c>
      <c r="R146" s="1034">
        <v>354.4</v>
      </c>
      <c r="S146" s="1367">
        <f t="shared" si="39"/>
        <v>0</v>
      </c>
      <c r="T146" s="687">
        <v>0</v>
      </c>
      <c r="U146" s="687">
        <v>0</v>
      </c>
      <c r="V146" s="1368">
        <v>0</v>
      </c>
      <c r="W146" s="1120"/>
      <c r="X146" s="57"/>
      <c r="Y146" s="2850"/>
      <c r="Z146" s="235"/>
      <c r="AA146" s="2143"/>
      <c r="AB146" s="2241"/>
    </row>
    <row r="147" spans="1:30" s="240" customFormat="1" ht="16.5" customHeight="1" x14ac:dyDescent="0.25">
      <c r="A147" s="1352"/>
      <c r="B147" s="2195"/>
      <c r="C147" s="1353"/>
      <c r="D147" s="2209"/>
      <c r="E147" s="3341"/>
      <c r="F147" s="1369"/>
      <c r="G147" s="1370"/>
      <c r="H147" s="1371"/>
      <c r="I147" s="1399"/>
      <c r="J147" s="1637" t="s">
        <v>18</v>
      </c>
      <c r="K147" s="1493">
        <f>L147+N147</f>
        <v>1878.2</v>
      </c>
      <c r="L147" s="1494">
        <f>SUM(L144:L146)</f>
        <v>11.8</v>
      </c>
      <c r="M147" s="1494">
        <f>SUM(M144:M146)</f>
        <v>8.9</v>
      </c>
      <c r="N147" s="1495">
        <f>SUM(N144:N146)</f>
        <v>1866.4</v>
      </c>
      <c r="O147" s="1493">
        <f>P147+R147</f>
        <v>559.5</v>
      </c>
      <c r="P147" s="1494">
        <f>SUM(P144:P146)</f>
        <v>94.9</v>
      </c>
      <c r="Q147" s="1494">
        <f>SUM(Q144:Q146)</f>
        <v>4.4000000000000004</v>
      </c>
      <c r="R147" s="1494">
        <f>SUM(R144:R146)</f>
        <v>464.59999999999997</v>
      </c>
      <c r="S147" s="1493">
        <f t="shared" si="39"/>
        <v>0</v>
      </c>
      <c r="T147" s="1494">
        <f>SUM(T144:T146)</f>
        <v>0</v>
      </c>
      <c r="U147" s="1494">
        <f>SUM(U144:U146)</f>
        <v>0</v>
      </c>
      <c r="V147" s="1495">
        <f>SUM(V144:V146)</f>
        <v>0</v>
      </c>
      <c r="W147" s="1575"/>
      <c r="X147" s="1576"/>
      <c r="Y147" s="2851"/>
      <c r="Z147" s="237">
        <v>100</v>
      </c>
      <c r="AA147" s="238"/>
      <c r="AB147" s="239"/>
    </row>
    <row r="148" spans="1:30" s="240" customFormat="1" ht="20.25" customHeight="1" x14ac:dyDescent="0.25">
      <c r="A148" s="1352"/>
      <c r="B148" s="2195"/>
      <c r="C148" s="1353"/>
      <c r="D148" s="2208" t="s">
        <v>19</v>
      </c>
      <c r="E148" s="3340" t="s">
        <v>284</v>
      </c>
      <c r="F148" s="1385" t="s">
        <v>94</v>
      </c>
      <c r="G148" s="1242" t="s">
        <v>16</v>
      </c>
      <c r="H148" s="1243">
        <v>5</v>
      </c>
      <c r="I148" s="1485" t="s">
        <v>160</v>
      </c>
      <c r="J148" s="1363" t="s">
        <v>52</v>
      </c>
      <c r="K148" s="1654">
        <f>L148+N148</f>
        <v>189</v>
      </c>
      <c r="L148" s="1034"/>
      <c r="M148" s="1034"/>
      <c r="N148" s="1064">
        <v>189</v>
      </c>
      <c r="O148" s="1654">
        <f t="shared" si="38"/>
        <v>75.400000000000006</v>
      </c>
      <c r="P148" s="1034"/>
      <c r="Q148" s="1034"/>
      <c r="R148" s="1034">
        <v>75.400000000000006</v>
      </c>
      <c r="S148" s="1655">
        <f>T148+V148</f>
        <v>0</v>
      </c>
      <c r="T148" s="687"/>
      <c r="U148" s="687"/>
      <c r="V148" s="1368">
        <v>0</v>
      </c>
      <c r="W148" s="72"/>
      <c r="X148" s="335"/>
      <c r="Y148" s="2850" t="s">
        <v>338</v>
      </c>
      <c r="Z148" s="235"/>
      <c r="AA148" s="2143"/>
      <c r="AB148" s="2241"/>
    </row>
    <row r="149" spans="1:30" s="240" customFormat="1" ht="20.25" customHeight="1" x14ac:dyDescent="0.25">
      <c r="A149" s="1352"/>
      <c r="B149" s="2195"/>
      <c r="C149" s="1353"/>
      <c r="D149" s="2208"/>
      <c r="E149" s="3340"/>
      <c r="F149" s="1385"/>
      <c r="G149" s="1242"/>
      <c r="H149" s="1243"/>
      <c r="I149" s="1485"/>
      <c r="J149" s="604" t="s">
        <v>27</v>
      </c>
      <c r="K149" s="1386">
        <f t="shared" ref="K149:K154" si="40">L149+N149</f>
        <v>1.9</v>
      </c>
      <c r="L149" s="1092">
        <v>1.9</v>
      </c>
      <c r="M149" s="1092">
        <v>1.3</v>
      </c>
      <c r="N149" s="1357"/>
      <c r="O149" s="1386">
        <f t="shared" si="38"/>
        <v>58.7</v>
      </c>
      <c r="P149" s="1092">
        <v>14</v>
      </c>
      <c r="Q149" s="1092">
        <v>0.7</v>
      </c>
      <c r="R149" s="1092">
        <v>44.7</v>
      </c>
      <c r="S149" s="1387">
        <f t="shared" si="39"/>
        <v>0</v>
      </c>
      <c r="T149" s="463">
        <v>0</v>
      </c>
      <c r="U149" s="463">
        <v>0</v>
      </c>
      <c r="V149" s="1360"/>
      <c r="W149" s="66"/>
      <c r="X149" s="62"/>
      <c r="Y149" s="2850"/>
      <c r="Z149" s="235"/>
      <c r="AA149" s="2143"/>
      <c r="AB149" s="2241"/>
    </row>
    <row r="150" spans="1:30" s="240" customFormat="1" ht="20.25" customHeight="1" x14ac:dyDescent="0.25">
      <c r="A150" s="1352"/>
      <c r="B150" s="2195"/>
      <c r="C150" s="1353"/>
      <c r="D150" s="2208"/>
      <c r="E150" s="3340"/>
      <c r="F150" s="1385"/>
      <c r="G150" s="1242"/>
      <c r="H150" s="1243"/>
      <c r="I150" s="1485"/>
      <c r="J150" s="1388" t="s">
        <v>41</v>
      </c>
      <c r="K150" s="1389">
        <f t="shared" si="40"/>
        <v>1068.8</v>
      </c>
      <c r="L150" s="1032">
        <v>9.3000000000000007</v>
      </c>
      <c r="M150" s="1032">
        <v>7.1</v>
      </c>
      <c r="N150" s="1063">
        <v>1059.5</v>
      </c>
      <c r="O150" s="1389">
        <f t="shared" si="38"/>
        <v>540.70000000000005</v>
      </c>
      <c r="P150" s="1032">
        <v>77.7</v>
      </c>
      <c r="Q150" s="1032">
        <v>3.7</v>
      </c>
      <c r="R150" s="1032">
        <v>463</v>
      </c>
      <c r="S150" s="1391">
        <f t="shared" si="39"/>
        <v>0</v>
      </c>
      <c r="T150" s="685">
        <v>0</v>
      </c>
      <c r="U150" s="685">
        <v>0</v>
      </c>
      <c r="V150" s="1392">
        <v>0</v>
      </c>
      <c r="W150" s="1120"/>
      <c r="X150" s="57"/>
      <c r="Y150" s="2850"/>
      <c r="Z150" s="235"/>
      <c r="AA150" s="2143"/>
      <c r="AB150" s="2241"/>
    </row>
    <row r="151" spans="1:30" s="240" customFormat="1" ht="16.5" customHeight="1" x14ac:dyDescent="0.25">
      <c r="A151" s="1352"/>
      <c r="B151" s="2195"/>
      <c r="C151" s="1353"/>
      <c r="D151" s="2208"/>
      <c r="E151" s="3340"/>
      <c r="F151" s="1385"/>
      <c r="G151" s="1242"/>
      <c r="H151" s="1243"/>
      <c r="I151" s="1485"/>
      <c r="J151" s="1393" t="s">
        <v>18</v>
      </c>
      <c r="K151" s="1394">
        <f>L151+N151</f>
        <v>1259.7</v>
      </c>
      <c r="L151" s="1395">
        <f>SUM(L148:L150)</f>
        <v>11.200000000000001</v>
      </c>
      <c r="M151" s="1395">
        <f>SUM(M148:M150)</f>
        <v>8.4</v>
      </c>
      <c r="N151" s="1396">
        <f>SUM(N148:N150)</f>
        <v>1248.5</v>
      </c>
      <c r="O151" s="1394">
        <f t="shared" si="38"/>
        <v>674.80000000000007</v>
      </c>
      <c r="P151" s="1395">
        <f>SUM(P148:P150)</f>
        <v>91.7</v>
      </c>
      <c r="Q151" s="1395">
        <f>SUM(Q148:Q150)</f>
        <v>4.4000000000000004</v>
      </c>
      <c r="R151" s="1373">
        <f>SUM(R148:R150)</f>
        <v>583.1</v>
      </c>
      <c r="S151" s="1394">
        <f t="shared" si="39"/>
        <v>0</v>
      </c>
      <c r="T151" s="1395">
        <f>SUM(T148:T150)</f>
        <v>0</v>
      </c>
      <c r="U151" s="1395">
        <f>SUM(U148:U150)</f>
        <v>0</v>
      </c>
      <c r="V151" s="1396">
        <f>SUM(V148:V150)</f>
        <v>0</v>
      </c>
      <c r="W151" s="1572"/>
      <c r="X151" s="1573"/>
      <c r="Y151" s="2850"/>
      <c r="Z151" s="235">
        <v>100</v>
      </c>
      <c r="AA151" s="2143"/>
      <c r="AB151" s="2241"/>
    </row>
    <row r="152" spans="1:30" s="240" customFormat="1" ht="16.5" customHeight="1" x14ac:dyDescent="0.25">
      <c r="A152" s="1352"/>
      <c r="B152" s="2195"/>
      <c r="C152" s="1353"/>
      <c r="D152" s="2207" t="s">
        <v>22</v>
      </c>
      <c r="E152" s="3322" t="s">
        <v>285</v>
      </c>
      <c r="F152" s="1375" t="s">
        <v>94</v>
      </c>
      <c r="G152" s="1376" t="s">
        <v>16</v>
      </c>
      <c r="H152" s="1377">
        <v>5</v>
      </c>
      <c r="I152" s="3325" t="s">
        <v>160</v>
      </c>
      <c r="J152" s="1378" t="s">
        <v>52</v>
      </c>
      <c r="K152" s="1304">
        <f t="shared" si="40"/>
        <v>259.89999999999998</v>
      </c>
      <c r="L152" s="1379"/>
      <c r="M152" s="1379"/>
      <c r="N152" s="1380">
        <v>259.89999999999998</v>
      </c>
      <c r="O152" s="1381"/>
      <c r="P152" s="1382"/>
      <c r="Q152" s="1382"/>
      <c r="R152" s="1379"/>
      <c r="S152" s="1305"/>
      <c r="T152" s="1383"/>
      <c r="U152" s="1383"/>
      <c r="V152" s="1384"/>
      <c r="W152" s="1120"/>
      <c r="X152" s="57"/>
      <c r="Y152" s="1697" t="s">
        <v>324</v>
      </c>
      <c r="Z152" s="233"/>
      <c r="AA152" s="2183"/>
      <c r="AB152" s="2240"/>
    </row>
    <row r="153" spans="1:30" s="240" customFormat="1" ht="16.5" customHeight="1" x14ac:dyDescent="0.25">
      <c r="A153" s="1352"/>
      <c r="B153" s="2195"/>
      <c r="C153" s="1353"/>
      <c r="D153" s="2208"/>
      <c r="E153" s="3323"/>
      <c r="F153" s="1385"/>
      <c r="G153" s="1242"/>
      <c r="H153" s="1243"/>
      <c r="I153" s="3326"/>
      <c r="J153" s="604" t="s">
        <v>27</v>
      </c>
      <c r="K153" s="1386">
        <f t="shared" si="40"/>
        <v>7</v>
      </c>
      <c r="L153" s="1092">
        <v>7</v>
      </c>
      <c r="M153" s="1092">
        <v>1.4</v>
      </c>
      <c r="N153" s="1357"/>
      <c r="O153" s="1304">
        <f>P153+R153</f>
        <v>80.3</v>
      </c>
      <c r="P153" s="1379"/>
      <c r="Q153" s="1379"/>
      <c r="R153" s="1379">
        <v>80.3</v>
      </c>
      <c r="S153" s="1387"/>
      <c r="T153" s="463"/>
      <c r="U153" s="463"/>
      <c r="V153" s="1360"/>
      <c r="W153" s="66"/>
      <c r="X153" s="62"/>
      <c r="Y153" s="1964" t="s">
        <v>325</v>
      </c>
      <c r="Z153" s="235">
        <v>100</v>
      </c>
      <c r="AA153" s="2143"/>
      <c r="AB153" s="2241"/>
    </row>
    <row r="154" spans="1:30" s="240" customFormat="1" ht="16.5" customHeight="1" x14ac:dyDescent="0.25">
      <c r="A154" s="1352"/>
      <c r="B154" s="2195"/>
      <c r="C154" s="1353"/>
      <c r="D154" s="2208"/>
      <c r="E154" s="3323"/>
      <c r="F154" s="1385"/>
      <c r="G154" s="1242"/>
      <c r="H154" s="1243"/>
      <c r="I154" s="1362"/>
      <c r="J154" s="604" t="s">
        <v>41</v>
      </c>
      <c r="K154" s="1386">
        <f t="shared" si="40"/>
        <v>1455.3</v>
      </c>
      <c r="L154" s="1092">
        <v>39.700000000000003</v>
      </c>
      <c r="M154" s="1092">
        <v>7.7</v>
      </c>
      <c r="N154" s="1357">
        <v>1415.6</v>
      </c>
      <c r="O154" s="1128">
        <f>P154+R154</f>
        <v>338.5</v>
      </c>
      <c r="P154" s="2268"/>
      <c r="Q154" s="2268"/>
      <c r="R154" s="2268">
        <v>338.5</v>
      </c>
      <c r="S154" s="1387"/>
      <c r="T154" s="463"/>
      <c r="U154" s="463"/>
      <c r="V154" s="1360"/>
      <c r="W154" s="1120"/>
      <c r="X154" s="57"/>
      <c r="Y154" s="1505"/>
      <c r="AA154" s="2143"/>
      <c r="AB154" s="2241"/>
    </row>
    <row r="155" spans="1:30" s="240" customFormat="1" ht="16.5" customHeight="1" x14ac:dyDescent="0.25">
      <c r="A155" s="1352"/>
      <c r="B155" s="2195"/>
      <c r="C155" s="1353"/>
      <c r="D155" s="2209"/>
      <c r="E155" s="3324"/>
      <c r="F155" s="1397"/>
      <c r="G155" s="1269"/>
      <c r="H155" s="1398"/>
      <c r="I155" s="1399"/>
      <c r="J155" s="1400" t="s">
        <v>18</v>
      </c>
      <c r="K155" s="1401">
        <f>L155+N155</f>
        <v>1722.2</v>
      </c>
      <c r="L155" s="1402">
        <f>SUM(L152:L154)</f>
        <v>46.7</v>
      </c>
      <c r="M155" s="1402">
        <f>SUM(M152:M154)</f>
        <v>9.1</v>
      </c>
      <c r="N155" s="1403">
        <f>SUM(N152:N154)</f>
        <v>1675.5</v>
      </c>
      <c r="O155" s="1401">
        <f>P155+R155</f>
        <v>418.8</v>
      </c>
      <c r="P155" s="1402"/>
      <c r="Q155" s="1402"/>
      <c r="R155" s="1402">
        <f>SUM(R153:R154)</f>
        <v>418.8</v>
      </c>
      <c r="S155" s="1401"/>
      <c r="T155" s="1402"/>
      <c r="U155" s="1402"/>
      <c r="V155" s="1403"/>
      <c r="W155" s="1575"/>
      <c r="X155" s="1576"/>
      <c r="Y155" s="1584"/>
      <c r="Z155" s="237"/>
      <c r="AA155" s="238"/>
      <c r="AB155" s="239"/>
    </row>
    <row r="156" spans="1:30" s="1265" customFormat="1" ht="16.5" customHeight="1" thickBot="1" x14ac:dyDescent="0.3">
      <c r="A156" s="1404"/>
      <c r="B156" s="2211"/>
      <c r="C156" s="1405"/>
      <c r="D156" s="3286"/>
      <c r="E156" s="3287"/>
      <c r="F156" s="1406"/>
      <c r="G156" s="1406"/>
      <c r="H156" s="1407"/>
      <c r="I156" s="1408"/>
      <c r="J156" s="1409" t="s">
        <v>18</v>
      </c>
      <c r="K156" s="1410">
        <f>+K155+K151+K147</f>
        <v>4860.1000000000004</v>
      </c>
      <c r="L156" s="1410">
        <f t="shared" ref="L156:V156" si="41">+L155+L151+L147</f>
        <v>69.7</v>
      </c>
      <c r="M156" s="1410">
        <f t="shared" si="41"/>
        <v>26.4</v>
      </c>
      <c r="N156" s="1410">
        <f>+N155+N151+N147</f>
        <v>4790.3999999999996</v>
      </c>
      <c r="O156" s="1410">
        <f>+O155+O151+O147</f>
        <v>1653.1000000000001</v>
      </c>
      <c r="P156" s="1410">
        <f>+P155+P151+P147</f>
        <v>186.60000000000002</v>
      </c>
      <c r="Q156" s="1410">
        <f>+Q155+Q151+Q147</f>
        <v>8.8000000000000007</v>
      </c>
      <c r="R156" s="1410">
        <f>+R155+R151+R147</f>
        <v>1466.5</v>
      </c>
      <c r="S156" s="1410">
        <f t="shared" si="41"/>
        <v>0</v>
      </c>
      <c r="T156" s="1410">
        <f t="shared" si="41"/>
        <v>0</v>
      </c>
      <c r="U156" s="1410">
        <f t="shared" si="41"/>
        <v>0</v>
      </c>
      <c r="V156" s="1410">
        <f t="shared" si="41"/>
        <v>0</v>
      </c>
      <c r="W156" s="1410"/>
      <c r="X156" s="1410"/>
      <c r="Y156" s="3354"/>
      <c r="Z156" s="3355"/>
      <c r="AA156" s="3355"/>
      <c r="AB156" s="3356"/>
      <c r="AD156" s="2257"/>
    </row>
    <row r="157" spans="1:30" s="240" customFormat="1" ht="41.25" customHeight="1" x14ac:dyDescent="0.25">
      <c r="A157" s="1344" t="s">
        <v>13</v>
      </c>
      <c r="B157" s="2200" t="s">
        <v>22</v>
      </c>
      <c r="C157" s="1345" t="s">
        <v>19</v>
      </c>
      <c r="D157" s="1346"/>
      <c r="E157" s="1411" t="s">
        <v>43</v>
      </c>
      <c r="F157" s="1237"/>
      <c r="G157" s="1412"/>
      <c r="H157" s="1413"/>
      <c r="I157" s="2222"/>
      <c r="J157" s="1414"/>
      <c r="K157" s="1348"/>
      <c r="L157" s="1088"/>
      <c r="M157" s="1282"/>
      <c r="N157" s="1089"/>
      <c r="O157" s="1349"/>
      <c r="P157" s="1285"/>
      <c r="Q157" s="1285"/>
      <c r="R157" s="1350"/>
      <c r="S157" s="1351"/>
      <c r="T157" s="464"/>
      <c r="U157" s="1286"/>
      <c r="V157" s="465"/>
      <c r="W157" s="1512"/>
      <c r="X157" s="1512"/>
      <c r="Y157" s="1504"/>
      <c r="Z157" s="1577"/>
      <c r="AA157" s="1578"/>
      <c r="AB157" s="1579"/>
    </row>
    <row r="158" spans="1:30" s="240" customFormat="1" ht="27.75" customHeight="1" x14ac:dyDescent="0.2">
      <c r="A158" s="1352"/>
      <c r="B158" s="2195"/>
      <c r="C158" s="1353"/>
      <c r="D158" s="2207" t="s">
        <v>13</v>
      </c>
      <c r="E158" s="3368" t="s">
        <v>374</v>
      </c>
      <c r="F158" s="1354" t="s">
        <v>59</v>
      </c>
      <c r="G158" s="1376" t="s">
        <v>16</v>
      </c>
      <c r="H158" s="1355">
        <v>5</v>
      </c>
      <c r="I158" s="3371" t="s">
        <v>160</v>
      </c>
      <c r="J158" s="604" t="s">
        <v>27</v>
      </c>
      <c r="K158" s="1356">
        <f>L158+N158</f>
        <v>1002.6</v>
      </c>
      <c r="L158" s="1091"/>
      <c r="M158" s="1091"/>
      <c r="N158" s="1357">
        <v>1002.6</v>
      </c>
      <c r="O158" s="1358">
        <f>P158+R158</f>
        <v>283.2</v>
      </c>
      <c r="P158" s="1294"/>
      <c r="Q158" s="1294"/>
      <c r="R158" s="1092">
        <v>283.2</v>
      </c>
      <c r="S158" s="1359">
        <f>T158+V158</f>
        <v>0</v>
      </c>
      <c r="T158" s="462"/>
      <c r="U158" s="462"/>
      <c r="V158" s="1360">
        <v>0</v>
      </c>
      <c r="W158" s="1580"/>
      <c r="X158" s="57"/>
      <c r="Y158" s="2883" t="s">
        <v>339</v>
      </c>
      <c r="Z158" s="1582">
        <v>100</v>
      </c>
      <c r="AA158" s="3374"/>
      <c r="AB158" s="3357"/>
    </row>
    <row r="159" spans="1:30" s="240" customFormat="1" ht="27.75" customHeight="1" x14ac:dyDescent="0.25">
      <c r="A159" s="1352"/>
      <c r="B159" s="2195"/>
      <c r="C159" s="1353"/>
      <c r="D159" s="2208"/>
      <c r="E159" s="3369"/>
      <c r="F159" s="1415"/>
      <c r="G159" s="1416"/>
      <c r="H159" s="1417"/>
      <c r="I159" s="3295"/>
      <c r="J159" s="1419" t="s">
        <v>41</v>
      </c>
      <c r="K159" s="1420">
        <f t="shared" ref="K159:K160" si="42">L159+N159</f>
        <v>511.3</v>
      </c>
      <c r="L159" s="1379">
        <v>18.8</v>
      </c>
      <c r="M159" s="1379">
        <v>14.4</v>
      </c>
      <c r="N159" s="1380">
        <v>492.5</v>
      </c>
      <c r="O159" s="1420">
        <f>P159+R159</f>
        <v>73.599999999999994</v>
      </c>
      <c r="P159" s="1379">
        <v>19.2</v>
      </c>
      <c r="Q159" s="1379">
        <v>14.7</v>
      </c>
      <c r="R159" s="1379">
        <v>54.4</v>
      </c>
      <c r="S159" s="1421">
        <f>T159+V159</f>
        <v>0</v>
      </c>
      <c r="T159" s="1383">
        <v>0</v>
      </c>
      <c r="U159" s="1383">
        <v>0</v>
      </c>
      <c r="V159" s="1384">
        <v>0</v>
      </c>
      <c r="W159" s="1580"/>
      <c r="X159" s="57"/>
      <c r="Y159" s="2850"/>
      <c r="Z159" s="1583"/>
      <c r="AA159" s="2855"/>
      <c r="AB159" s="2857"/>
    </row>
    <row r="160" spans="1:30" s="240" customFormat="1" ht="27.75" customHeight="1" x14ac:dyDescent="0.25">
      <c r="A160" s="1352"/>
      <c r="B160" s="2195"/>
      <c r="C160" s="1353"/>
      <c r="D160" s="2208"/>
      <c r="E160" s="3369"/>
      <c r="F160" s="1415"/>
      <c r="G160" s="1416"/>
      <c r="H160" s="1417"/>
      <c r="I160" s="3295"/>
      <c r="J160" s="1419" t="s">
        <v>21</v>
      </c>
      <c r="K160" s="1420">
        <f t="shared" si="42"/>
        <v>90.2</v>
      </c>
      <c r="L160" s="1379">
        <v>3.3</v>
      </c>
      <c r="M160" s="1379">
        <v>2.5</v>
      </c>
      <c r="N160" s="1380">
        <v>86.9</v>
      </c>
      <c r="O160" s="1420">
        <f>P160+R160</f>
        <v>13</v>
      </c>
      <c r="P160" s="1379">
        <v>3.4</v>
      </c>
      <c r="Q160" s="1379">
        <v>2.6</v>
      </c>
      <c r="R160" s="1379">
        <v>9.6</v>
      </c>
      <c r="S160" s="1421">
        <f>T160+V160</f>
        <v>0</v>
      </c>
      <c r="T160" s="1383">
        <v>0</v>
      </c>
      <c r="U160" s="1383">
        <v>0</v>
      </c>
      <c r="V160" s="1384">
        <v>0</v>
      </c>
      <c r="W160" s="1580"/>
      <c r="X160" s="57"/>
      <c r="Y160" s="1505"/>
      <c r="Z160" s="1583"/>
      <c r="AA160" s="2143"/>
      <c r="AB160" s="2241"/>
    </row>
    <row r="161" spans="1:29" s="240" customFormat="1" ht="27.75" customHeight="1" x14ac:dyDescent="0.25">
      <c r="A161" s="1352"/>
      <c r="B161" s="2195"/>
      <c r="C161" s="1353"/>
      <c r="D161" s="2209"/>
      <c r="E161" s="3370"/>
      <c r="F161" s="1750"/>
      <c r="G161" s="1490"/>
      <c r="H161" s="1751"/>
      <c r="I161" s="3346"/>
      <c r="J161" s="1492" t="s">
        <v>18</v>
      </c>
      <c r="K161" s="1493">
        <f>L161+N161</f>
        <v>1604.1</v>
      </c>
      <c r="L161" s="1494">
        <f>SUM(L158:L160)</f>
        <v>22.1</v>
      </c>
      <c r="M161" s="1494">
        <f>SUM(M158:M160)</f>
        <v>16.899999999999999</v>
      </c>
      <c r="N161" s="1495">
        <f>SUM(N158:N160)</f>
        <v>1582</v>
      </c>
      <c r="O161" s="1493">
        <f>P161+R161</f>
        <v>369.8</v>
      </c>
      <c r="P161" s="1494">
        <f>SUM(P158:P160)</f>
        <v>22.599999999999998</v>
      </c>
      <c r="Q161" s="1494">
        <f>SUM(Q158:Q160)</f>
        <v>17.3</v>
      </c>
      <c r="R161" s="1494">
        <f>SUM(R158:R160)</f>
        <v>347.2</v>
      </c>
      <c r="S161" s="1493">
        <f>T161+V161</f>
        <v>0</v>
      </c>
      <c r="T161" s="1494">
        <f>SUM(T158:T160)</f>
        <v>0</v>
      </c>
      <c r="U161" s="1494">
        <f>SUM(U158:U160)</f>
        <v>0</v>
      </c>
      <c r="V161" s="1495">
        <f>SUM(V158:V160)</f>
        <v>0</v>
      </c>
      <c r="W161" s="1585"/>
      <c r="X161" s="1586"/>
      <c r="Y161" s="1584"/>
      <c r="Z161" s="725"/>
      <c r="AA161" s="726"/>
      <c r="AB161" s="727"/>
    </row>
    <row r="162" spans="1:29" ht="25.5" customHeight="1" x14ac:dyDescent="0.2">
      <c r="A162" s="1352"/>
      <c r="B162" s="2195"/>
      <c r="C162" s="1353"/>
      <c r="D162" s="2207" t="s">
        <v>19</v>
      </c>
      <c r="E162" s="3318" t="s">
        <v>301</v>
      </c>
      <c r="F162" s="1423"/>
      <c r="G162" s="1424" t="s">
        <v>16</v>
      </c>
      <c r="H162" s="2895" t="s">
        <v>35</v>
      </c>
      <c r="I162" s="3281" t="s">
        <v>348</v>
      </c>
      <c r="J162" s="1127" t="s">
        <v>27</v>
      </c>
      <c r="K162" s="943">
        <f>L162+N162</f>
        <v>8</v>
      </c>
      <c r="L162" s="326">
        <v>8</v>
      </c>
      <c r="M162" s="326"/>
      <c r="N162" s="524"/>
      <c r="O162" s="152">
        <f>P162+R162</f>
        <v>10</v>
      </c>
      <c r="P162" s="327">
        <v>10</v>
      </c>
      <c r="Q162" s="153"/>
      <c r="R162" s="155"/>
      <c r="S162" s="342">
        <f t="shared" ref="S162:S163" si="43">T162+V162</f>
        <v>0</v>
      </c>
      <c r="T162" s="343">
        <v>0</v>
      </c>
      <c r="U162" s="343"/>
      <c r="V162" s="353"/>
      <c r="W162" s="1120"/>
      <c r="X162" s="1120"/>
      <c r="Y162" s="3338" t="s">
        <v>344</v>
      </c>
      <c r="Z162" s="3329">
        <v>100</v>
      </c>
      <c r="AA162" s="2914"/>
      <c r="AB162" s="2916"/>
    </row>
    <row r="163" spans="1:29" ht="16.5" customHeight="1" x14ac:dyDescent="0.2">
      <c r="A163" s="1352"/>
      <c r="B163" s="2195"/>
      <c r="C163" s="1353"/>
      <c r="D163" s="2208"/>
      <c r="E163" s="3319"/>
      <c r="F163" s="1425"/>
      <c r="G163" s="1426"/>
      <c r="H163" s="3284"/>
      <c r="I163" s="3285"/>
      <c r="J163" s="1427" t="s">
        <v>18</v>
      </c>
      <c r="K163" s="383">
        <f>L163+N163</f>
        <v>8</v>
      </c>
      <c r="L163" s="460">
        <f>SUM(L162)</f>
        <v>8</v>
      </c>
      <c r="M163" s="460"/>
      <c r="N163" s="405"/>
      <c r="O163" s="383">
        <f>SUM(O162:O162)</f>
        <v>10</v>
      </c>
      <c r="P163" s="460">
        <f>SUM(P162:P162)</f>
        <v>10</v>
      </c>
      <c r="Q163" s="460"/>
      <c r="R163" s="379"/>
      <c r="S163" s="383">
        <f t="shared" si="43"/>
        <v>0</v>
      </c>
      <c r="T163" s="460">
        <f>SUM(T162)</f>
        <v>0</v>
      </c>
      <c r="U163" s="460"/>
      <c r="V163" s="405"/>
      <c r="W163" s="404"/>
      <c r="X163" s="404"/>
      <c r="Y163" s="3339"/>
      <c r="Z163" s="3329"/>
      <c r="AA163" s="2914"/>
      <c r="AB163" s="2916"/>
    </row>
    <row r="164" spans="1:29" s="240" customFormat="1" ht="14.25" customHeight="1" x14ac:dyDescent="0.25">
      <c r="A164" s="1352"/>
      <c r="B164" s="2195"/>
      <c r="C164" s="1353"/>
      <c r="D164" s="2207" t="s">
        <v>22</v>
      </c>
      <c r="E164" s="3333" t="s">
        <v>219</v>
      </c>
      <c r="F164" s="1415" t="s">
        <v>59</v>
      </c>
      <c r="G164" s="1416" t="s">
        <v>16</v>
      </c>
      <c r="H164" s="1417">
        <v>5</v>
      </c>
      <c r="I164" s="3281" t="s">
        <v>163</v>
      </c>
      <c r="J164" s="1378" t="s">
        <v>27</v>
      </c>
      <c r="K164" s="1420">
        <f>L164+N164</f>
        <v>50</v>
      </c>
      <c r="L164" s="1298"/>
      <c r="M164" s="1298"/>
      <c r="N164" s="1380">
        <v>50</v>
      </c>
      <c r="O164" s="1434">
        <f>P164+R164</f>
        <v>30</v>
      </c>
      <c r="P164" s="1299"/>
      <c r="Q164" s="1299"/>
      <c r="R164" s="1382">
        <v>30</v>
      </c>
      <c r="S164" s="1421">
        <f>T164+V164</f>
        <v>0</v>
      </c>
      <c r="T164" s="1301"/>
      <c r="U164" s="1301"/>
      <c r="V164" s="1383">
        <v>0</v>
      </c>
      <c r="W164" s="282"/>
      <c r="X164" s="1164"/>
      <c r="Y164" s="2850" t="s">
        <v>164</v>
      </c>
      <c r="Z164" s="235">
        <v>1</v>
      </c>
      <c r="AA164" s="2143"/>
      <c r="AB164" s="2241"/>
    </row>
    <row r="165" spans="1:29" s="240" customFormat="1" ht="14.25" customHeight="1" x14ac:dyDescent="0.25">
      <c r="A165" s="1352"/>
      <c r="B165" s="2195"/>
      <c r="C165" s="1353"/>
      <c r="D165" s="2208"/>
      <c r="E165" s="3333"/>
      <c r="F165" s="1430"/>
      <c r="H165" s="1431"/>
      <c r="I165" s="3282"/>
      <c r="J165" s="1388"/>
      <c r="K165" s="1506"/>
      <c r="L165" s="1032"/>
      <c r="M165" s="1032"/>
      <c r="N165" s="1063"/>
      <c r="O165" s="1508"/>
      <c r="P165" s="1390"/>
      <c r="Q165" s="1390"/>
      <c r="R165" s="1390"/>
      <c r="S165" s="1660"/>
      <c r="T165" s="685"/>
      <c r="U165" s="685"/>
      <c r="V165" s="685"/>
      <c r="W165" s="72"/>
      <c r="X165" s="335"/>
      <c r="Y165" s="2850"/>
      <c r="Z165" s="235"/>
      <c r="AA165" s="2143"/>
      <c r="AB165" s="2241"/>
    </row>
    <row r="166" spans="1:29" s="240" customFormat="1" ht="16.5" customHeight="1" x14ac:dyDescent="0.25">
      <c r="A166" s="1352"/>
      <c r="B166" s="2195"/>
      <c r="C166" s="1353"/>
      <c r="D166" s="2209"/>
      <c r="E166" s="3337"/>
      <c r="F166" s="1489"/>
      <c r="G166" s="1490"/>
      <c r="H166" s="1491"/>
      <c r="I166" s="3283"/>
      <c r="J166" s="1492" t="s">
        <v>18</v>
      </c>
      <c r="K166" s="1493">
        <f>L166+N166</f>
        <v>50</v>
      </c>
      <c r="L166" s="1494"/>
      <c r="M166" s="1494"/>
      <c r="N166" s="1495">
        <f>SUM(N164:N164)</f>
        <v>50</v>
      </c>
      <c r="O166" s="1493">
        <f>P166+R166</f>
        <v>30</v>
      </c>
      <c r="P166" s="1494"/>
      <c r="Q166" s="1494"/>
      <c r="R166" s="1494">
        <f>SUM(R164:R165)</f>
        <v>30</v>
      </c>
      <c r="S166" s="1493">
        <f>T166+V166</f>
        <v>0</v>
      </c>
      <c r="T166" s="1494"/>
      <c r="U166" s="1494"/>
      <c r="V166" s="1494">
        <f>SUM(V164:V164)</f>
        <v>0</v>
      </c>
      <c r="W166" s="1585"/>
      <c r="X166" s="1586"/>
      <c r="Y166" s="2851"/>
      <c r="Z166" s="725"/>
      <c r="AA166" s="726"/>
      <c r="AB166" s="727"/>
    </row>
    <row r="167" spans="1:29" s="240" customFormat="1" ht="28.5" customHeight="1" x14ac:dyDescent="0.25">
      <c r="A167" s="1352"/>
      <c r="B167" s="2195"/>
      <c r="C167" s="1353"/>
      <c r="D167" s="2207" t="s">
        <v>24</v>
      </c>
      <c r="E167" s="3332" t="s">
        <v>342</v>
      </c>
      <c r="F167" s="1354"/>
      <c r="G167" s="1376" t="s">
        <v>16</v>
      </c>
      <c r="H167" s="1432">
        <v>6</v>
      </c>
      <c r="I167" s="3320" t="s">
        <v>348</v>
      </c>
      <c r="J167" s="1418" t="s">
        <v>27</v>
      </c>
      <c r="K167" s="1356"/>
      <c r="L167" s="1091"/>
      <c r="M167" s="1091"/>
      <c r="N167" s="1357"/>
      <c r="O167" s="1099">
        <f>P167+R167</f>
        <v>100</v>
      </c>
      <c r="P167" s="1101"/>
      <c r="Q167" s="1096"/>
      <c r="R167" s="1765">
        <v>100</v>
      </c>
      <c r="S167" s="1356">
        <f>T167+V167</f>
        <v>0</v>
      </c>
      <c r="T167" s="1091"/>
      <c r="U167" s="1091"/>
      <c r="V167" s="1092">
        <v>0</v>
      </c>
      <c r="W167" s="1580">
        <v>1100</v>
      </c>
      <c r="X167" s="1696"/>
      <c r="Y167" s="1697" t="s">
        <v>164</v>
      </c>
      <c r="Z167" s="1698">
        <v>1</v>
      </c>
      <c r="AA167" s="1699"/>
      <c r="AB167" s="2240"/>
      <c r="AC167" s="1821"/>
    </row>
    <row r="168" spans="1:29" s="240" customFormat="1" ht="16.5" customHeight="1" x14ac:dyDescent="0.25">
      <c r="A168" s="1352"/>
      <c r="B168" s="2195"/>
      <c r="C168" s="1353"/>
      <c r="D168" s="2208"/>
      <c r="E168" s="3333"/>
      <c r="F168" s="1430"/>
      <c r="G168" s="1416"/>
      <c r="H168" s="1433"/>
      <c r="I168" s="3334"/>
      <c r="J168" s="1422" t="s">
        <v>18</v>
      </c>
      <c r="K168" s="1372"/>
      <c r="L168" s="1373"/>
      <c r="M168" s="1373"/>
      <c r="N168" s="1374"/>
      <c r="O168" s="1372">
        <f>P168+R168</f>
        <v>100</v>
      </c>
      <c r="P168" s="1373"/>
      <c r="Q168" s="1373"/>
      <c r="R168" s="1373">
        <f>SUM(R167:R167)</f>
        <v>100</v>
      </c>
      <c r="S168" s="1372">
        <f>T168+V168</f>
        <v>0</v>
      </c>
      <c r="T168" s="1373"/>
      <c r="U168" s="1373"/>
      <c r="V168" s="1373">
        <f>SUM(V167:V167)</f>
        <v>0</v>
      </c>
      <c r="W168" s="1541">
        <f>SUM(W167:W167)</f>
        <v>1100</v>
      </c>
      <c r="X168" s="1542">
        <f>X167</f>
        <v>0</v>
      </c>
      <c r="Y168" s="1700" t="s">
        <v>288</v>
      </c>
      <c r="Z168" s="1701"/>
      <c r="AA168" s="1702">
        <v>100</v>
      </c>
      <c r="AB168" s="1710"/>
    </row>
    <row r="169" spans="1:29" s="240" customFormat="1" ht="38.25" customHeight="1" x14ac:dyDescent="0.25">
      <c r="A169" s="1352"/>
      <c r="B169" s="2195"/>
      <c r="C169" s="1353"/>
      <c r="D169" s="2207" t="s">
        <v>28</v>
      </c>
      <c r="E169" s="3352" t="s">
        <v>320</v>
      </c>
      <c r="F169" s="1354" t="s">
        <v>59</v>
      </c>
      <c r="G169" s="1376" t="s">
        <v>16</v>
      </c>
      <c r="H169" s="1355">
        <v>6</v>
      </c>
      <c r="I169" s="3281" t="s">
        <v>348</v>
      </c>
      <c r="J169" s="1378" t="s">
        <v>27</v>
      </c>
      <c r="K169" s="293"/>
      <c r="L169" s="193"/>
      <c r="M169" s="193"/>
      <c r="N169" s="194"/>
      <c r="O169" s="1436">
        <v>60</v>
      </c>
      <c r="P169" s="1437"/>
      <c r="Q169" s="1437"/>
      <c r="R169" s="1438">
        <v>60</v>
      </c>
      <c r="S169" s="1439"/>
      <c r="T169" s="1440"/>
      <c r="U169" s="1440"/>
      <c r="V169" s="1441"/>
      <c r="W169" s="1323"/>
      <c r="X169" s="1324"/>
      <c r="Y169" s="3335" t="s">
        <v>256</v>
      </c>
      <c r="Z169" s="2242">
        <v>300</v>
      </c>
      <c r="AA169" s="2183"/>
      <c r="AB169" s="2240"/>
    </row>
    <row r="170" spans="1:29" s="240" customFormat="1" ht="16.5" customHeight="1" x14ac:dyDescent="0.25">
      <c r="A170" s="1352"/>
      <c r="B170" s="2195"/>
      <c r="C170" s="1353"/>
      <c r="D170" s="2208"/>
      <c r="E170" s="3353"/>
      <c r="F170" s="1489"/>
      <c r="G170" s="1490"/>
      <c r="H170" s="1491"/>
      <c r="I170" s="3283"/>
      <c r="J170" s="1422" t="s">
        <v>18</v>
      </c>
      <c r="K170" s="1442"/>
      <c r="L170" s="1442"/>
      <c r="M170" s="1442"/>
      <c r="N170" s="1443"/>
      <c r="O170" s="1372">
        <f t="shared" ref="O170:V170" si="44">O169</f>
        <v>60</v>
      </c>
      <c r="P170" s="1442">
        <f t="shared" si="44"/>
        <v>0</v>
      </c>
      <c r="Q170" s="1442">
        <f t="shared" si="44"/>
        <v>0</v>
      </c>
      <c r="R170" s="1444">
        <f t="shared" si="44"/>
        <v>60</v>
      </c>
      <c r="S170" s="1442">
        <f t="shared" si="44"/>
        <v>0</v>
      </c>
      <c r="T170" s="1442">
        <f t="shared" si="44"/>
        <v>0</v>
      </c>
      <c r="U170" s="1442">
        <f t="shared" si="44"/>
        <v>0</v>
      </c>
      <c r="V170" s="1443">
        <f t="shared" si="44"/>
        <v>0</v>
      </c>
      <c r="W170" s="1445"/>
      <c r="X170" s="1442"/>
      <c r="Y170" s="3336"/>
      <c r="Z170" s="1543"/>
      <c r="AA170" s="726"/>
      <c r="AB170" s="727"/>
    </row>
    <row r="171" spans="1:29" s="240" customFormat="1" ht="15" customHeight="1" x14ac:dyDescent="0.25">
      <c r="A171" s="1352"/>
      <c r="B171" s="2195"/>
      <c r="C171" s="1353"/>
      <c r="D171" s="2207" t="s">
        <v>38</v>
      </c>
      <c r="E171" s="3332" t="s">
        <v>271</v>
      </c>
      <c r="F171" s="1486" t="s">
        <v>59</v>
      </c>
      <c r="G171" s="1487" t="s">
        <v>16</v>
      </c>
      <c r="H171" s="1488">
        <v>5</v>
      </c>
      <c r="I171" s="3281" t="s">
        <v>160</v>
      </c>
      <c r="J171" s="1378" t="s">
        <v>27</v>
      </c>
      <c r="K171" s="1420"/>
      <c r="L171" s="1298"/>
      <c r="M171" s="1298"/>
      <c r="N171" s="1380"/>
      <c r="O171" s="1434"/>
      <c r="P171" s="1299"/>
      <c r="Q171" s="1299"/>
      <c r="R171" s="1382"/>
      <c r="S171" s="1421">
        <f>T171+V171</f>
        <v>0</v>
      </c>
      <c r="T171" s="1301"/>
      <c r="U171" s="1301"/>
      <c r="V171" s="1383">
        <v>0</v>
      </c>
      <c r="W171" s="282">
        <v>17.899999999999999</v>
      </c>
      <c r="X171" s="1164">
        <v>3.4</v>
      </c>
      <c r="Y171" s="2883" t="s">
        <v>164</v>
      </c>
      <c r="Z171" s="233"/>
      <c r="AA171" s="2183"/>
      <c r="AB171" s="2240">
        <v>1</v>
      </c>
    </row>
    <row r="172" spans="1:29" s="240" customFormat="1" ht="15" customHeight="1" x14ac:dyDescent="0.25">
      <c r="A172" s="1352"/>
      <c r="B172" s="2195"/>
      <c r="C172" s="1353"/>
      <c r="D172" s="2208"/>
      <c r="E172" s="3333"/>
      <c r="F172" s="1430"/>
      <c r="H172" s="1431"/>
      <c r="I172" s="3282"/>
      <c r="J172" s="1378" t="s">
        <v>41</v>
      </c>
      <c r="K172" s="1420"/>
      <c r="L172" s="1298"/>
      <c r="M172" s="1298"/>
      <c r="N172" s="1380"/>
      <c r="O172" s="1434"/>
      <c r="P172" s="1299"/>
      <c r="Q172" s="1299"/>
      <c r="R172" s="1382"/>
      <c r="S172" s="1421">
        <f>T172+V172</f>
        <v>0</v>
      </c>
      <c r="T172" s="1301"/>
      <c r="U172" s="1301"/>
      <c r="V172" s="1383">
        <v>0</v>
      </c>
      <c r="W172" s="282">
        <v>45</v>
      </c>
      <c r="X172" s="1120">
        <v>19.3</v>
      </c>
      <c r="Y172" s="2850"/>
      <c r="Z172" s="235"/>
      <c r="AA172" s="2143"/>
      <c r="AB172" s="2241"/>
    </row>
    <row r="173" spans="1:29" s="240" customFormat="1" ht="15" customHeight="1" x14ac:dyDescent="0.25">
      <c r="A173" s="1748"/>
      <c r="B173" s="1735"/>
      <c r="C173" s="1749"/>
      <c r="D173" s="2209"/>
      <c r="E173" s="3337"/>
      <c r="F173" s="1489"/>
      <c r="G173" s="1490"/>
      <c r="H173" s="1491"/>
      <c r="I173" s="3283"/>
      <c r="J173" s="1492" t="s">
        <v>18</v>
      </c>
      <c r="K173" s="1493"/>
      <c r="L173" s="1494"/>
      <c r="M173" s="1494"/>
      <c r="N173" s="1495"/>
      <c r="O173" s="1493"/>
      <c r="P173" s="1494"/>
      <c r="Q173" s="1494"/>
      <c r="R173" s="1494"/>
      <c r="S173" s="1493">
        <f>T173+V173</f>
        <v>0</v>
      </c>
      <c r="T173" s="1494"/>
      <c r="U173" s="1494"/>
      <c r="V173" s="1494">
        <f>SUM(V171:V172)</f>
        <v>0</v>
      </c>
      <c r="W173" s="1585">
        <f>SUM(W171:W172)</f>
        <v>62.9</v>
      </c>
      <c r="X173" s="1586">
        <f>SUM(X171:X172)</f>
        <v>22.7</v>
      </c>
      <c r="Y173" s="2851"/>
      <c r="Z173" s="725"/>
      <c r="AA173" s="726"/>
      <c r="AB173" s="727"/>
    </row>
    <row r="174" spans="1:29" ht="16.5" customHeight="1" x14ac:dyDescent="0.2">
      <c r="A174" s="1352"/>
      <c r="B174" s="2195"/>
      <c r="C174" s="1353"/>
      <c r="D174" s="2208" t="s">
        <v>70</v>
      </c>
      <c r="E174" s="2809" t="s">
        <v>144</v>
      </c>
      <c r="F174" s="1428"/>
      <c r="G174" s="1429" t="s">
        <v>16</v>
      </c>
      <c r="H174" s="3331" t="s">
        <v>35</v>
      </c>
      <c r="I174" s="3285" t="s">
        <v>161</v>
      </c>
      <c r="J174" s="202" t="s">
        <v>27</v>
      </c>
      <c r="K174" s="307">
        <f t="shared" ref="K174:K175" si="45">L174+N174</f>
        <v>29.3</v>
      </c>
      <c r="L174" s="308">
        <v>29.3</v>
      </c>
      <c r="M174" s="308"/>
      <c r="N174" s="1094"/>
      <c r="O174" s="258"/>
      <c r="P174" s="261"/>
      <c r="Q174" s="150"/>
      <c r="R174" s="157"/>
      <c r="S174" s="354"/>
      <c r="T174" s="355"/>
      <c r="U174" s="355"/>
      <c r="V174" s="356"/>
      <c r="W174" s="72"/>
      <c r="X174" s="72"/>
      <c r="Y174" s="2897"/>
      <c r="Z174" s="3327"/>
      <c r="AA174" s="2862"/>
      <c r="AB174" s="2858"/>
    </row>
    <row r="175" spans="1:29" ht="16.5" customHeight="1" x14ac:dyDescent="0.2">
      <c r="A175" s="1352"/>
      <c r="B175" s="2195"/>
      <c r="C175" s="1353"/>
      <c r="D175" s="2208"/>
      <c r="E175" s="3330"/>
      <c r="F175" s="1428"/>
      <c r="G175" s="1429"/>
      <c r="H175" s="3331"/>
      <c r="I175" s="3285"/>
      <c r="J175" s="1427" t="s">
        <v>18</v>
      </c>
      <c r="K175" s="383">
        <f t="shared" si="45"/>
        <v>29.3</v>
      </c>
      <c r="L175" s="460">
        <f>SUM(L174)</f>
        <v>29.3</v>
      </c>
      <c r="M175" s="460"/>
      <c r="N175" s="405"/>
      <c r="O175" s="383"/>
      <c r="P175" s="460"/>
      <c r="Q175" s="460"/>
      <c r="R175" s="379"/>
      <c r="S175" s="383"/>
      <c r="T175" s="460"/>
      <c r="U175" s="460"/>
      <c r="V175" s="405"/>
      <c r="W175" s="404"/>
      <c r="X175" s="404"/>
      <c r="Y175" s="2897"/>
      <c r="Z175" s="3328"/>
      <c r="AA175" s="2863"/>
      <c r="AB175" s="2859"/>
    </row>
    <row r="176" spans="1:29" s="240" customFormat="1" ht="16.5" customHeight="1" x14ac:dyDescent="0.25">
      <c r="A176" s="1352"/>
      <c r="B176" s="2195"/>
      <c r="C176" s="1353"/>
      <c r="D176" s="2207" t="s">
        <v>84</v>
      </c>
      <c r="E176" s="3332" t="s">
        <v>282</v>
      </c>
      <c r="F176" s="1354" t="s">
        <v>59</v>
      </c>
      <c r="G176" s="1376" t="s">
        <v>16</v>
      </c>
      <c r="H176" s="1432">
        <v>5</v>
      </c>
      <c r="I176" s="3320" t="s">
        <v>162</v>
      </c>
      <c r="J176" s="1378" t="s">
        <v>42</v>
      </c>
      <c r="K176" s="1420">
        <f>L176+N176</f>
        <v>100</v>
      </c>
      <c r="L176" s="1298"/>
      <c r="M176" s="1298"/>
      <c r="N176" s="1380">
        <v>100</v>
      </c>
      <c r="O176" s="1434"/>
      <c r="P176" s="1299"/>
      <c r="Q176" s="1299"/>
      <c r="R176" s="1382"/>
      <c r="S176" s="1421"/>
      <c r="T176" s="1301"/>
      <c r="U176" s="1301"/>
      <c r="V176" s="1383"/>
      <c r="W176" s="282"/>
      <c r="X176" s="1164"/>
      <c r="Y176" s="2883"/>
      <c r="Z176" s="233"/>
      <c r="AA176" s="2183"/>
      <c r="AB176" s="2240"/>
    </row>
    <row r="177" spans="1:33" s="240" customFormat="1" ht="16.5" customHeight="1" x14ac:dyDescent="0.25">
      <c r="A177" s="1352"/>
      <c r="B177" s="2195"/>
      <c r="C177" s="1353"/>
      <c r="D177" s="2208"/>
      <c r="E177" s="3333"/>
      <c r="F177" s="1430"/>
      <c r="H177" s="1433"/>
      <c r="I177" s="3474"/>
      <c r="J177" s="1778"/>
      <c r="K177" s="1364"/>
      <c r="L177" s="1034"/>
      <c r="M177" s="1034"/>
      <c r="N177" s="1064"/>
      <c r="O177" s="1365"/>
      <c r="P177" s="1366"/>
      <c r="Q177" s="1366"/>
      <c r="R177" s="1366"/>
      <c r="S177" s="1367"/>
      <c r="T177" s="687"/>
      <c r="U177" s="687"/>
      <c r="V177" s="687"/>
      <c r="W177" s="72"/>
      <c r="X177" s="335"/>
      <c r="Y177" s="2850"/>
      <c r="Z177" s="235"/>
      <c r="AA177" s="2143"/>
      <c r="AB177" s="2241"/>
    </row>
    <row r="178" spans="1:33" s="240" customFormat="1" ht="16.5" customHeight="1" x14ac:dyDescent="0.25">
      <c r="A178" s="1352"/>
      <c r="B178" s="2195"/>
      <c r="C178" s="1353"/>
      <c r="D178" s="2208"/>
      <c r="E178" s="3333"/>
      <c r="F178" s="1430"/>
      <c r="G178" s="1416"/>
      <c r="H178" s="1433"/>
      <c r="I178" s="3334"/>
      <c r="J178" s="1422" t="s">
        <v>18</v>
      </c>
      <c r="K178" s="1372">
        <f>L178+N178</f>
        <v>100</v>
      </c>
      <c r="L178" s="1373"/>
      <c r="M178" s="1373"/>
      <c r="N178" s="1374">
        <f>SUM(N176:N177)</f>
        <v>100</v>
      </c>
      <c r="O178" s="1372"/>
      <c r="P178" s="1373"/>
      <c r="Q178" s="1373"/>
      <c r="R178" s="1373"/>
      <c r="S178" s="1372"/>
      <c r="T178" s="1373"/>
      <c r="U178" s="1373"/>
      <c r="V178" s="1373"/>
      <c r="W178" s="1541"/>
      <c r="X178" s="1542"/>
      <c r="Y178" s="2850"/>
      <c r="AA178" s="241"/>
      <c r="AB178" s="242"/>
    </row>
    <row r="179" spans="1:33" s="1187" customFormat="1" ht="16.5" customHeight="1" thickBot="1" x14ac:dyDescent="0.3">
      <c r="A179" s="1404"/>
      <c r="B179" s="2211"/>
      <c r="C179" s="1405"/>
      <c r="D179" s="3460"/>
      <c r="E179" s="3461"/>
      <c r="F179" s="3461"/>
      <c r="G179" s="3461"/>
      <c r="H179" s="3461"/>
      <c r="I179" s="3462"/>
      <c r="J179" s="1409" t="s">
        <v>18</v>
      </c>
      <c r="K179" s="210">
        <f>K178+K175+K173+K170+K168+K163+K166+K161</f>
        <v>1791.3999999999999</v>
      </c>
      <c r="L179" s="210">
        <f>L178+L175+L173+L170+L168+L163+L166+L161</f>
        <v>59.4</v>
      </c>
      <c r="M179" s="210">
        <f>M178+M175+M173+M170+M168+M163+M166+M161</f>
        <v>16.899999999999999</v>
      </c>
      <c r="N179" s="210">
        <f>N178+N175+N173+N170+N168+N163+N166+N161</f>
        <v>1732</v>
      </c>
      <c r="O179" s="210">
        <f>O178+O175+O173+O170+O168+O163+O166+O161</f>
        <v>569.79999999999995</v>
      </c>
      <c r="P179" s="210">
        <f t="shared" ref="P179:X179" si="46">P178+P175+P173+P170+P168+P163+P166+P161</f>
        <v>32.599999999999994</v>
      </c>
      <c r="Q179" s="210">
        <f t="shared" si="46"/>
        <v>17.3</v>
      </c>
      <c r="R179" s="210">
        <f t="shared" si="46"/>
        <v>537.20000000000005</v>
      </c>
      <c r="S179" s="210">
        <f t="shared" si="46"/>
        <v>0</v>
      </c>
      <c r="T179" s="210">
        <f t="shared" si="46"/>
        <v>0</v>
      </c>
      <c r="U179" s="210">
        <f t="shared" si="46"/>
        <v>0</v>
      </c>
      <c r="V179" s="210">
        <f t="shared" si="46"/>
        <v>0</v>
      </c>
      <c r="W179" s="210">
        <f t="shared" si="46"/>
        <v>1162.9000000000001</v>
      </c>
      <c r="X179" s="210">
        <f t="shared" si="46"/>
        <v>22.7</v>
      </c>
      <c r="Y179" s="3470"/>
      <c r="Z179" s="3471"/>
      <c r="AA179" s="3471"/>
      <c r="AB179" s="3472"/>
    </row>
    <row r="180" spans="1:33" s="1187" customFormat="1" ht="16.5" customHeight="1" thickBot="1" x14ac:dyDescent="0.3">
      <c r="A180" s="1190" t="s">
        <v>13</v>
      </c>
      <c r="B180" s="1446" t="s">
        <v>22</v>
      </c>
      <c r="C180" s="3463" t="s">
        <v>30</v>
      </c>
      <c r="D180" s="3358"/>
      <c r="E180" s="3358"/>
      <c r="F180" s="3358"/>
      <c r="G180" s="3358"/>
      <c r="H180" s="3358"/>
      <c r="I180" s="3358"/>
      <c r="J180" s="3359"/>
      <c r="K180" s="491">
        <f t="shared" ref="K180:X180" si="47">K179+K156</f>
        <v>6651.5</v>
      </c>
      <c r="L180" s="122">
        <f t="shared" si="47"/>
        <v>129.1</v>
      </c>
      <c r="M180" s="122">
        <f t="shared" si="47"/>
        <v>43.3</v>
      </c>
      <c r="N180" s="490">
        <f t="shared" si="47"/>
        <v>6522.4</v>
      </c>
      <c r="O180" s="491">
        <f>O179+O156</f>
        <v>2222.9</v>
      </c>
      <c r="P180" s="1717">
        <f t="shared" si="47"/>
        <v>219.20000000000002</v>
      </c>
      <c r="Q180" s="123">
        <f t="shared" si="47"/>
        <v>26.1</v>
      </c>
      <c r="R180" s="1718">
        <f t="shared" si="47"/>
        <v>2003.7</v>
      </c>
      <c r="S180" s="491">
        <f t="shared" si="47"/>
        <v>0</v>
      </c>
      <c r="T180" s="122">
        <f t="shared" si="47"/>
        <v>0</v>
      </c>
      <c r="U180" s="122">
        <f t="shared" si="47"/>
        <v>0</v>
      </c>
      <c r="V180" s="490">
        <f t="shared" si="47"/>
        <v>0</v>
      </c>
      <c r="W180" s="1587">
        <f t="shared" si="47"/>
        <v>1162.9000000000001</v>
      </c>
      <c r="X180" s="1587">
        <f t="shared" si="47"/>
        <v>22.7</v>
      </c>
      <c r="Y180" s="3438"/>
      <c r="Z180" s="3439"/>
      <c r="AA180" s="3439"/>
      <c r="AB180" s="3440"/>
    </row>
    <row r="181" spans="1:33" ht="16.5" customHeight="1" thickBot="1" x14ac:dyDescent="0.25">
      <c r="A181" s="1190" t="s">
        <v>13</v>
      </c>
      <c r="B181" s="1446" t="s">
        <v>24</v>
      </c>
      <c r="C181" s="3467" t="s">
        <v>96</v>
      </c>
      <c r="D181" s="3468"/>
      <c r="E181" s="3468"/>
      <c r="F181" s="3468"/>
      <c r="G181" s="3468"/>
      <c r="H181" s="3468"/>
      <c r="I181" s="3468"/>
      <c r="J181" s="3468"/>
      <c r="K181" s="3468"/>
      <c r="L181" s="3468"/>
      <c r="M181" s="3468"/>
      <c r="N181" s="3468"/>
      <c r="O181" s="3468"/>
      <c r="P181" s="3468"/>
      <c r="Q181" s="3468"/>
      <c r="R181" s="3468"/>
      <c r="S181" s="3468"/>
      <c r="T181" s="3468"/>
      <c r="U181" s="3468"/>
      <c r="V181" s="3468"/>
      <c r="W181" s="3468"/>
      <c r="X181" s="3468"/>
      <c r="Y181" s="3468"/>
      <c r="Z181" s="3468"/>
      <c r="AA181" s="3468"/>
      <c r="AB181" s="3469"/>
    </row>
    <row r="182" spans="1:33" ht="16.5" customHeight="1" x14ac:dyDescent="0.2">
      <c r="A182" s="3454" t="s">
        <v>13</v>
      </c>
      <c r="B182" s="3456" t="s">
        <v>24</v>
      </c>
      <c r="C182" s="3458" t="s">
        <v>13</v>
      </c>
      <c r="D182" s="1519"/>
      <c r="E182" s="1456" t="s">
        <v>268</v>
      </c>
      <c r="F182" s="1502"/>
      <c r="G182" s="3348" t="s">
        <v>36</v>
      </c>
      <c r="H182" s="1499"/>
      <c r="I182" s="1496"/>
      <c r="J182" s="1347"/>
      <c r="K182" s="1364"/>
      <c r="L182" s="1033"/>
      <c r="M182" s="1033"/>
      <c r="N182" s="1034"/>
      <c r="O182" s="1349"/>
      <c r="P182" s="1285"/>
      <c r="Q182" s="1285"/>
      <c r="R182" s="1447"/>
      <c r="S182" s="1448"/>
      <c r="T182" s="686"/>
      <c r="U182" s="686"/>
      <c r="V182" s="687"/>
      <c r="W182" s="692"/>
      <c r="X182" s="63"/>
      <c r="Y182" s="1504"/>
      <c r="Z182" s="2167"/>
      <c r="AA182" s="2165"/>
      <c r="AB182" s="2166"/>
    </row>
    <row r="183" spans="1:33" ht="15" customHeight="1" x14ac:dyDescent="0.2">
      <c r="A183" s="3455"/>
      <c r="B183" s="3457"/>
      <c r="C183" s="3459"/>
      <c r="D183" s="1521" t="s">
        <v>13</v>
      </c>
      <c r="E183" s="1478" t="s">
        <v>302</v>
      </c>
      <c r="F183" s="1423"/>
      <c r="G183" s="3349"/>
      <c r="H183" s="1501" t="s">
        <v>53</v>
      </c>
      <c r="I183" s="1498" t="s">
        <v>146</v>
      </c>
      <c r="J183" s="604" t="s">
        <v>27</v>
      </c>
      <c r="K183" s="1356">
        <f>L183+N183</f>
        <v>300</v>
      </c>
      <c r="L183" s="1291"/>
      <c r="M183" s="1091"/>
      <c r="N183" s="1291">
        <v>300</v>
      </c>
      <c r="O183" s="1356">
        <f>P183+R183</f>
        <v>400</v>
      </c>
      <c r="P183" s="1291"/>
      <c r="Q183" s="1091"/>
      <c r="R183" s="1696">
        <v>400</v>
      </c>
      <c r="S183" s="1449"/>
      <c r="T183" s="1295"/>
      <c r="U183" s="462"/>
      <c r="V183" s="1295"/>
      <c r="W183" s="1120"/>
      <c r="X183" s="1119"/>
      <c r="Y183" s="2883" t="s">
        <v>326</v>
      </c>
      <c r="Z183" s="1771"/>
      <c r="AA183" s="1772"/>
      <c r="AB183" s="1773"/>
    </row>
    <row r="184" spans="1:33" ht="15" customHeight="1" x14ac:dyDescent="0.2">
      <c r="A184" s="3455"/>
      <c r="B184" s="3457"/>
      <c r="C184" s="3459"/>
      <c r="D184" s="1520"/>
      <c r="E184" s="1477"/>
      <c r="F184" s="1428"/>
      <c r="G184" s="3349"/>
      <c r="H184" s="1500"/>
      <c r="I184" s="1497"/>
      <c r="J184" s="1388" t="s">
        <v>21</v>
      </c>
      <c r="K184" s="1506">
        <f>L184+N184</f>
        <v>1300</v>
      </c>
      <c r="L184" s="1507"/>
      <c r="M184" s="1031"/>
      <c r="N184" s="1507">
        <v>1300</v>
      </c>
      <c r="O184" s="492"/>
      <c r="P184" s="1294"/>
      <c r="Q184" s="1515"/>
      <c r="R184" s="62"/>
      <c r="S184" s="1513"/>
      <c r="T184" s="462"/>
      <c r="U184" s="1513"/>
      <c r="V184" s="1360"/>
      <c r="W184" s="66"/>
      <c r="X184" s="63"/>
      <c r="Y184" s="2850"/>
      <c r="Z184" s="2182"/>
      <c r="AA184" s="288"/>
      <c r="AB184" s="289"/>
    </row>
    <row r="185" spans="1:33" ht="15" customHeight="1" x14ac:dyDescent="0.2">
      <c r="A185" s="3455"/>
      <c r="B185" s="3457"/>
      <c r="C185" s="3459"/>
      <c r="D185" s="1520"/>
      <c r="E185" s="1477"/>
      <c r="F185" s="1428"/>
      <c r="G185" s="3349"/>
      <c r="H185" s="1500"/>
      <c r="I185" s="1497"/>
      <c r="J185" s="1522" t="s">
        <v>18</v>
      </c>
      <c r="K185" s="383">
        <f>SUM(K183:K184)</f>
        <v>1600</v>
      </c>
      <c r="L185" s="379"/>
      <c r="M185" s="393"/>
      <c r="N185" s="379">
        <f>SUM(N183:N184)</f>
        <v>1600</v>
      </c>
      <c r="O185" s="378">
        <f>P185+R185</f>
        <v>400</v>
      </c>
      <c r="P185" s="393"/>
      <c r="Q185" s="379"/>
      <c r="R185" s="479">
        <f>SUM(R183:R184)</f>
        <v>400</v>
      </c>
      <c r="S185" s="379"/>
      <c r="T185" s="393"/>
      <c r="U185" s="379"/>
      <c r="V185" s="479"/>
      <c r="W185" s="404"/>
      <c r="X185" s="379"/>
      <c r="Y185" s="2851"/>
      <c r="Z185" s="1516"/>
      <c r="AA185" s="1517"/>
      <c r="AB185" s="2083">
        <v>100</v>
      </c>
    </row>
    <row r="186" spans="1:33" ht="16.5" customHeight="1" x14ac:dyDescent="0.2">
      <c r="A186" s="3455"/>
      <c r="B186" s="3457"/>
      <c r="C186" s="3459"/>
      <c r="D186" s="1521" t="s">
        <v>19</v>
      </c>
      <c r="E186" s="3279" t="s">
        <v>272</v>
      </c>
      <c r="F186" s="3464" t="s">
        <v>273</v>
      </c>
      <c r="G186" s="3349"/>
      <c r="H186" s="1501" t="s">
        <v>95</v>
      </c>
      <c r="I186" s="1498" t="s">
        <v>160</v>
      </c>
      <c r="J186" s="604" t="s">
        <v>148</v>
      </c>
      <c r="K186" s="1356"/>
      <c r="L186" s="1291"/>
      <c r="M186" s="1091"/>
      <c r="N186" s="1291"/>
      <c r="O186" s="1358">
        <f>P186+R186</f>
        <v>53.7</v>
      </c>
      <c r="P186" s="1119"/>
      <c r="Q186" s="1294"/>
      <c r="R186" s="57">
        <v>53.7</v>
      </c>
      <c r="S186" s="1449">
        <f>T186+V186</f>
        <v>0</v>
      </c>
      <c r="T186" s="1295"/>
      <c r="U186" s="462"/>
      <c r="V186" s="1295">
        <v>0</v>
      </c>
      <c r="W186" s="282"/>
      <c r="X186" s="1450"/>
      <c r="Y186" s="2883" t="s">
        <v>279</v>
      </c>
      <c r="Z186" s="1682">
        <v>1</v>
      </c>
      <c r="AA186" s="2149"/>
      <c r="AB186" s="2145"/>
    </row>
    <row r="187" spans="1:33" ht="16.5" customHeight="1" x14ac:dyDescent="0.2">
      <c r="A187" s="3455"/>
      <c r="B187" s="3457"/>
      <c r="C187" s="3459"/>
      <c r="D187" s="1785"/>
      <c r="E187" s="3366"/>
      <c r="F187" s="3465"/>
      <c r="G187" s="3349"/>
      <c r="H187" s="1786"/>
      <c r="I187" s="1497"/>
      <c r="J187" s="1388" t="s">
        <v>27</v>
      </c>
      <c r="K187" s="1506"/>
      <c r="L187" s="1507"/>
      <c r="M187" s="1031"/>
      <c r="N187" s="1507"/>
      <c r="O187" s="1508"/>
      <c r="P187" s="1509"/>
      <c r="Q187" s="1510"/>
      <c r="R187" s="335"/>
      <c r="S187" s="1793"/>
      <c r="T187" s="1511"/>
      <c r="U187" s="684"/>
      <c r="V187" s="1511"/>
      <c r="W187" s="1120">
        <v>386.1</v>
      </c>
      <c r="X187" s="57">
        <v>579.1</v>
      </c>
      <c r="Y187" s="2851"/>
      <c r="Z187" s="1794"/>
      <c r="AA187" s="2148"/>
      <c r="AB187" s="1795"/>
    </row>
    <row r="188" spans="1:33" ht="16.5" customHeight="1" x14ac:dyDescent="0.2">
      <c r="A188" s="3455"/>
      <c r="B188" s="3457"/>
      <c r="C188" s="3459"/>
      <c r="D188" s="1767"/>
      <c r="E188" s="3366"/>
      <c r="F188" s="3465"/>
      <c r="G188" s="3349"/>
      <c r="H188" s="1500"/>
      <c r="I188" s="1497"/>
      <c r="J188" s="1378" t="s">
        <v>41</v>
      </c>
      <c r="K188" s="1420"/>
      <c r="L188" s="1297"/>
      <c r="M188" s="1298"/>
      <c r="N188" s="1297"/>
      <c r="O188" s="1434"/>
      <c r="P188" s="1450"/>
      <c r="Q188" s="1299"/>
      <c r="R188" s="1164"/>
      <c r="S188" s="1451"/>
      <c r="T188" s="1300"/>
      <c r="U188" s="1301"/>
      <c r="V188" s="1300"/>
      <c r="W188" s="282">
        <v>2187.8000000000002</v>
      </c>
      <c r="X188" s="1450">
        <v>3281.7</v>
      </c>
      <c r="Y188" s="1581" t="s">
        <v>280</v>
      </c>
      <c r="Z188" s="1771"/>
      <c r="AA188" s="1772">
        <v>30</v>
      </c>
      <c r="AB188" s="1773">
        <v>80</v>
      </c>
    </row>
    <row r="189" spans="1:33" ht="16.5" customHeight="1" x14ac:dyDescent="0.2">
      <c r="A189" s="3455"/>
      <c r="B189" s="3457"/>
      <c r="C189" s="3459"/>
      <c r="D189" s="1768"/>
      <c r="E189" s="3280"/>
      <c r="F189" s="3465"/>
      <c r="G189" s="3349"/>
      <c r="H189" s="1500"/>
      <c r="I189" s="1497"/>
      <c r="J189" s="1788" t="s">
        <v>18</v>
      </c>
      <c r="K189" s="1372"/>
      <c r="L189" s="1443"/>
      <c r="M189" s="1789"/>
      <c r="N189" s="1443"/>
      <c r="O189" s="1372">
        <f>SUM(O186:O188)</f>
        <v>53.7</v>
      </c>
      <c r="P189" s="1443"/>
      <c r="Q189" s="1789"/>
      <c r="R189" s="1444">
        <f>SUM(R186:R188)</f>
        <v>53.7</v>
      </c>
      <c r="S189" s="1442">
        <f>SUM(S186:S188)</f>
        <v>0</v>
      </c>
      <c r="T189" s="1443"/>
      <c r="U189" s="1789"/>
      <c r="V189" s="1443">
        <f>SUM(V186:V188)</f>
        <v>0</v>
      </c>
      <c r="W189" s="1445">
        <f>SUM(W186:W188)</f>
        <v>2573.9</v>
      </c>
      <c r="X189" s="1443">
        <f>SUM(X186:X188)</f>
        <v>3860.7999999999997</v>
      </c>
      <c r="Y189" s="1505"/>
      <c r="Z189" s="2182"/>
      <c r="AA189" s="288"/>
      <c r="AB189" s="289"/>
    </row>
    <row r="190" spans="1:33" ht="16.5" customHeight="1" x14ac:dyDescent="0.2">
      <c r="A190" s="3455"/>
      <c r="B190" s="3457"/>
      <c r="C190" s="3459"/>
      <c r="D190" s="1521" t="s">
        <v>22</v>
      </c>
      <c r="E190" s="3279" t="s">
        <v>275</v>
      </c>
      <c r="F190" s="3465"/>
      <c r="G190" s="3349"/>
      <c r="H190" s="1500"/>
      <c r="I190" s="1497"/>
      <c r="J190" s="1378" t="s">
        <v>148</v>
      </c>
      <c r="K190" s="1420"/>
      <c r="L190" s="1297"/>
      <c r="M190" s="1298"/>
      <c r="N190" s="1297"/>
      <c r="O190" s="1434">
        <f>P190+R190</f>
        <v>112.6</v>
      </c>
      <c r="P190" s="1450"/>
      <c r="Q190" s="1299"/>
      <c r="R190" s="1164">
        <v>112.6</v>
      </c>
      <c r="S190" s="1451"/>
      <c r="T190" s="1300"/>
      <c r="U190" s="1301"/>
      <c r="V190" s="1300"/>
      <c r="W190" s="282"/>
      <c r="X190" s="1450"/>
      <c r="Y190" s="2883" t="s">
        <v>279</v>
      </c>
      <c r="Z190" s="1771">
        <v>1</v>
      </c>
      <c r="AA190" s="1772"/>
      <c r="AB190" s="1773"/>
    </row>
    <row r="191" spans="1:33" ht="16.5" customHeight="1" x14ac:dyDescent="0.2">
      <c r="A191" s="3455"/>
      <c r="B191" s="3457"/>
      <c r="C191" s="3459"/>
      <c r="D191" s="1787"/>
      <c r="E191" s="3366"/>
      <c r="F191" s="3465"/>
      <c r="G191" s="3349"/>
      <c r="H191" s="1500"/>
      <c r="I191" s="1497"/>
      <c r="J191" s="604" t="s">
        <v>27</v>
      </c>
      <c r="K191" s="1356"/>
      <c r="L191" s="1291"/>
      <c r="M191" s="1091"/>
      <c r="N191" s="1291"/>
      <c r="O191" s="1358"/>
      <c r="P191" s="1119"/>
      <c r="Q191" s="1294"/>
      <c r="R191" s="57"/>
      <c r="S191" s="1449"/>
      <c r="T191" s="1295"/>
      <c r="U191" s="462"/>
      <c r="V191" s="1295"/>
      <c r="W191" s="1120">
        <v>431.4</v>
      </c>
      <c r="X191" s="57">
        <v>647.20000000000005</v>
      </c>
      <c r="Y191" s="2851"/>
      <c r="Z191" s="1790"/>
      <c r="AA191" s="1791"/>
      <c r="AB191" s="1792"/>
      <c r="AE191" s="1435"/>
    </row>
    <row r="192" spans="1:33" ht="16.5" customHeight="1" x14ac:dyDescent="0.2">
      <c r="A192" s="3455"/>
      <c r="B192" s="3457"/>
      <c r="C192" s="3459"/>
      <c r="D192" s="1520"/>
      <c r="E192" s="3366"/>
      <c r="F192" s="3465"/>
      <c r="G192" s="3349"/>
      <c r="H192" s="1500"/>
      <c r="I192" s="1497"/>
      <c r="J192" s="1378" t="s">
        <v>41</v>
      </c>
      <c r="K192" s="1420"/>
      <c r="L192" s="1297"/>
      <c r="M192" s="1298"/>
      <c r="N192" s="1297"/>
      <c r="O192" s="1434"/>
      <c r="P192" s="1450"/>
      <c r="Q192" s="1299"/>
      <c r="R192" s="1164"/>
      <c r="S192" s="1451"/>
      <c r="T192" s="1300"/>
      <c r="U192" s="1301"/>
      <c r="V192" s="1300"/>
      <c r="W192" s="282">
        <v>2444.8000000000002</v>
      </c>
      <c r="X192" s="1450">
        <v>3667.2</v>
      </c>
      <c r="Y192" s="2150" t="s">
        <v>280</v>
      </c>
      <c r="Z192" s="1771"/>
      <c r="AA192" s="1772">
        <v>30</v>
      </c>
      <c r="AB192" s="1773">
        <v>80</v>
      </c>
      <c r="AG192" s="1435"/>
    </row>
    <row r="193" spans="1:30" ht="16.5" customHeight="1" x14ac:dyDescent="0.2">
      <c r="A193" s="3455"/>
      <c r="B193" s="3457"/>
      <c r="C193" s="3459"/>
      <c r="D193" s="1520"/>
      <c r="E193" s="3280"/>
      <c r="F193" s="3466"/>
      <c r="G193" s="3473"/>
      <c r="H193" s="1769"/>
      <c r="I193" s="1770"/>
      <c r="J193" s="1788" t="s">
        <v>18</v>
      </c>
      <c r="K193" s="1421"/>
      <c r="L193" s="1300"/>
      <c r="M193" s="1301"/>
      <c r="N193" s="1300"/>
      <c r="O193" s="1372">
        <f>SUM(O190:O192)</f>
        <v>112.6</v>
      </c>
      <c r="P193" s="1443"/>
      <c r="Q193" s="1789"/>
      <c r="R193" s="1444">
        <f>SUM(R190:R192)</f>
        <v>112.6</v>
      </c>
      <c r="S193" s="1442"/>
      <c r="T193" s="1443"/>
      <c r="U193" s="1789"/>
      <c r="V193" s="1443"/>
      <c r="W193" s="1445">
        <f>SUM(W190:W192)</f>
        <v>2876.2000000000003</v>
      </c>
      <c r="X193" s="1443">
        <f>SUM(X190:X192)</f>
        <v>4314.3999999999996</v>
      </c>
      <c r="Y193" s="2141"/>
      <c r="Z193" s="2182"/>
      <c r="AA193" s="288"/>
      <c r="AB193" s="289"/>
    </row>
    <row r="194" spans="1:30" ht="16.5" customHeight="1" thickBot="1" x14ac:dyDescent="0.25">
      <c r="A194" s="2193"/>
      <c r="B194" s="2195"/>
      <c r="C194" s="2197"/>
      <c r="D194" s="1520"/>
      <c r="E194" s="3452"/>
      <c r="F194" s="3452"/>
      <c r="G194" s="3452"/>
      <c r="H194" s="3452"/>
      <c r="I194" s="3453"/>
      <c r="J194" s="1527" t="s">
        <v>18</v>
      </c>
      <c r="K194" s="1528">
        <f>K193+K189+K185</f>
        <v>1600</v>
      </c>
      <c r="L194" s="1528"/>
      <c r="M194" s="1528"/>
      <c r="N194" s="1529">
        <f t="shared" ref="N194:X194" si="48">N193+N189+N185</f>
        <v>1600</v>
      </c>
      <c r="O194" s="1774">
        <f t="shared" si="48"/>
        <v>566.29999999999995</v>
      </c>
      <c r="P194" s="1528">
        <f t="shared" si="48"/>
        <v>0</v>
      </c>
      <c r="Q194" s="1528">
        <f t="shared" si="48"/>
        <v>0</v>
      </c>
      <c r="R194" s="1775">
        <f t="shared" si="48"/>
        <v>566.29999999999995</v>
      </c>
      <c r="S194" s="1528">
        <f t="shared" si="48"/>
        <v>0</v>
      </c>
      <c r="T194" s="1528">
        <f t="shared" si="48"/>
        <v>0</v>
      </c>
      <c r="U194" s="1528">
        <f t="shared" si="48"/>
        <v>0</v>
      </c>
      <c r="V194" s="1528">
        <f t="shared" si="48"/>
        <v>0</v>
      </c>
      <c r="W194" s="1528">
        <f t="shared" si="48"/>
        <v>5450.1</v>
      </c>
      <c r="X194" s="1528">
        <f t="shared" si="48"/>
        <v>8175.1999999999989</v>
      </c>
      <c r="Y194" s="1526"/>
      <c r="Z194" s="1530"/>
      <c r="AA194" s="1531"/>
      <c r="AB194" s="1532"/>
    </row>
    <row r="195" spans="1:30" ht="41.25" customHeight="1" x14ac:dyDescent="0.2">
      <c r="A195" s="1344" t="s">
        <v>13</v>
      </c>
      <c r="B195" s="2200" t="s">
        <v>24</v>
      </c>
      <c r="C195" s="1602" t="s">
        <v>19</v>
      </c>
      <c r="D195" s="1314"/>
      <c r="E195" s="1753" t="s">
        <v>97</v>
      </c>
      <c r="F195" s="1754"/>
      <c r="G195" s="1755"/>
      <c r="H195" s="1221" t="s">
        <v>26</v>
      </c>
      <c r="I195" s="3441" t="s">
        <v>147</v>
      </c>
      <c r="J195" s="201"/>
      <c r="K195" s="311"/>
      <c r="L195" s="309"/>
      <c r="M195" s="309"/>
      <c r="N195" s="1067"/>
      <c r="O195" s="1720"/>
      <c r="P195" s="1721"/>
      <c r="Q195" s="1721"/>
      <c r="R195" s="1756"/>
      <c r="S195" s="365"/>
      <c r="T195" s="351"/>
      <c r="U195" s="351"/>
      <c r="V195" s="388"/>
      <c r="W195" s="98"/>
      <c r="X195" s="1129"/>
      <c r="Y195" s="1757"/>
      <c r="Z195" s="243"/>
      <c r="AA195" s="244"/>
      <c r="AB195" s="245"/>
    </row>
    <row r="196" spans="1:30" ht="26.25" customHeight="1" x14ac:dyDescent="0.2">
      <c r="A196" s="1352"/>
      <c r="B196" s="2195"/>
      <c r="C196" s="2192"/>
      <c r="D196" s="2130"/>
      <c r="E196" s="1452" t="s">
        <v>73</v>
      </c>
      <c r="F196" s="1503"/>
      <c r="G196" s="1454" t="s">
        <v>13</v>
      </c>
      <c r="H196" s="2180"/>
      <c r="I196" s="3442"/>
      <c r="J196" s="199" t="s">
        <v>32</v>
      </c>
      <c r="K196" s="1090">
        <f t="shared" ref="K196:K200" si="49">L196+N196</f>
        <v>140</v>
      </c>
      <c r="L196" s="1091">
        <v>140</v>
      </c>
      <c r="M196" s="326"/>
      <c r="N196" s="1070"/>
      <c r="O196" s="293">
        <v>130</v>
      </c>
      <c r="P196" s="193">
        <v>130</v>
      </c>
      <c r="Q196" s="193"/>
      <c r="R196" s="294"/>
      <c r="S196" s="395">
        <f t="shared" ref="S196:S200" si="50">T196+V196</f>
        <v>0</v>
      </c>
      <c r="T196" s="462">
        <v>0</v>
      </c>
      <c r="U196" s="343"/>
      <c r="V196" s="389"/>
      <c r="W196" s="1120">
        <v>120</v>
      </c>
      <c r="X196" s="1120">
        <v>110</v>
      </c>
      <c r="Y196" s="1183" t="s">
        <v>220</v>
      </c>
      <c r="Z196" s="2151">
        <v>30</v>
      </c>
      <c r="AA196" s="2152">
        <v>25</v>
      </c>
      <c r="AB196" s="2154">
        <v>20</v>
      </c>
    </row>
    <row r="197" spans="1:30" ht="27.75" customHeight="1" x14ac:dyDescent="0.2">
      <c r="A197" s="1352"/>
      <c r="B197" s="2195"/>
      <c r="C197" s="2192"/>
      <c r="D197" s="1319"/>
      <c r="E197" s="2244" t="s">
        <v>74</v>
      </c>
      <c r="F197" s="1503" t="s">
        <v>274</v>
      </c>
      <c r="G197" s="2198" t="s">
        <v>36</v>
      </c>
      <c r="H197" s="1603"/>
      <c r="I197" s="1259"/>
      <c r="J197" s="203" t="s">
        <v>32</v>
      </c>
      <c r="K197" s="981">
        <f t="shared" si="49"/>
        <v>900</v>
      </c>
      <c r="L197" s="1031">
        <v>900</v>
      </c>
      <c r="M197" s="1031"/>
      <c r="N197" s="1032"/>
      <c r="O197" s="1523">
        <v>1130</v>
      </c>
      <c r="P197" s="1524">
        <v>1130</v>
      </c>
      <c r="Q197" s="1524"/>
      <c r="R197" s="1525"/>
      <c r="S197" s="468">
        <f t="shared" si="50"/>
        <v>0</v>
      </c>
      <c r="T197" s="684">
        <v>0</v>
      </c>
      <c r="U197" s="684"/>
      <c r="V197" s="685"/>
      <c r="W197" s="72">
        <v>1100</v>
      </c>
      <c r="X197" s="72">
        <v>1100</v>
      </c>
      <c r="Y197" s="1752" t="s">
        <v>79</v>
      </c>
      <c r="Z197" s="1939">
        <v>40</v>
      </c>
      <c r="AA197" s="2148">
        <v>40</v>
      </c>
      <c r="AB197" s="2144">
        <v>39</v>
      </c>
    </row>
    <row r="198" spans="1:30" ht="52.5" customHeight="1" x14ac:dyDescent="0.2">
      <c r="A198" s="1352"/>
      <c r="B198" s="2195"/>
      <c r="C198" s="2192"/>
      <c r="D198" s="1319"/>
      <c r="E198" s="1452" t="s">
        <v>75</v>
      </c>
      <c r="F198" s="1503"/>
      <c r="G198" s="1454" t="s">
        <v>36</v>
      </c>
      <c r="H198" s="1603"/>
      <c r="I198" s="1259"/>
      <c r="J198" s="199" t="s">
        <v>32</v>
      </c>
      <c r="K198" s="1090">
        <f t="shared" si="49"/>
        <v>710</v>
      </c>
      <c r="L198" s="1091">
        <v>710</v>
      </c>
      <c r="M198" s="1091"/>
      <c r="N198" s="1092"/>
      <c r="O198" s="1544">
        <v>900</v>
      </c>
      <c r="P198" s="1545">
        <f>O198-R198</f>
        <v>700</v>
      </c>
      <c r="Q198" s="1545"/>
      <c r="R198" s="1546">
        <v>200</v>
      </c>
      <c r="S198" s="395">
        <f t="shared" si="50"/>
        <v>0</v>
      </c>
      <c r="T198" s="462">
        <v>0</v>
      </c>
      <c r="U198" s="462"/>
      <c r="V198" s="463"/>
      <c r="W198" s="1120">
        <v>940</v>
      </c>
      <c r="X198" s="1120">
        <v>950</v>
      </c>
      <c r="Y198" s="1183" t="s">
        <v>170</v>
      </c>
      <c r="Z198" s="2151">
        <v>100</v>
      </c>
      <c r="AA198" s="2152">
        <v>110</v>
      </c>
      <c r="AB198" s="2154">
        <v>115</v>
      </c>
    </row>
    <row r="199" spans="1:30" ht="41.25" customHeight="1" x14ac:dyDescent="0.2">
      <c r="A199" s="1352"/>
      <c r="B199" s="2195"/>
      <c r="C199" s="2192"/>
      <c r="D199" s="1319"/>
      <c r="E199" s="1452" t="s">
        <v>76</v>
      </c>
      <c r="F199" s="1453"/>
      <c r="G199" s="1454" t="s">
        <v>36</v>
      </c>
      <c r="H199" s="1603"/>
      <c r="I199" s="1259"/>
      <c r="J199" s="199" t="s">
        <v>32</v>
      </c>
      <c r="K199" s="1090">
        <f t="shared" si="49"/>
        <v>50</v>
      </c>
      <c r="L199" s="1091">
        <v>50</v>
      </c>
      <c r="M199" s="1091"/>
      <c r="N199" s="1092"/>
      <c r="O199" s="293">
        <v>40</v>
      </c>
      <c r="P199" s="193">
        <v>40</v>
      </c>
      <c r="Q199" s="193"/>
      <c r="R199" s="294"/>
      <c r="S199" s="395">
        <f t="shared" si="50"/>
        <v>0</v>
      </c>
      <c r="T199" s="462">
        <v>0</v>
      </c>
      <c r="U199" s="462"/>
      <c r="V199" s="463"/>
      <c r="W199" s="1120">
        <v>40</v>
      </c>
      <c r="X199" s="1120">
        <v>40</v>
      </c>
      <c r="Y199" s="1183" t="s">
        <v>171</v>
      </c>
      <c r="Z199" s="2151">
        <v>60</v>
      </c>
      <c r="AA199" s="2152">
        <v>50</v>
      </c>
      <c r="AB199" s="2154">
        <v>40</v>
      </c>
    </row>
    <row r="200" spans="1:30" ht="29.25" customHeight="1" x14ac:dyDescent="0.2">
      <c r="A200" s="1352"/>
      <c r="B200" s="2195"/>
      <c r="C200" s="3443"/>
      <c r="D200" s="1319"/>
      <c r="E200" s="1452" t="s">
        <v>77</v>
      </c>
      <c r="F200" s="1453"/>
      <c r="G200" s="1454" t="s">
        <v>36</v>
      </c>
      <c r="H200" s="1603"/>
      <c r="I200" s="1259"/>
      <c r="J200" s="199" t="s">
        <v>32</v>
      </c>
      <c r="K200" s="1090">
        <f t="shared" si="49"/>
        <v>700</v>
      </c>
      <c r="L200" s="1091">
        <v>700</v>
      </c>
      <c r="M200" s="1091"/>
      <c r="N200" s="1092"/>
      <c r="O200" s="293">
        <v>700</v>
      </c>
      <c r="P200" s="193">
        <v>700</v>
      </c>
      <c r="Q200" s="193"/>
      <c r="R200" s="294"/>
      <c r="S200" s="395">
        <f t="shared" si="50"/>
        <v>0</v>
      </c>
      <c r="T200" s="462">
        <v>0</v>
      </c>
      <c r="U200" s="462"/>
      <c r="V200" s="463"/>
      <c r="W200" s="1120">
        <v>700</v>
      </c>
      <c r="X200" s="1120">
        <v>700</v>
      </c>
      <c r="Y200" s="1183" t="s">
        <v>125</v>
      </c>
      <c r="Z200" s="2151">
        <v>84</v>
      </c>
      <c r="AA200" s="2152">
        <v>85</v>
      </c>
      <c r="AB200" s="2154">
        <v>86</v>
      </c>
      <c r="AD200" s="338"/>
    </row>
    <row r="201" spans="1:30" ht="13.5" customHeight="1" x14ac:dyDescent="0.2">
      <c r="A201" s="1352"/>
      <c r="B201" s="2195"/>
      <c r="C201" s="3443"/>
      <c r="D201" s="1319"/>
      <c r="E201" s="3345" t="s">
        <v>78</v>
      </c>
      <c r="F201" s="1453"/>
      <c r="G201" s="3445" t="s">
        <v>36</v>
      </c>
      <c r="H201" s="3446"/>
      <c r="I201" s="1259"/>
      <c r="J201" s="283" t="s">
        <v>21</v>
      </c>
      <c r="K201" s="965">
        <f t="shared" ref="K201" si="51">L201+N201</f>
        <v>19</v>
      </c>
      <c r="L201" s="965">
        <v>19</v>
      </c>
      <c r="M201" s="965"/>
      <c r="N201" s="1047"/>
      <c r="O201" s="277">
        <v>19</v>
      </c>
      <c r="P201" s="167">
        <v>19</v>
      </c>
      <c r="Q201" s="2147"/>
      <c r="R201" s="295"/>
      <c r="S201" s="400">
        <f t="shared" ref="S201" si="52">T201+V201</f>
        <v>0</v>
      </c>
      <c r="T201" s="400">
        <v>0</v>
      </c>
      <c r="U201" s="400"/>
      <c r="V201" s="401"/>
      <c r="W201" s="1547">
        <v>19</v>
      </c>
      <c r="X201" s="1547">
        <v>19</v>
      </c>
      <c r="Y201" s="3344" t="s">
        <v>149</v>
      </c>
      <c r="Z201" s="1682">
        <v>12</v>
      </c>
      <c r="AA201" s="2149">
        <v>12</v>
      </c>
      <c r="AB201" s="2145">
        <v>12</v>
      </c>
    </row>
    <row r="202" spans="1:30" ht="13.5" customHeight="1" x14ac:dyDescent="0.2">
      <c r="A202" s="1455"/>
      <c r="B202" s="2195"/>
      <c r="C202" s="3443"/>
      <c r="D202" s="1319"/>
      <c r="E202" s="3296"/>
      <c r="F202" s="1453"/>
      <c r="G202" s="3349"/>
      <c r="H202" s="3446"/>
      <c r="I202" s="1259"/>
      <c r="J202" s="253"/>
      <c r="K202" s="978"/>
      <c r="L202" s="978"/>
      <c r="M202" s="978"/>
      <c r="N202" s="1030"/>
      <c r="O202" s="260"/>
      <c r="P202" s="150"/>
      <c r="Q202" s="158"/>
      <c r="R202" s="331"/>
      <c r="S202" s="396"/>
      <c r="T202" s="396"/>
      <c r="U202" s="396"/>
      <c r="V202" s="688"/>
      <c r="W202" s="262"/>
      <c r="X202" s="262"/>
      <c r="Y202" s="2809"/>
      <c r="Z202" s="1184"/>
      <c r="AA202" s="1185"/>
      <c r="AB202" s="1186"/>
    </row>
    <row r="203" spans="1:30" ht="13.5" customHeight="1" thickBot="1" x14ac:dyDescent="0.25">
      <c r="A203" s="1457"/>
      <c r="B203" s="2211"/>
      <c r="C203" s="3444"/>
      <c r="D203" s="1335"/>
      <c r="E203" s="2823"/>
      <c r="F203" s="2131"/>
      <c r="G203" s="3350"/>
      <c r="H203" s="3447"/>
      <c r="I203" s="2132"/>
      <c r="J203" s="1214" t="s">
        <v>18</v>
      </c>
      <c r="K203" s="363">
        <f>L203+N203</f>
        <v>2519</v>
      </c>
      <c r="L203" s="363">
        <f>SUM(L196:L202)</f>
        <v>2519</v>
      </c>
      <c r="M203" s="363">
        <f t="shared" ref="M203:V203" si="53">SUM(M196:M202)</f>
        <v>0</v>
      </c>
      <c r="N203" s="361">
        <f t="shared" si="53"/>
        <v>0</v>
      </c>
      <c r="O203" s="360">
        <f>SUM(O196:O202)</f>
        <v>2919</v>
      </c>
      <c r="P203" s="363">
        <f>SUM(P196:P202)</f>
        <v>2719</v>
      </c>
      <c r="Q203" s="363">
        <f t="shared" si="53"/>
        <v>0</v>
      </c>
      <c r="R203" s="433">
        <f>SUM(R196:R202)</f>
        <v>200</v>
      </c>
      <c r="S203" s="363">
        <f t="shared" si="53"/>
        <v>0</v>
      </c>
      <c r="T203" s="363">
        <f t="shared" si="53"/>
        <v>0</v>
      </c>
      <c r="U203" s="363">
        <f t="shared" si="53"/>
        <v>0</v>
      </c>
      <c r="V203" s="361">
        <f t="shared" si="53"/>
        <v>0</v>
      </c>
      <c r="W203" s="382">
        <f>SUM(W196:W202)</f>
        <v>2919</v>
      </c>
      <c r="X203" s="363">
        <f>SUM(X196:X202)</f>
        <v>2919</v>
      </c>
      <c r="Y203" s="2810"/>
      <c r="Z203" s="296"/>
      <c r="AA203" s="297"/>
      <c r="AB203" s="298"/>
      <c r="AD203" s="1435"/>
    </row>
    <row r="204" spans="1:30" ht="42" customHeight="1" x14ac:dyDescent="0.2">
      <c r="A204" s="1344" t="s">
        <v>13</v>
      </c>
      <c r="B204" s="2200" t="s">
        <v>24</v>
      </c>
      <c r="C204" s="3448" t="s">
        <v>22</v>
      </c>
      <c r="D204" s="1724"/>
      <c r="E204" s="1456" t="s">
        <v>80</v>
      </c>
      <c r="F204" s="1684"/>
      <c r="G204" s="2176" t="s">
        <v>36</v>
      </c>
      <c r="H204" s="2203"/>
      <c r="I204" s="1685"/>
      <c r="J204" s="201"/>
      <c r="K204" s="944"/>
      <c r="L204" s="1088"/>
      <c r="M204" s="1088"/>
      <c r="N204" s="1089"/>
      <c r="O204" s="1720"/>
      <c r="P204" s="1721"/>
      <c r="Q204" s="1721"/>
      <c r="R204" s="1722"/>
      <c r="S204" s="350"/>
      <c r="T204" s="464"/>
      <c r="U204" s="464"/>
      <c r="V204" s="465"/>
      <c r="W204" s="98"/>
      <c r="X204" s="98"/>
      <c r="Y204" s="1723"/>
      <c r="Z204" s="243"/>
      <c r="AA204" s="244"/>
      <c r="AB204" s="245"/>
    </row>
    <row r="205" spans="1:30" ht="16.5" customHeight="1" x14ac:dyDescent="0.2">
      <c r="A205" s="1455"/>
      <c r="B205" s="2195"/>
      <c r="C205" s="3449"/>
      <c r="D205" s="1719"/>
      <c r="E205" s="3289" t="s">
        <v>81</v>
      </c>
      <c r="F205" s="1686"/>
      <c r="G205" s="3349"/>
      <c r="H205" s="325" t="s">
        <v>53</v>
      </c>
      <c r="I205" s="3371" t="s">
        <v>146</v>
      </c>
      <c r="J205" s="283" t="s">
        <v>21</v>
      </c>
      <c r="K205" s="628">
        <f>L205+N205</f>
        <v>619</v>
      </c>
      <c r="L205" s="965">
        <v>19</v>
      </c>
      <c r="M205" s="965"/>
      <c r="N205" s="1038">
        <v>600</v>
      </c>
      <c r="O205" s="277">
        <f>P205+R205</f>
        <v>619</v>
      </c>
      <c r="P205" s="153">
        <v>19</v>
      </c>
      <c r="Q205" s="208"/>
      <c r="R205" s="1390">
        <v>600</v>
      </c>
      <c r="S205" s="385">
        <f>T205+V205</f>
        <v>0</v>
      </c>
      <c r="T205" s="400">
        <v>0</v>
      </c>
      <c r="U205" s="400"/>
      <c r="V205" s="466">
        <v>0</v>
      </c>
      <c r="W205" s="262"/>
      <c r="X205" s="262"/>
      <c r="Y205" s="503"/>
      <c r="Z205" s="1588"/>
      <c r="AA205" s="1589"/>
      <c r="AB205" s="1590"/>
    </row>
    <row r="206" spans="1:30" ht="16.5" customHeight="1" thickBot="1" x14ac:dyDescent="0.25">
      <c r="A206" s="1457"/>
      <c r="B206" s="2211"/>
      <c r="C206" s="3450"/>
      <c r="D206" s="1725"/>
      <c r="E206" s="3290"/>
      <c r="F206" s="1687"/>
      <c r="G206" s="3350"/>
      <c r="H206" s="1458"/>
      <c r="I206" s="3451"/>
      <c r="J206" s="1214" t="s">
        <v>18</v>
      </c>
      <c r="K206" s="360">
        <f t="shared" ref="K206:V206" si="54">SUM(K205:K205)</f>
        <v>619</v>
      </c>
      <c r="L206" s="361">
        <f t="shared" si="54"/>
        <v>19</v>
      </c>
      <c r="M206" s="362">
        <f t="shared" si="54"/>
        <v>0</v>
      </c>
      <c r="N206" s="363">
        <f t="shared" si="54"/>
        <v>600</v>
      </c>
      <c r="O206" s="367">
        <f t="shared" si="54"/>
        <v>619</v>
      </c>
      <c r="P206" s="362">
        <f t="shared" si="54"/>
        <v>19</v>
      </c>
      <c r="Q206" s="361">
        <f t="shared" si="54"/>
        <v>0</v>
      </c>
      <c r="R206" s="362">
        <f t="shared" si="54"/>
        <v>600</v>
      </c>
      <c r="S206" s="360">
        <f t="shared" si="54"/>
        <v>0</v>
      </c>
      <c r="T206" s="361">
        <f t="shared" si="54"/>
        <v>0</v>
      </c>
      <c r="U206" s="362">
        <f t="shared" si="54"/>
        <v>0</v>
      </c>
      <c r="V206" s="363">
        <f t="shared" si="54"/>
        <v>0</v>
      </c>
      <c r="W206" s="360"/>
      <c r="X206" s="360"/>
      <c r="Y206" s="42"/>
      <c r="Z206" s="296"/>
      <c r="AA206" s="297"/>
      <c r="AB206" s="298"/>
    </row>
    <row r="207" spans="1:30" s="1187" customFormat="1" ht="16.5" customHeight="1" thickBot="1" x14ac:dyDescent="0.3">
      <c r="A207" s="1190" t="s">
        <v>13</v>
      </c>
      <c r="B207" s="1191" t="s">
        <v>24</v>
      </c>
      <c r="C207" s="3358" t="s">
        <v>30</v>
      </c>
      <c r="D207" s="3358"/>
      <c r="E207" s="3358"/>
      <c r="F207" s="3358"/>
      <c r="G207" s="3358"/>
      <c r="H207" s="3358"/>
      <c r="I207" s="3358"/>
      <c r="J207" s="3358"/>
      <c r="K207" s="255">
        <f t="shared" ref="K207:X207" si="55">K206+K203+K194</f>
        <v>4738</v>
      </c>
      <c r="L207" s="122">
        <f t="shared" si="55"/>
        <v>2538</v>
      </c>
      <c r="M207" s="123">
        <f t="shared" si="55"/>
        <v>0</v>
      </c>
      <c r="N207" s="122">
        <f t="shared" si="55"/>
        <v>2200</v>
      </c>
      <c r="O207" s="121">
        <f t="shared" si="55"/>
        <v>4104.3</v>
      </c>
      <c r="P207" s="123">
        <f t="shared" si="55"/>
        <v>2738</v>
      </c>
      <c r="Q207" s="122">
        <f t="shared" si="55"/>
        <v>0</v>
      </c>
      <c r="R207" s="1535">
        <f t="shared" si="55"/>
        <v>1366.3</v>
      </c>
      <c r="S207" s="255">
        <f t="shared" si="55"/>
        <v>0</v>
      </c>
      <c r="T207" s="122">
        <f t="shared" si="55"/>
        <v>0</v>
      </c>
      <c r="U207" s="123">
        <f t="shared" si="55"/>
        <v>0</v>
      </c>
      <c r="V207" s="668">
        <f t="shared" si="55"/>
        <v>0</v>
      </c>
      <c r="W207" s="121">
        <f t="shared" si="55"/>
        <v>8369.1</v>
      </c>
      <c r="X207" s="121">
        <f t="shared" si="55"/>
        <v>11094.199999999999</v>
      </c>
      <c r="Y207" s="3438"/>
      <c r="Z207" s="3439"/>
      <c r="AA207" s="3439"/>
      <c r="AB207" s="3440"/>
    </row>
    <row r="208" spans="1:30" ht="16.5" customHeight="1" thickBot="1" x14ac:dyDescent="0.25">
      <c r="A208" s="2210" t="s">
        <v>13</v>
      </c>
      <c r="B208" s="1459"/>
      <c r="C208" s="3430" t="s">
        <v>44</v>
      </c>
      <c r="D208" s="3430"/>
      <c r="E208" s="3430"/>
      <c r="F208" s="3430"/>
      <c r="G208" s="3430"/>
      <c r="H208" s="3430"/>
      <c r="I208" s="3430"/>
      <c r="J208" s="3430"/>
      <c r="K208" s="1463">
        <f t="shared" ref="K208:X208" si="56">K207+K180+K141+K39</f>
        <v>107119.44</v>
      </c>
      <c r="L208" s="1462">
        <f t="shared" si="56"/>
        <v>97567.84</v>
      </c>
      <c r="M208" s="1461">
        <f t="shared" si="56"/>
        <v>8972.11</v>
      </c>
      <c r="N208" s="1462">
        <f t="shared" si="56"/>
        <v>9551.6</v>
      </c>
      <c r="O208" s="1460">
        <f t="shared" si="56"/>
        <v>105331.9</v>
      </c>
      <c r="P208" s="1461">
        <f t="shared" si="56"/>
        <v>101377.2</v>
      </c>
      <c r="Q208" s="1462">
        <f t="shared" si="56"/>
        <v>10462.5</v>
      </c>
      <c r="R208" s="1536">
        <f t="shared" si="56"/>
        <v>3954.7</v>
      </c>
      <c r="S208" s="1463" t="e">
        <f t="shared" si="56"/>
        <v>#REF!</v>
      </c>
      <c r="T208" s="1462" t="e">
        <f t="shared" si="56"/>
        <v>#REF!</v>
      </c>
      <c r="U208" s="1461" t="e">
        <f t="shared" si="56"/>
        <v>#REF!</v>
      </c>
      <c r="V208" s="1533" t="e">
        <f t="shared" si="56"/>
        <v>#REF!</v>
      </c>
      <c r="W208" s="1460">
        <f t="shared" si="56"/>
        <v>106173.29999999999</v>
      </c>
      <c r="X208" s="1460">
        <f t="shared" si="56"/>
        <v>107815.9</v>
      </c>
      <c r="Y208" s="3431"/>
      <c r="Z208" s="3432"/>
      <c r="AA208" s="3432"/>
      <c r="AB208" s="3433"/>
    </row>
    <row r="209" spans="1:50" s="1187" customFormat="1" ht="16.5" customHeight="1" thickBot="1" x14ac:dyDescent="0.3">
      <c r="A209" s="1464" t="s">
        <v>45</v>
      </c>
      <c r="B209" s="3434" t="s">
        <v>46</v>
      </c>
      <c r="C209" s="3435"/>
      <c r="D209" s="3435"/>
      <c r="E209" s="3435"/>
      <c r="F209" s="3435"/>
      <c r="G209" s="3435"/>
      <c r="H209" s="3435"/>
      <c r="I209" s="3435"/>
      <c r="J209" s="3435"/>
      <c r="K209" s="299">
        <f>K208</f>
        <v>107119.44</v>
      </c>
      <c r="L209" s="131">
        <f t="shared" ref="L209:X209" si="57">L208</f>
        <v>97567.84</v>
      </c>
      <c r="M209" s="132">
        <f t="shared" si="57"/>
        <v>8972.11</v>
      </c>
      <c r="N209" s="131">
        <f t="shared" si="57"/>
        <v>9551.6</v>
      </c>
      <c r="O209" s="130">
        <f t="shared" si="57"/>
        <v>105331.9</v>
      </c>
      <c r="P209" s="132">
        <f t="shared" si="57"/>
        <v>101377.2</v>
      </c>
      <c r="Q209" s="131">
        <f t="shared" si="57"/>
        <v>10462.5</v>
      </c>
      <c r="R209" s="1537">
        <f t="shared" si="57"/>
        <v>3954.7</v>
      </c>
      <c r="S209" s="299" t="e">
        <f t="shared" si="57"/>
        <v>#REF!</v>
      </c>
      <c r="T209" s="131" t="e">
        <f t="shared" si="57"/>
        <v>#REF!</v>
      </c>
      <c r="U209" s="132" t="e">
        <f t="shared" si="57"/>
        <v>#REF!</v>
      </c>
      <c r="V209" s="1534" t="e">
        <f t="shared" si="57"/>
        <v>#REF!</v>
      </c>
      <c r="W209" s="130">
        <f t="shared" si="57"/>
        <v>106173.29999999999</v>
      </c>
      <c r="X209" s="130">
        <f t="shared" si="57"/>
        <v>107815.9</v>
      </c>
      <c r="Y209" s="2793"/>
      <c r="Z209" s="2794"/>
      <c r="AA209" s="2794"/>
      <c r="AB209" s="2795"/>
      <c r="AC209" s="1208"/>
    </row>
    <row r="210" spans="1:50" s="1467" customFormat="1" ht="28.5" customHeight="1" x14ac:dyDescent="0.25">
      <c r="A210" s="3436" t="s">
        <v>345</v>
      </c>
      <c r="B210" s="3436"/>
      <c r="C210" s="3436"/>
      <c r="D210" s="3436"/>
      <c r="E210" s="3436"/>
      <c r="F210" s="3436"/>
      <c r="G210" s="3436"/>
      <c r="H210" s="3436"/>
      <c r="I210" s="3436"/>
      <c r="J210" s="3436"/>
      <c r="K210" s="3436"/>
      <c r="L210" s="3436"/>
      <c r="M210" s="3436"/>
      <c r="N210" s="3436"/>
      <c r="O210" s="3436"/>
      <c r="P210" s="3436"/>
      <c r="Q210" s="3436"/>
      <c r="R210" s="3436"/>
      <c r="S210" s="3436"/>
      <c r="T210" s="3436"/>
      <c r="U210" s="3436"/>
      <c r="V210" s="3436"/>
      <c r="W210" s="3436"/>
      <c r="X210" s="3436"/>
      <c r="Y210" s="3436"/>
      <c r="Z210" s="3436"/>
      <c r="AA210" s="3436"/>
      <c r="AB210" s="3436"/>
      <c r="AC210" s="1465"/>
      <c r="AD210" s="1466"/>
      <c r="AE210" s="1466"/>
      <c r="AF210" s="1466"/>
      <c r="AG210" s="1466"/>
      <c r="AH210" s="1466"/>
      <c r="AI210" s="1466"/>
      <c r="AJ210" s="1466"/>
      <c r="AK210" s="1466"/>
      <c r="AL210" s="1466"/>
      <c r="AM210" s="1466"/>
      <c r="AN210" s="1466"/>
      <c r="AO210" s="1466"/>
      <c r="AP210" s="1466"/>
      <c r="AQ210" s="1466"/>
      <c r="AR210" s="1466"/>
      <c r="AS210" s="1466"/>
      <c r="AT210" s="1466"/>
      <c r="AU210" s="1466"/>
      <c r="AV210" s="1466"/>
      <c r="AW210" s="1466"/>
      <c r="AX210" s="1466"/>
    </row>
    <row r="211" spans="1:50" s="1467" customFormat="1" ht="16.5" customHeight="1" x14ac:dyDescent="0.25">
      <c r="A211" s="3437" t="s">
        <v>243</v>
      </c>
      <c r="B211" s="3437"/>
      <c r="C211" s="3437"/>
      <c r="D211" s="3437"/>
      <c r="E211" s="3437"/>
      <c r="F211" s="3437"/>
      <c r="G211" s="3437"/>
      <c r="H211" s="3437"/>
      <c r="I211" s="3437"/>
      <c r="J211" s="3437"/>
      <c r="K211" s="3437"/>
      <c r="L211" s="3437"/>
      <c r="M211" s="3437"/>
      <c r="N211" s="3437"/>
      <c r="O211" s="3437"/>
      <c r="P211" s="3437"/>
      <c r="Q211" s="3437"/>
      <c r="R211" s="3437"/>
      <c r="S211" s="3437"/>
      <c r="T211" s="3437"/>
      <c r="U211" s="3437"/>
      <c r="V211" s="3437"/>
      <c r="W211" s="3437"/>
      <c r="X211" s="3437"/>
      <c r="Y211" s="3437"/>
      <c r="Z211" s="3437"/>
      <c r="AA211" s="3437"/>
      <c r="AB211" s="3437"/>
      <c r="AC211" s="3437"/>
      <c r="AD211" s="1466"/>
      <c r="AE211" s="1466"/>
      <c r="AF211" s="1466"/>
      <c r="AG211" s="1466"/>
      <c r="AH211" s="1466"/>
      <c r="AI211" s="1466"/>
      <c r="AJ211" s="1466"/>
      <c r="AK211" s="1466"/>
      <c r="AL211" s="1466"/>
      <c r="AM211" s="1466"/>
      <c r="AN211" s="1466"/>
      <c r="AO211" s="1466"/>
      <c r="AP211" s="1466"/>
      <c r="AQ211" s="1466"/>
      <c r="AR211" s="1466"/>
      <c r="AS211" s="1466"/>
      <c r="AT211" s="1466"/>
      <c r="AU211" s="1466"/>
      <c r="AV211" s="1466"/>
      <c r="AW211" s="1466"/>
      <c r="AX211" s="1466"/>
    </row>
    <row r="212" spans="1:50" s="1435" customFormat="1" ht="16.5" customHeight="1" thickBot="1" x14ac:dyDescent="0.25">
      <c r="B212" s="2191"/>
      <c r="C212" s="246"/>
      <c r="D212" s="2191"/>
      <c r="E212" s="3420" t="s">
        <v>47</v>
      </c>
      <c r="F212" s="3420"/>
      <c r="G212" s="3420"/>
      <c r="H212" s="3420"/>
      <c r="I212" s="3420"/>
      <c r="J212" s="3420"/>
      <c r="K212" s="3420"/>
      <c r="L212" s="3420"/>
      <c r="M212" s="3420"/>
      <c r="N212" s="3420"/>
      <c r="O212" s="3420"/>
      <c r="P212" s="3420"/>
      <c r="Q212" s="3420"/>
      <c r="R212" s="3420"/>
      <c r="S212" s="3420"/>
      <c r="T212" s="3420"/>
      <c r="U212" s="3420"/>
      <c r="V212" s="3420"/>
      <c r="W212" s="3420"/>
      <c r="X212" s="3420"/>
      <c r="Y212" s="246"/>
      <c r="Z212" s="246"/>
      <c r="AA212" s="246"/>
      <c r="AB212" s="246"/>
    </row>
    <row r="213" spans="1:50" s="1187" customFormat="1" ht="36" customHeight="1" thickBot="1" x14ac:dyDescent="0.3">
      <c r="A213" s="1468"/>
      <c r="B213" s="1898"/>
      <c r="C213" s="3421" t="s">
        <v>48</v>
      </c>
      <c r="D213" s="3422"/>
      <c r="E213" s="3422"/>
      <c r="F213" s="3422"/>
      <c r="G213" s="3422"/>
      <c r="H213" s="3422"/>
      <c r="I213" s="3422"/>
      <c r="J213" s="3423"/>
      <c r="K213" s="3424" t="s">
        <v>244</v>
      </c>
      <c r="L213" s="3425"/>
      <c r="M213" s="3425"/>
      <c r="N213" s="3426"/>
      <c r="O213" s="3427" t="s">
        <v>240</v>
      </c>
      <c r="P213" s="3428"/>
      <c r="Q213" s="3428"/>
      <c r="R213" s="3429"/>
      <c r="S213" s="3427" t="s">
        <v>241</v>
      </c>
      <c r="T213" s="3428"/>
      <c r="U213" s="3428"/>
      <c r="V213" s="3429"/>
      <c r="W213" s="1591" t="s">
        <v>327</v>
      </c>
      <c r="X213" s="1591" t="s">
        <v>328</v>
      </c>
      <c r="Y213" s="2137"/>
      <c r="Z213" s="2786"/>
      <c r="AA213" s="2786"/>
      <c r="AB213" s="2786"/>
    </row>
    <row r="214" spans="1:50" s="1187" customFormat="1" ht="16.5" customHeight="1" thickBot="1" x14ac:dyDescent="0.3">
      <c r="A214" s="1468"/>
      <c r="B214" s="1899"/>
      <c r="C214" s="3375" t="s">
        <v>49</v>
      </c>
      <c r="D214" s="3376"/>
      <c r="E214" s="3376"/>
      <c r="F214" s="3376"/>
      <c r="G214" s="3376"/>
      <c r="H214" s="3376"/>
      <c r="I214" s="3376"/>
      <c r="J214" s="3377"/>
      <c r="K214" s="3378">
        <f>SUM(K215:N219)</f>
        <v>50576.499999999993</v>
      </c>
      <c r="L214" s="3379"/>
      <c r="M214" s="3379"/>
      <c r="N214" s="3380"/>
      <c r="O214" s="3378">
        <f>SUM(O215:R219)</f>
        <v>54471</v>
      </c>
      <c r="P214" s="3379"/>
      <c r="Q214" s="3379"/>
      <c r="R214" s="3380"/>
      <c r="S214" s="3378">
        <f>SUM(S215:V218)</f>
        <v>0</v>
      </c>
      <c r="T214" s="3379"/>
      <c r="U214" s="3379"/>
      <c r="V214" s="3380"/>
      <c r="W214" s="2186">
        <f>SUM(W215:W218)</f>
        <v>53895.399999999994</v>
      </c>
      <c r="X214" s="1592">
        <f>SUM(X215:X218)</f>
        <v>53247.399999999994</v>
      </c>
      <c r="Y214" s="2139"/>
      <c r="Z214" s="2830"/>
      <c r="AA214" s="2830"/>
      <c r="AB214" s="2830"/>
    </row>
    <row r="215" spans="1:50" s="1187" customFormat="1" ht="16.5" customHeight="1" x14ac:dyDescent="0.25">
      <c r="A215" s="1468"/>
      <c r="B215" s="1900"/>
      <c r="C215" s="3405" t="s">
        <v>260</v>
      </c>
      <c r="D215" s="3406"/>
      <c r="E215" s="3406"/>
      <c r="F215" s="3406"/>
      <c r="G215" s="3406"/>
      <c r="H215" s="3406"/>
      <c r="I215" s="3406"/>
      <c r="J215" s="3407"/>
      <c r="K215" s="3417">
        <f>SUMIF(J12:J205,"sb",K12:K205)</f>
        <v>28751.499999999996</v>
      </c>
      <c r="L215" s="3418"/>
      <c r="M215" s="3418"/>
      <c r="N215" s="3419"/>
      <c r="O215" s="3417">
        <f>SUMIF(J12:J205,"sb",O12:O205)</f>
        <v>36274.199999999997</v>
      </c>
      <c r="P215" s="3418"/>
      <c r="Q215" s="3418"/>
      <c r="R215" s="3419"/>
      <c r="S215" s="3417">
        <f>SUMIF(J12:J207,"SB",S12:S207)</f>
        <v>0</v>
      </c>
      <c r="T215" s="3418"/>
      <c r="U215" s="3418"/>
      <c r="V215" s="3419"/>
      <c r="W215" s="2190">
        <f>SUMIF(J12:J205,"sb",W12:W205)</f>
        <v>36205.699999999997</v>
      </c>
      <c r="X215" s="1593">
        <f>SUMIF(J12:J205,"sb",X12:X205)</f>
        <v>35547.699999999997</v>
      </c>
      <c r="Y215" s="2769"/>
      <c r="Z215" s="2833"/>
      <c r="AA215" s="2833"/>
      <c r="AB215" s="2833"/>
    </row>
    <row r="216" spans="1:50" s="1187" customFormat="1" ht="16.5" customHeight="1" x14ac:dyDescent="0.25">
      <c r="A216" s="1468"/>
      <c r="B216" s="1900"/>
      <c r="C216" s="3393" t="s">
        <v>261</v>
      </c>
      <c r="D216" s="3394"/>
      <c r="E216" s="3394"/>
      <c r="F216" s="3394"/>
      <c r="G216" s="3394"/>
      <c r="H216" s="3394"/>
      <c r="I216" s="3394"/>
      <c r="J216" s="3395"/>
      <c r="K216" s="3396">
        <f>SUMIF(J12:J203,"sb(sp)",K12:K203)</f>
        <v>4001.2</v>
      </c>
      <c r="L216" s="3397"/>
      <c r="M216" s="3397"/>
      <c r="N216" s="3398"/>
      <c r="O216" s="3396">
        <f>SUMIF(J12:J203,"sb(sp)",O12:O203)</f>
        <v>4589.5</v>
      </c>
      <c r="P216" s="3397"/>
      <c r="Q216" s="3397"/>
      <c r="R216" s="3398"/>
      <c r="S216" s="3396">
        <f>SUMIF(J12:J207,"SB(sP)",S12:S207)</f>
        <v>0</v>
      </c>
      <c r="T216" s="3397"/>
      <c r="U216" s="3397"/>
      <c r="V216" s="3398"/>
      <c r="W216" s="2188">
        <f>SUMIF(J12:J203,"sb(sp)",W12:W203)</f>
        <v>4720.2</v>
      </c>
      <c r="X216" s="1594">
        <f>SUMIF(J12:J205,"sb(sp)",X12:X205)</f>
        <v>4730.2</v>
      </c>
      <c r="Y216" s="2769"/>
      <c r="Z216" s="2833"/>
      <c r="AA216" s="2833"/>
      <c r="AB216" s="2833"/>
    </row>
    <row r="217" spans="1:50" s="1187" customFormat="1" ht="16.5" customHeight="1" x14ac:dyDescent="0.25">
      <c r="A217" s="1468"/>
      <c r="B217" s="1900"/>
      <c r="C217" s="3393" t="s">
        <v>262</v>
      </c>
      <c r="D217" s="3394"/>
      <c r="E217" s="3394"/>
      <c r="F217" s="3394"/>
      <c r="G217" s="3394"/>
      <c r="H217" s="3394"/>
      <c r="I217" s="3394"/>
      <c r="J217" s="3395"/>
      <c r="K217" s="3396">
        <f>SUMIF(J12:J203,"sb(vb)",K12:K203)</f>
        <v>17095.699999999997</v>
      </c>
      <c r="L217" s="3397"/>
      <c r="M217" s="3397"/>
      <c r="N217" s="3398"/>
      <c r="O217" s="3396">
        <f>SUMIF(J12:J205,"sb(vb)",O12:O205)</f>
        <v>13303.6</v>
      </c>
      <c r="P217" s="3397"/>
      <c r="Q217" s="3397"/>
      <c r="R217" s="3398"/>
      <c r="S217" s="3396">
        <f>SUMIF(J12:J207,"sb(vb)",S12:S207)</f>
        <v>0</v>
      </c>
      <c r="T217" s="3397"/>
      <c r="U217" s="3397"/>
      <c r="V217" s="3398"/>
      <c r="W217" s="2188">
        <f>SUMIF(J12:J205,J12,W12:W205)</f>
        <v>12969.5</v>
      </c>
      <c r="X217" s="1594">
        <f>SUMIF(J12:J205,J12,X12:X205)</f>
        <v>12969.5</v>
      </c>
      <c r="Y217" s="2769"/>
      <c r="Z217" s="2833"/>
      <c r="AA217" s="2833"/>
      <c r="AB217" s="2833"/>
    </row>
    <row r="218" spans="1:50" s="1187" customFormat="1" ht="16.5" customHeight="1" x14ac:dyDescent="0.25">
      <c r="A218" s="1468"/>
      <c r="B218" s="1900"/>
      <c r="C218" s="2809" t="s">
        <v>263</v>
      </c>
      <c r="D218" s="3399"/>
      <c r="E218" s="3399"/>
      <c r="F218" s="3399"/>
      <c r="G218" s="3399"/>
      <c r="H218" s="3399"/>
      <c r="I218" s="3399"/>
      <c r="J218" s="3400"/>
      <c r="K218" s="3401">
        <f>SUMIF(J12:J203,"sb(p)",K12:K203)</f>
        <v>723.4</v>
      </c>
      <c r="L218" s="3402"/>
      <c r="M218" s="3402"/>
      <c r="N218" s="3403"/>
      <c r="O218" s="3401">
        <f>SUMIF(J12:J205,"sb(p)",O12:O205)</f>
        <v>137.4</v>
      </c>
      <c r="P218" s="3402"/>
      <c r="Q218" s="3402"/>
      <c r="R218" s="3403"/>
      <c r="S218" s="3401">
        <f>SUMIF(J12:J207,"sb(p)",S12:S207)</f>
        <v>0</v>
      </c>
      <c r="T218" s="3402"/>
      <c r="U218" s="3402"/>
      <c r="V218" s="3403"/>
      <c r="W218" s="1595">
        <f>SUMIF(J12:J203,J144,W12:W203)</f>
        <v>0</v>
      </c>
      <c r="X218" s="1596">
        <f>SUMIF(J12:J205,#REF!,X12:X205)</f>
        <v>0</v>
      </c>
      <c r="Y218" s="2769"/>
      <c r="Z218" s="2833"/>
      <c r="AA218" s="2833"/>
      <c r="AB218" s="2833"/>
    </row>
    <row r="219" spans="1:50" s="1187" customFormat="1" ht="16.5" customHeight="1" thickBot="1" x14ac:dyDescent="0.3">
      <c r="A219" s="1468"/>
      <c r="B219" s="1900"/>
      <c r="C219" s="3387" t="s">
        <v>264</v>
      </c>
      <c r="D219" s="3388"/>
      <c r="E219" s="3388"/>
      <c r="F219" s="3388"/>
      <c r="G219" s="3388"/>
      <c r="H219" s="3388"/>
      <c r="I219" s="3388"/>
      <c r="J219" s="3389"/>
      <c r="K219" s="3390">
        <f>SUMIF(J12:J205,"sb(l)",K12:K205)</f>
        <v>4.7</v>
      </c>
      <c r="L219" s="3391"/>
      <c r="M219" s="3391"/>
      <c r="N219" s="3392"/>
      <c r="O219" s="3390">
        <f>SUMIF(J12:J205,"sb(l)",O12:O205)</f>
        <v>166.3</v>
      </c>
      <c r="P219" s="3391"/>
      <c r="Q219" s="3391"/>
      <c r="R219" s="3392"/>
      <c r="S219" s="3390"/>
      <c r="T219" s="3391"/>
      <c r="U219" s="3391"/>
      <c r="V219" s="3392"/>
      <c r="W219" s="2187"/>
      <c r="X219" s="1597"/>
      <c r="Y219" s="2769"/>
      <c r="Z219" s="2140"/>
      <c r="AA219" s="2140"/>
      <c r="AB219" s="2140"/>
    </row>
    <row r="220" spans="1:50" s="1187" customFormat="1" ht="16.5" customHeight="1" thickBot="1" x14ac:dyDescent="0.3">
      <c r="A220" s="1468"/>
      <c r="B220" s="1899"/>
      <c r="C220" s="3375" t="s">
        <v>50</v>
      </c>
      <c r="D220" s="3376"/>
      <c r="E220" s="3376"/>
      <c r="F220" s="3376"/>
      <c r="G220" s="3376"/>
      <c r="H220" s="3376"/>
      <c r="I220" s="3376"/>
      <c r="J220" s="3377"/>
      <c r="K220" s="3378">
        <f>SUM(K221:N223)</f>
        <v>56542.939999999988</v>
      </c>
      <c r="L220" s="3379"/>
      <c r="M220" s="3379"/>
      <c r="N220" s="3380"/>
      <c r="O220" s="3378">
        <f>SUM(O221:R223)</f>
        <v>50860.899999999994</v>
      </c>
      <c r="P220" s="3379"/>
      <c r="Q220" s="3379"/>
      <c r="R220" s="3380"/>
      <c r="S220" s="3378">
        <f>SUM(S221:V223)</f>
        <v>0</v>
      </c>
      <c r="T220" s="3379"/>
      <c r="U220" s="3379"/>
      <c r="V220" s="3380"/>
      <c r="W220" s="2186">
        <f>SUM(W221:W223)</f>
        <v>52277.899999999994</v>
      </c>
      <c r="X220" s="1592">
        <f>X221+X222+X223</f>
        <v>54568.499999999993</v>
      </c>
      <c r="Y220" s="2770"/>
      <c r="Z220" s="2830"/>
      <c r="AA220" s="2830"/>
      <c r="AB220" s="2830"/>
    </row>
    <row r="221" spans="1:50" s="1187" customFormat="1" ht="16.5" customHeight="1" x14ac:dyDescent="0.25">
      <c r="A221" s="1468"/>
      <c r="B221" s="1900"/>
      <c r="C221" s="3381" t="s">
        <v>265</v>
      </c>
      <c r="D221" s="3382"/>
      <c r="E221" s="3382"/>
      <c r="F221" s="3382"/>
      <c r="G221" s="3382"/>
      <c r="H221" s="3382"/>
      <c r="I221" s="3382"/>
      <c r="J221" s="3383"/>
      <c r="K221" s="3384">
        <f>SUMIF(J12:J203,"es",K12:K203)</f>
        <v>8837.8799999999992</v>
      </c>
      <c r="L221" s="3385"/>
      <c r="M221" s="3385"/>
      <c r="N221" s="3386"/>
      <c r="O221" s="3384">
        <f>SUMIF(J12:J205,"es",O12:O205)</f>
        <v>2431.7000000000003</v>
      </c>
      <c r="P221" s="3385"/>
      <c r="Q221" s="3385"/>
      <c r="R221" s="3386"/>
      <c r="S221" s="3384">
        <f>SUMIF(J40:J207,"es",S40:S207)</f>
        <v>0</v>
      </c>
      <c r="T221" s="3385"/>
      <c r="U221" s="3385"/>
      <c r="V221" s="3386"/>
      <c r="W221" s="1598">
        <f>SUMIF(J12:J203,"es",W12:W203)</f>
        <v>4677.6000000000004</v>
      </c>
      <c r="X221" s="2170">
        <f>SUMIF(J12:J203,"es",X12:X203)</f>
        <v>6968.2</v>
      </c>
      <c r="Y221" s="2769"/>
      <c r="Z221" s="2833"/>
      <c r="AA221" s="2833"/>
      <c r="AB221" s="2833"/>
    </row>
    <row r="222" spans="1:50" s="1187" customFormat="1" ht="16.5" customHeight="1" x14ac:dyDescent="0.25">
      <c r="A222" s="1468"/>
      <c r="B222" s="1900"/>
      <c r="C222" s="3393" t="s">
        <v>266</v>
      </c>
      <c r="D222" s="3394"/>
      <c r="E222" s="3394"/>
      <c r="F222" s="3394"/>
      <c r="G222" s="3394"/>
      <c r="H222" s="3394"/>
      <c r="I222" s="3394"/>
      <c r="J222" s="3395"/>
      <c r="K222" s="3396">
        <f>SUMIF(J12:J205,"lrvb",K12:K205)</f>
        <v>47395.359999999993</v>
      </c>
      <c r="L222" s="3397"/>
      <c r="M222" s="3397"/>
      <c r="N222" s="3398"/>
      <c r="O222" s="3396">
        <f>SUMIF(J12:J205,"lrvb",O12:O205)</f>
        <v>48341.1</v>
      </c>
      <c r="P222" s="3397"/>
      <c r="Q222" s="3397"/>
      <c r="R222" s="3398"/>
      <c r="S222" s="3396">
        <f>SUMIF(J12:J207,"lrvb",S12:S207)</f>
        <v>0</v>
      </c>
      <c r="T222" s="3397"/>
      <c r="U222" s="3397"/>
      <c r="V222" s="3398"/>
      <c r="W222" s="2188">
        <f>SUMIF(J12:J203,"lrvb",W12:W203)</f>
        <v>47596.299999999996</v>
      </c>
      <c r="X222" s="2188">
        <f>SUMIF(J12:J203,"lrvb",X12:X203)</f>
        <v>47596.299999999996</v>
      </c>
      <c r="Y222" s="2771"/>
      <c r="Z222" s="2833"/>
      <c r="AA222" s="2833"/>
      <c r="AB222" s="2833"/>
    </row>
    <row r="223" spans="1:50" s="1187" customFormat="1" ht="16.5" customHeight="1" thickBot="1" x14ac:dyDescent="0.3">
      <c r="A223" s="1468"/>
      <c r="B223" s="1900"/>
      <c r="C223" s="3405" t="s">
        <v>267</v>
      </c>
      <c r="D223" s="3406"/>
      <c r="E223" s="3406"/>
      <c r="F223" s="3406"/>
      <c r="G223" s="3406"/>
      <c r="H223" s="3406"/>
      <c r="I223" s="3406"/>
      <c r="J223" s="3407"/>
      <c r="K223" s="3408">
        <f>SUMIF(J12:J203,"kt",K12:K203)</f>
        <v>309.7</v>
      </c>
      <c r="L223" s="3409"/>
      <c r="M223" s="3409"/>
      <c r="N223" s="3410"/>
      <c r="O223" s="3408">
        <f>SUMIF(J12:J205,"kt",O12:O205)</f>
        <v>88.1</v>
      </c>
      <c r="P223" s="3409"/>
      <c r="Q223" s="3409"/>
      <c r="R223" s="3410"/>
      <c r="S223" s="3408">
        <f>SUMIF(J40:J207,"kt",S40:S207)</f>
        <v>0</v>
      </c>
      <c r="T223" s="3409"/>
      <c r="U223" s="3409"/>
      <c r="V223" s="3410"/>
      <c r="W223" s="1598">
        <f>SUMIF(J12:J203,"kt",W12:W203)</f>
        <v>4</v>
      </c>
      <c r="X223" s="2170">
        <f>SUMIF(J12:J203,"kt",X12:X203)</f>
        <v>4</v>
      </c>
      <c r="Y223" s="56"/>
      <c r="Z223" s="2833"/>
      <c r="AA223" s="2833"/>
      <c r="AB223" s="2833"/>
    </row>
    <row r="224" spans="1:50" s="1187" customFormat="1" ht="16.5" customHeight="1" thickBot="1" x14ac:dyDescent="0.3">
      <c r="A224" s="1468"/>
      <c r="B224" s="1899"/>
      <c r="C224" s="3411" t="s">
        <v>51</v>
      </c>
      <c r="D224" s="3412"/>
      <c r="E224" s="3412"/>
      <c r="F224" s="3412"/>
      <c r="G224" s="3412"/>
      <c r="H224" s="3412"/>
      <c r="I224" s="3412"/>
      <c r="J224" s="3413"/>
      <c r="K224" s="3414">
        <f>K220+K214</f>
        <v>107119.43999999997</v>
      </c>
      <c r="L224" s="3415"/>
      <c r="M224" s="3415"/>
      <c r="N224" s="3416"/>
      <c r="O224" s="3414">
        <f>O220+O214</f>
        <v>105331.9</v>
      </c>
      <c r="P224" s="3415"/>
      <c r="Q224" s="3415"/>
      <c r="R224" s="3416"/>
      <c r="S224" s="3414">
        <f>S220+S214</f>
        <v>0</v>
      </c>
      <c r="T224" s="3415"/>
      <c r="U224" s="3415"/>
      <c r="V224" s="3416"/>
      <c r="W224" s="2189">
        <f>W214+W220</f>
        <v>106173.29999999999</v>
      </c>
      <c r="X224" s="1599">
        <f>X214+X220</f>
        <v>107815.9</v>
      </c>
      <c r="Y224" s="250"/>
      <c r="Z224" s="2830"/>
      <c r="AA224" s="2830"/>
      <c r="AB224" s="2830"/>
    </row>
    <row r="225" spans="2:28" ht="16.5" customHeight="1" x14ac:dyDescent="0.2">
      <c r="B225" s="1766"/>
      <c r="C225" s="1469"/>
      <c r="D225" s="1766"/>
      <c r="E225" s="1469"/>
      <c r="F225" s="1469"/>
      <c r="G225" s="1469"/>
      <c r="P225" s="338"/>
      <c r="T225" s="3404"/>
      <c r="U225" s="3404"/>
      <c r="W225" s="338"/>
      <c r="X225" s="338"/>
    </row>
    <row r="226" spans="2:28" ht="16.5" customHeight="1" x14ac:dyDescent="0.2">
      <c r="O226" s="338"/>
      <c r="P226" s="3278"/>
      <c r="Q226" s="3278"/>
      <c r="S226" s="338"/>
      <c r="T226" s="338"/>
      <c r="U226" s="338"/>
      <c r="W226" s="338"/>
      <c r="X226" s="338"/>
    </row>
    <row r="230" spans="2:28" ht="16.5" customHeight="1" x14ac:dyDescent="0.2">
      <c r="F230" s="143"/>
      <c r="G230" s="143"/>
      <c r="H230" s="144"/>
      <c r="I230" s="1472"/>
      <c r="Q230" s="1435"/>
      <c r="Y230" s="143"/>
      <c r="Z230" s="143"/>
      <c r="AA230" s="143"/>
      <c r="AB230" s="143"/>
    </row>
  </sheetData>
  <mergeCells count="322">
    <mergeCell ref="E27:E28"/>
    <mergeCell ref="I27:I28"/>
    <mergeCell ref="Y27:Y28"/>
    <mergeCell ref="Z27:Z28"/>
    <mergeCell ref="AA27:AA28"/>
    <mergeCell ref="AB27:AB28"/>
    <mergeCell ref="E29:E30"/>
    <mergeCell ref="E19:E21"/>
    <mergeCell ref="H31:H32"/>
    <mergeCell ref="I31:I32"/>
    <mergeCell ref="I29:I30"/>
    <mergeCell ref="Y29:Y30"/>
    <mergeCell ref="Z29:Z30"/>
    <mergeCell ref="AA29:AA30"/>
    <mergeCell ref="AB29:AB30"/>
    <mergeCell ref="I12:I15"/>
    <mergeCell ref="Y13:Y14"/>
    <mergeCell ref="Y25:Y26"/>
    <mergeCell ref="I5:I7"/>
    <mergeCell ref="J5:J7"/>
    <mergeCell ref="K5:N5"/>
    <mergeCell ref="O5:R5"/>
    <mergeCell ref="S5:V5"/>
    <mergeCell ref="W5:W7"/>
    <mergeCell ref="I17:I18"/>
    <mergeCell ref="X5:X7"/>
    <mergeCell ref="Y5:AB5"/>
    <mergeCell ref="K6:K7"/>
    <mergeCell ref="L6:M6"/>
    <mergeCell ref="V6:V7"/>
    <mergeCell ref="T6:U6"/>
    <mergeCell ref="A8:AB8"/>
    <mergeCell ref="A9:AB9"/>
    <mergeCell ref="B10:AB10"/>
    <mergeCell ref="C11:AB11"/>
    <mergeCell ref="H5:H7"/>
    <mergeCell ref="E17:E18"/>
    <mergeCell ref="A31:A32"/>
    <mergeCell ref="B31:B32"/>
    <mergeCell ref="C31:C32"/>
    <mergeCell ref="E31:E32"/>
    <mergeCell ref="F31:F32"/>
    <mergeCell ref="G31:G32"/>
    <mergeCell ref="E12:E15"/>
    <mergeCell ref="A1:AB1"/>
    <mergeCell ref="A2:AB2"/>
    <mergeCell ref="A3:AB3"/>
    <mergeCell ref="A4:AB4"/>
    <mergeCell ref="A5:A7"/>
    <mergeCell ref="B5:B7"/>
    <mergeCell ref="C5:C7"/>
    <mergeCell ref="E5:E7"/>
    <mergeCell ref="F5:F7"/>
    <mergeCell ref="G5:G7"/>
    <mergeCell ref="Y6:Y7"/>
    <mergeCell ref="Z6:AB6"/>
    <mergeCell ref="N6:N7"/>
    <mergeCell ref="O6:O7"/>
    <mergeCell ref="P6:Q6"/>
    <mergeCell ref="R6:R7"/>
    <mergeCell ref="S6:S7"/>
    <mergeCell ref="AB33:AB34"/>
    <mergeCell ref="A35:A36"/>
    <mergeCell ref="B35:B36"/>
    <mergeCell ref="C35:C36"/>
    <mergeCell ref="I35:I36"/>
    <mergeCell ref="Y35:Y36"/>
    <mergeCell ref="Z35:Z36"/>
    <mergeCell ref="AA35:AA36"/>
    <mergeCell ref="AB35:AB36"/>
    <mergeCell ref="E33:E34"/>
    <mergeCell ref="I33:I34"/>
    <mergeCell ref="Y33:Y34"/>
    <mergeCell ref="Z33:Z34"/>
    <mergeCell ref="E35:E36"/>
    <mergeCell ref="AA33:AA34"/>
    <mergeCell ref="C40:AB40"/>
    <mergeCell ref="D42:D49"/>
    <mergeCell ref="A37:A38"/>
    <mergeCell ref="B37:B38"/>
    <mergeCell ref="E37:E38"/>
    <mergeCell ref="I37:I38"/>
    <mergeCell ref="C39:J39"/>
    <mergeCell ref="Y39:AB39"/>
    <mergeCell ref="Y47:Y49"/>
    <mergeCell ref="D79:D83"/>
    <mergeCell ref="E79:E80"/>
    <mergeCell ref="Y80:Y83"/>
    <mergeCell ref="E81:E83"/>
    <mergeCell ref="E58:E60"/>
    <mergeCell ref="D59:D60"/>
    <mergeCell ref="Y64:Y65"/>
    <mergeCell ref="Y76:Y78"/>
    <mergeCell ref="E72:E73"/>
    <mergeCell ref="Y100:Y102"/>
    <mergeCell ref="Z100:Z102"/>
    <mergeCell ref="AA100:AA102"/>
    <mergeCell ref="AB100:AB102"/>
    <mergeCell ref="D84:D88"/>
    <mergeCell ref="E84:E88"/>
    <mergeCell ref="E89:E90"/>
    <mergeCell ref="E91:E93"/>
    <mergeCell ref="Y91:Y93"/>
    <mergeCell ref="E100:E102"/>
    <mergeCell ref="D94:D96"/>
    <mergeCell ref="Y94:Y96"/>
    <mergeCell ref="Z94:Z96"/>
    <mergeCell ref="AA94:AA96"/>
    <mergeCell ref="AB94:AB96"/>
    <mergeCell ref="Y97:Y99"/>
    <mergeCell ref="Z97:Z99"/>
    <mergeCell ref="AA97:AA99"/>
    <mergeCell ref="AB97:AB99"/>
    <mergeCell ref="E97:E99"/>
    <mergeCell ref="E94:E96"/>
    <mergeCell ref="Y85:Y87"/>
    <mergeCell ref="A106:A107"/>
    <mergeCell ref="B106:B107"/>
    <mergeCell ref="C106:C107"/>
    <mergeCell ref="E106:E107"/>
    <mergeCell ref="F106:F107"/>
    <mergeCell ref="G106:G107"/>
    <mergeCell ref="H106:H107"/>
    <mergeCell ref="I106:I107"/>
    <mergeCell ref="Y106:Y107"/>
    <mergeCell ref="A127:A128"/>
    <mergeCell ref="B127:B128"/>
    <mergeCell ref="E127:E129"/>
    <mergeCell ref="I127:I129"/>
    <mergeCell ref="Y127:Y128"/>
    <mergeCell ref="A120:A121"/>
    <mergeCell ref="B120:B121"/>
    <mergeCell ref="E120:E122"/>
    <mergeCell ref="I120:I122"/>
    <mergeCell ref="Y120:Y121"/>
    <mergeCell ref="A123:A124"/>
    <mergeCell ref="B123:B124"/>
    <mergeCell ref="E123:E126"/>
    <mergeCell ref="I123:I126"/>
    <mergeCell ref="A130:A131"/>
    <mergeCell ref="B130:B131"/>
    <mergeCell ref="E130:E134"/>
    <mergeCell ref="F130:F134"/>
    <mergeCell ref="G130:G134"/>
    <mergeCell ref="H130:H134"/>
    <mergeCell ref="I135:I137"/>
    <mergeCell ref="I130:I131"/>
    <mergeCell ref="H135:H137"/>
    <mergeCell ref="E194:I194"/>
    <mergeCell ref="Y186:Y187"/>
    <mergeCell ref="Y190:Y191"/>
    <mergeCell ref="A182:A193"/>
    <mergeCell ref="B182:B193"/>
    <mergeCell ref="C182:C193"/>
    <mergeCell ref="E176:E178"/>
    <mergeCell ref="D179:I179"/>
    <mergeCell ref="C180:J180"/>
    <mergeCell ref="E186:E189"/>
    <mergeCell ref="E190:E193"/>
    <mergeCell ref="F186:F193"/>
    <mergeCell ref="C181:AB181"/>
    <mergeCell ref="Y179:AB179"/>
    <mergeCell ref="Y180:AB180"/>
    <mergeCell ref="G182:G193"/>
    <mergeCell ref="Y176:Y178"/>
    <mergeCell ref="I176:I178"/>
    <mergeCell ref="Y183:Y185"/>
    <mergeCell ref="C207:J207"/>
    <mergeCell ref="Y207:AB207"/>
    <mergeCell ref="I195:I196"/>
    <mergeCell ref="C200:C203"/>
    <mergeCell ref="E201:E203"/>
    <mergeCell ref="G201:G203"/>
    <mergeCell ref="H201:H203"/>
    <mergeCell ref="Y201:Y203"/>
    <mergeCell ref="C204:C206"/>
    <mergeCell ref="G205:G206"/>
    <mergeCell ref="E205:E206"/>
    <mergeCell ref="I205:I206"/>
    <mergeCell ref="E212:X212"/>
    <mergeCell ref="C213:J213"/>
    <mergeCell ref="K213:N213"/>
    <mergeCell ref="O213:R213"/>
    <mergeCell ref="S213:V213"/>
    <mergeCell ref="Z213:AB213"/>
    <mergeCell ref="C208:J208"/>
    <mergeCell ref="Y208:AB208"/>
    <mergeCell ref="B209:J209"/>
    <mergeCell ref="Y209:AB209"/>
    <mergeCell ref="A210:AB210"/>
    <mergeCell ref="A211:AC211"/>
    <mergeCell ref="C214:J214"/>
    <mergeCell ref="K214:N214"/>
    <mergeCell ref="O214:R214"/>
    <mergeCell ref="S214:V214"/>
    <mergeCell ref="Z214:AB214"/>
    <mergeCell ref="C215:J215"/>
    <mergeCell ref="K215:N215"/>
    <mergeCell ref="O215:R215"/>
    <mergeCell ref="S215:V215"/>
    <mergeCell ref="Z215:AB215"/>
    <mergeCell ref="T225:U225"/>
    <mergeCell ref="C222:J222"/>
    <mergeCell ref="K222:N222"/>
    <mergeCell ref="O222:R222"/>
    <mergeCell ref="S222:V222"/>
    <mergeCell ref="Z222:AB222"/>
    <mergeCell ref="C223:J223"/>
    <mergeCell ref="K223:N223"/>
    <mergeCell ref="O223:R223"/>
    <mergeCell ref="S223:V223"/>
    <mergeCell ref="Z223:AB223"/>
    <mergeCell ref="C224:J224"/>
    <mergeCell ref="K224:N224"/>
    <mergeCell ref="O224:R224"/>
    <mergeCell ref="S224:V224"/>
    <mergeCell ref="Z224:AB224"/>
    <mergeCell ref="C219:J219"/>
    <mergeCell ref="K219:N219"/>
    <mergeCell ref="O219:R219"/>
    <mergeCell ref="S219:V219"/>
    <mergeCell ref="Z216:AB216"/>
    <mergeCell ref="C217:J217"/>
    <mergeCell ref="K217:N217"/>
    <mergeCell ref="O217:R217"/>
    <mergeCell ref="S217:V217"/>
    <mergeCell ref="Z217:AB217"/>
    <mergeCell ref="C216:J216"/>
    <mergeCell ref="K216:N216"/>
    <mergeCell ref="O216:R216"/>
    <mergeCell ref="S216:V216"/>
    <mergeCell ref="C218:J218"/>
    <mergeCell ref="K218:N218"/>
    <mergeCell ref="O218:R218"/>
    <mergeCell ref="S218:V218"/>
    <mergeCell ref="Z218:AB218"/>
    <mergeCell ref="C220:J220"/>
    <mergeCell ref="K220:N220"/>
    <mergeCell ref="O220:R220"/>
    <mergeCell ref="S220:V220"/>
    <mergeCell ref="Z220:AB220"/>
    <mergeCell ref="C221:J221"/>
    <mergeCell ref="K221:N221"/>
    <mergeCell ref="O221:R221"/>
    <mergeCell ref="S221:V221"/>
    <mergeCell ref="Z221:AB221"/>
    <mergeCell ref="Z103:Z104"/>
    <mergeCell ref="E169:E170"/>
    <mergeCell ref="I169:I170"/>
    <mergeCell ref="Y156:AB156"/>
    <mergeCell ref="E164:E166"/>
    <mergeCell ref="Z136:Z137"/>
    <mergeCell ref="AA136:AA137"/>
    <mergeCell ref="AB158:AB159"/>
    <mergeCell ref="AB136:AB137"/>
    <mergeCell ref="C141:J141"/>
    <mergeCell ref="Y141:AB141"/>
    <mergeCell ref="Y164:Y166"/>
    <mergeCell ref="E162:E163"/>
    <mergeCell ref="AB162:AB163"/>
    <mergeCell ref="Y158:Y159"/>
    <mergeCell ref="AA103:AA104"/>
    <mergeCell ref="AB103:AB104"/>
    <mergeCell ref="E135:E137"/>
    <mergeCell ref="F135:F137"/>
    <mergeCell ref="G135:G137"/>
    <mergeCell ref="E158:E161"/>
    <mergeCell ref="I158:I161"/>
    <mergeCell ref="C142:AB142"/>
    <mergeCell ref="AA158:AA159"/>
    <mergeCell ref="I144:I145"/>
    <mergeCell ref="E144:E147"/>
    <mergeCell ref="E148:E151"/>
    <mergeCell ref="Y136:Y137"/>
    <mergeCell ref="Y130:Y131"/>
    <mergeCell ref="Y133:Y134"/>
    <mergeCell ref="Y144:Y147"/>
    <mergeCell ref="Y113:Y115"/>
    <mergeCell ref="I116:I117"/>
    <mergeCell ref="Y116:Y117"/>
    <mergeCell ref="G138:G140"/>
    <mergeCell ref="I152:I153"/>
    <mergeCell ref="Y174:Y175"/>
    <mergeCell ref="Z174:Z175"/>
    <mergeCell ref="AA174:AA175"/>
    <mergeCell ref="AB174:AB175"/>
    <mergeCell ref="Z162:Z163"/>
    <mergeCell ref="AA162:AA163"/>
    <mergeCell ref="E174:E175"/>
    <mergeCell ref="H174:H175"/>
    <mergeCell ref="I174:I175"/>
    <mergeCell ref="E167:E168"/>
    <mergeCell ref="I167:I168"/>
    <mergeCell ref="Y171:Y173"/>
    <mergeCell ref="Y169:Y170"/>
    <mergeCell ref="E171:E173"/>
    <mergeCell ref="I171:I173"/>
    <mergeCell ref="Y162:Y163"/>
    <mergeCell ref="P226:Q226"/>
    <mergeCell ref="Y103:Y104"/>
    <mergeCell ref="I164:I166"/>
    <mergeCell ref="H162:H163"/>
    <mergeCell ref="I162:I163"/>
    <mergeCell ref="D156:E156"/>
    <mergeCell ref="Y123:Y124"/>
    <mergeCell ref="E118:E119"/>
    <mergeCell ref="D105:J105"/>
    <mergeCell ref="I108:I109"/>
    <mergeCell ref="E113:E115"/>
    <mergeCell ref="Y105:AB105"/>
    <mergeCell ref="Z120:Z121"/>
    <mergeCell ref="AA120:AA121"/>
    <mergeCell ref="AB120:AB121"/>
    <mergeCell ref="E138:E140"/>
    <mergeCell ref="F138:F140"/>
    <mergeCell ref="H138:H140"/>
    <mergeCell ref="I138:I140"/>
    <mergeCell ref="E103:E104"/>
    <mergeCell ref="H103:H104"/>
    <mergeCell ref="I103:I104"/>
    <mergeCell ref="Y148:Y151"/>
    <mergeCell ref="E152:E155"/>
  </mergeCells>
  <pageMargins left="0" right="0" top="0.19685039370078741" bottom="0.19685039370078741" header="0.31496062992125984" footer="0.31496062992125984"/>
  <pageSetup paperSize="9" scale="76" orientation="landscape" r:id="rId1"/>
  <rowBreaks count="4" manualBreakCount="4">
    <brk id="24" max="27" man="1"/>
    <brk id="70" max="27" man="1"/>
    <brk id="96" max="27" man="1"/>
    <brk id="143" max="2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9"/>
  <sheetViews>
    <sheetView topLeftCell="B1" zoomScale="110" zoomScaleNormal="110" zoomScaleSheetLayoutView="80" workbookViewId="0">
      <selection activeCell="AB35" sqref="AB35"/>
    </sheetView>
  </sheetViews>
  <sheetFormatPr defaultRowHeight="12" x14ac:dyDescent="0.2"/>
  <cols>
    <col min="1" max="1" width="2.7109375" style="143" customWidth="1"/>
    <col min="2" max="2" width="2.7109375" style="144" customWidth="1"/>
    <col min="3" max="3" width="2.85546875" style="143" customWidth="1"/>
    <col min="4" max="4" width="29.7109375" style="143" customWidth="1"/>
    <col min="5" max="5" width="3.28515625" style="144" customWidth="1"/>
    <col min="6" max="6" width="2.7109375" style="1470" customWidth="1"/>
    <col min="7" max="7" width="7.5703125" style="144" customWidth="1"/>
    <col min="8" max="8" width="8.28515625" style="1984" hidden="1" customWidth="1"/>
    <col min="9" max="9" width="7.85546875" style="338" customWidth="1"/>
    <col min="10" max="10" width="8.28515625" style="338" hidden="1" customWidth="1"/>
    <col min="11" max="11" width="7" style="338" hidden="1" customWidth="1"/>
    <col min="12" max="12" width="7.42578125" style="338" hidden="1" customWidth="1"/>
    <col min="13" max="13" width="8.140625" style="338" customWidth="1"/>
    <col min="14" max="14" width="7.7109375" style="338" customWidth="1"/>
    <col min="15" max="15" width="24.28515625" style="251" customWidth="1"/>
    <col min="16" max="16" width="5.7109375" style="144" customWidth="1"/>
    <col min="17" max="17" width="5.28515625" style="144" customWidth="1"/>
    <col min="18" max="18" width="5.28515625" style="247" customWidth="1"/>
    <col min="19" max="16384" width="9.140625" style="143"/>
  </cols>
  <sheetData>
    <row r="1" spans="1:23" x14ac:dyDescent="0.2">
      <c r="A1" s="3540" t="s">
        <v>238</v>
      </c>
      <c r="B1" s="3540"/>
      <c r="C1" s="3540"/>
      <c r="D1" s="3540"/>
      <c r="E1" s="3540"/>
      <c r="F1" s="3540"/>
      <c r="G1" s="3540"/>
      <c r="H1" s="3540"/>
      <c r="I1" s="3540"/>
      <c r="J1" s="3540"/>
      <c r="K1" s="3540"/>
      <c r="L1" s="3540"/>
      <c r="M1" s="3540"/>
      <c r="N1" s="3540"/>
      <c r="O1" s="3540"/>
      <c r="P1" s="3540"/>
      <c r="Q1" s="3540"/>
      <c r="R1" s="3540"/>
    </row>
    <row r="2" spans="1:23" s="1187" customFormat="1" x14ac:dyDescent="0.25">
      <c r="A2" s="3541" t="s">
        <v>83</v>
      </c>
      <c r="B2" s="3541"/>
      <c r="C2" s="3541"/>
      <c r="D2" s="3541"/>
      <c r="E2" s="3541"/>
      <c r="F2" s="3541"/>
      <c r="G2" s="3541"/>
      <c r="H2" s="3541"/>
      <c r="I2" s="3541"/>
      <c r="J2" s="3541"/>
      <c r="K2" s="3541"/>
      <c r="L2" s="3541"/>
      <c r="M2" s="3541"/>
      <c r="N2" s="3541"/>
      <c r="O2" s="3541"/>
      <c r="P2" s="3541"/>
      <c r="Q2" s="3541"/>
      <c r="R2" s="3541"/>
    </row>
    <row r="3" spans="1:23" s="1187" customFormat="1" x14ac:dyDescent="0.25">
      <c r="A3" s="3542" t="s">
        <v>230</v>
      </c>
      <c r="B3" s="3542"/>
      <c r="C3" s="3542"/>
      <c r="D3" s="3542"/>
      <c r="E3" s="3542"/>
      <c r="F3" s="3542"/>
      <c r="G3" s="3542"/>
      <c r="H3" s="3542"/>
      <c r="I3" s="3542"/>
      <c r="J3" s="3542"/>
      <c r="K3" s="3542"/>
      <c r="L3" s="3542"/>
      <c r="M3" s="3542"/>
      <c r="N3" s="3542"/>
      <c r="O3" s="3542"/>
      <c r="P3" s="3542"/>
      <c r="Q3" s="3542"/>
      <c r="R3" s="3542"/>
    </row>
    <row r="4" spans="1:23" s="1187" customFormat="1" ht="12.75" thickBot="1" x14ac:dyDescent="0.3">
      <c r="A4" s="3543" t="s">
        <v>0</v>
      </c>
      <c r="B4" s="3543"/>
      <c r="C4" s="3543"/>
      <c r="D4" s="3543"/>
      <c r="E4" s="3543"/>
      <c r="F4" s="3543"/>
      <c r="G4" s="3543"/>
      <c r="H4" s="3543"/>
      <c r="I4" s="3543"/>
      <c r="J4" s="3543"/>
      <c r="K4" s="3543"/>
      <c r="L4" s="3543"/>
      <c r="M4" s="3543"/>
      <c r="N4" s="3543"/>
      <c r="O4" s="3543"/>
      <c r="P4" s="3543"/>
      <c r="Q4" s="3543"/>
      <c r="R4" s="3543"/>
    </row>
    <row r="5" spans="1:23" s="240" customFormat="1" ht="12.75" thickBot="1" x14ac:dyDescent="0.3">
      <c r="A5" s="3544" t="s">
        <v>1</v>
      </c>
      <c r="B5" s="3547" t="s">
        <v>2</v>
      </c>
      <c r="C5" s="3550" t="s">
        <v>3</v>
      </c>
      <c r="D5" s="3553" t="s">
        <v>4</v>
      </c>
      <c r="E5" s="3556" t="s">
        <v>5</v>
      </c>
      <c r="F5" s="3684" t="s">
        <v>6</v>
      </c>
      <c r="G5" s="3572" t="s">
        <v>7</v>
      </c>
      <c r="H5" s="3669" t="s">
        <v>241</v>
      </c>
      <c r="I5" s="3672" t="s">
        <v>241</v>
      </c>
      <c r="J5" s="3673"/>
      <c r="K5" s="3673"/>
      <c r="L5" s="3674"/>
      <c r="M5" s="3681" t="s">
        <v>314</v>
      </c>
      <c r="N5" s="3681" t="s">
        <v>315</v>
      </c>
      <c r="O5" s="3584" t="s">
        <v>231</v>
      </c>
      <c r="P5" s="3585"/>
      <c r="Q5" s="3585"/>
      <c r="R5" s="3586"/>
    </row>
    <row r="6" spans="1:23" s="240" customFormat="1" x14ac:dyDescent="0.25">
      <c r="A6" s="3545"/>
      <c r="B6" s="3548"/>
      <c r="C6" s="3551"/>
      <c r="D6" s="3554"/>
      <c r="E6" s="3557"/>
      <c r="F6" s="3685"/>
      <c r="G6" s="3573"/>
      <c r="H6" s="3670"/>
      <c r="I6" s="3675"/>
      <c r="J6" s="3676"/>
      <c r="K6" s="3676"/>
      <c r="L6" s="3677"/>
      <c r="M6" s="3682"/>
      <c r="N6" s="3682"/>
      <c r="O6" s="3064" t="s">
        <v>57</v>
      </c>
      <c r="P6" s="3066" t="s">
        <v>60</v>
      </c>
      <c r="Q6" s="3067"/>
      <c r="R6" s="3068"/>
    </row>
    <row r="7" spans="1:23" s="240" customFormat="1" ht="59.25" thickBot="1" x14ac:dyDescent="0.3">
      <c r="A7" s="3546"/>
      <c r="B7" s="3549"/>
      <c r="C7" s="3552"/>
      <c r="D7" s="3555"/>
      <c r="E7" s="3558"/>
      <c r="F7" s="3686"/>
      <c r="G7" s="3574"/>
      <c r="H7" s="3671"/>
      <c r="I7" s="3678"/>
      <c r="J7" s="3679"/>
      <c r="K7" s="3679"/>
      <c r="L7" s="3680"/>
      <c r="M7" s="3683"/>
      <c r="N7" s="3683"/>
      <c r="O7" s="3065"/>
      <c r="P7" s="211" t="s">
        <v>62</v>
      </c>
      <c r="Q7" s="211" t="s">
        <v>128</v>
      </c>
      <c r="R7" s="212" t="s">
        <v>242</v>
      </c>
    </row>
    <row r="8" spans="1:23" s="1187" customFormat="1" x14ac:dyDescent="0.25">
      <c r="A8" s="3591" t="s">
        <v>205</v>
      </c>
      <c r="B8" s="3592"/>
      <c r="C8" s="3592"/>
      <c r="D8" s="3592"/>
      <c r="E8" s="3592"/>
      <c r="F8" s="3592"/>
      <c r="G8" s="3592"/>
      <c r="H8" s="3592"/>
      <c r="I8" s="3592"/>
      <c r="J8" s="3592"/>
      <c r="K8" s="3592"/>
      <c r="L8" s="3592"/>
      <c r="M8" s="3592"/>
      <c r="N8" s="3592"/>
      <c r="O8" s="3592"/>
      <c r="P8" s="3592"/>
      <c r="Q8" s="3592"/>
      <c r="R8" s="3593"/>
    </row>
    <row r="9" spans="1:23" s="1187" customFormat="1" ht="12.75" thickBot="1" x14ac:dyDescent="0.3">
      <c r="A9" s="3594" t="s">
        <v>12</v>
      </c>
      <c r="B9" s="3595"/>
      <c r="C9" s="3595"/>
      <c r="D9" s="3595"/>
      <c r="E9" s="3595"/>
      <c r="F9" s="3595"/>
      <c r="G9" s="3595"/>
      <c r="H9" s="3595"/>
      <c r="I9" s="3595"/>
      <c r="J9" s="3595"/>
      <c r="K9" s="3595"/>
      <c r="L9" s="3595"/>
      <c r="M9" s="3595"/>
      <c r="N9" s="3595"/>
      <c r="O9" s="3595"/>
      <c r="P9" s="3595"/>
      <c r="Q9" s="3595"/>
      <c r="R9" s="3596"/>
      <c r="W9" s="240"/>
    </row>
    <row r="10" spans="1:23" s="240" customFormat="1" ht="12.75" thickBot="1" x14ac:dyDescent="0.3">
      <c r="A10" s="1189" t="s">
        <v>13</v>
      </c>
      <c r="B10" s="3597" t="s">
        <v>14</v>
      </c>
      <c r="C10" s="3597"/>
      <c r="D10" s="3597"/>
      <c r="E10" s="3597"/>
      <c r="F10" s="3597"/>
      <c r="G10" s="3597"/>
      <c r="H10" s="3597"/>
      <c r="I10" s="3597"/>
      <c r="J10" s="3597"/>
      <c r="K10" s="3597"/>
      <c r="L10" s="3597"/>
      <c r="M10" s="3597"/>
      <c r="N10" s="3597"/>
      <c r="O10" s="3597"/>
      <c r="P10" s="3597"/>
      <c r="Q10" s="3597"/>
      <c r="R10" s="3598"/>
    </row>
    <row r="11" spans="1:23" s="240" customFormat="1" ht="12.75" thickBot="1" x14ac:dyDescent="0.3">
      <c r="A11" s="1190" t="s">
        <v>13</v>
      </c>
      <c r="B11" s="1191" t="s">
        <v>13</v>
      </c>
      <c r="C11" s="3599" t="s">
        <v>15</v>
      </c>
      <c r="D11" s="3599"/>
      <c r="E11" s="3599"/>
      <c r="F11" s="3599"/>
      <c r="G11" s="3600"/>
      <c r="H11" s="3600"/>
      <c r="I11" s="3600"/>
      <c r="J11" s="3600"/>
      <c r="K11" s="3600"/>
      <c r="L11" s="3600"/>
      <c r="M11" s="3600"/>
      <c r="N11" s="3600"/>
      <c r="O11" s="3600"/>
      <c r="P11" s="3600"/>
      <c r="Q11" s="3600"/>
      <c r="R11" s="3601"/>
    </row>
    <row r="12" spans="1:23" s="240" customFormat="1" ht="36" x14ac:dyDescent="0.25">
      <c r="A12" s="2043" t="s">
        <v>13</v>
      </c>
      <c r="B12" s="1192" t="s">
        <v>13</v>
      </c>
      <c r="C12" s="2056" t="s">
        <v>13</v>
      </c>
      <c r="D12" s="3365" t="s">
        <v>63</v>
      </c>
      <c r="E12" s="1193"/>
      <c r="F12" s="2064" t="s">
        <v>26</v>
      </c>
      <c r="G12" s="1484" t="s">
        <v>17</v>
      </c>
      <c r="H12" s="469">
        <v>7.6</v>
      </c>
      <c r="I12" s="1168">
        <v>2290.4</v>
      </c>
      <c r="J12" s="1195">
        <v>2290.4</v>
      </c>
      <c r="K12" s="1196"/>
      <c r="L12" s="1277"/>
      <c r="M12" s="1198">
        <v>2290.4</v>
      </c>
      <c r="N12" s="1198">
        <v>2290.4</v>
      </c>
      <c r="O12" s="41" t="s">
        <v>303</v>
      </c>
      <c r="P12" s="256">
        <v>5</v>
      </c>
      <c r="Q12" s="244">
        <v>5</v>
      </c>
      <c r="R12" s="257">
        <v>5</v>
      </c>
    </row>
    <row r="13" spans="1:23" s="240" customFormat="1" x14ac:dyDescent="0.25">
      <c r="A13" s="2038"/>
      <c r="B13" s="1199"/>
      <c r="C13" s="2057"/>
      <c r="D13" s="3366"/>
      <c r="E13" s="1200"/>
      <c r="F13" s="1812"/>
      <c r="G13" s="1118"/>
      <c r="H13" s="488"/>
      <c r="I13" s="593"/>
      <c r="J13" s="1203"/>
      <c r="K13" s="1204"/>
      <c r="L13" s="1711"/>
      <c r="M13" s="1161"/>
      <c r="N13" s="1207"/>
      <c r="O13" s="3566" t="s">
        <v>130</v>
      </c>
      <c r="P13" s="2024">
        <v>4600</v>
      </c>
      <c r="Q13" s="2009">
        <v>4500</v>
      </c>
      <c r="R13" s="2023">
        <v>4500</v>
      </c>
    </row>
    <row r="14" spans="1:23" s="240" customFormat="1" x14ac:dyDescent="0.25">
      <c r="A14" s="2038"/>
      <c r="B14" s="1199"/>
      <c r="C14" s="2057"/>
      <c r="D14" s="3366"/>
      <c r="E14" s="1200"/>
      <c r="F14" s="1812"/>
      <c r="G14" s="1118" t="s">
        <v>27</v>
      </c>
      <c r="H14" s="488">
        <v>13000</v>
      </c>
      <c r="I14" s="593">
        <f>J14</f>
        <v>22047.5</v>
      </c>
      <c r="J14" s="1096">
        <v>22047.5</v>
      </c>
      <c r="K14" s="1204"/>
      <c r="L14" s="1711"/>
      <c r="M14" s="1161">
        <v>22047.5</v>
      </c>
      <c r="N14" s="1161">
        <v>22047.5</v>
      </c>
      <c r="O14" s="3567"/>
      <c r="P14" s="1208"/>
      <c r="Q14" s="726"/>
      <c r="R14" s="242"/>
    </row>
    <row r="15" spans="1:23" s="240" customFormat="1" ht="24" x14ac:dyDescent="0.25">
      <c r="A15" s="2038"/>
      <c r="B15" s="1199"/>
      <c r="C15" s="2057"/>
      <c r="D15" s="3366"/>
      <c r="E15" s="280"/>
      <c r="F15" s="1812"/>
      <c r="G15" s="59"/>
      <c r="H15" s="1993"/>
      <c r="I15" s="590"/>
      <c r="J15" s="1210"/>
      <c r="K15" s="1211"/>
      <c r="L15" s="522"/>
      <c r="M15" s="1213"/>
      <c r="N15" s="1327"/>
      <c r="O15" s="1779" t="s">
        <v>174</v>
      </c>
      <c r="P15" s="1682">
        <v>183</v>
      </c>
      <c r="Q15" s="2009">
        <v>183</v>
      </c>
      <c r="R15" s="2006">
        <v>183</v>
      </c>
    </row>
    <row r="16" spans="1:23" s="240" customFormat="1" ht="24" x14ac:dyDescent="0.25">
      <c r="A16" s="2038"/>
      <c r="B16" s="1199"/>
      <c r="C16" s="2057"/>
      <c r="D16" s="2030" t="s">
        <v>291</v>
      </c>
      <c r="E16" s="1200"/>
      <c r="F16" s="1812"/>
      <c r="G16" s="1796"/>
      <c r="H16" s="627"/>
      <c r="I16" s="594"/>
      <c r="J16" s="1690"/>
      <c r="K16" s="252"/>
      <c r="L16" s="1333"/>
      <c r="M16" s="1163"/>
      <c r="N16" s="1163"/>
      <c r="O16" s="1780" t="s">
        <v>129</v>
      </c>
      <c r="P16" s="2024">
        <v>18220</v>
      </c>
      <c r="Q16" s="2009">
        <v>18220</v>
      </c>
      <c r="R16" s="2023">
        <v>18220</v>
      </c>
    </row>
    <row r="17" spans="1:18" s="240" customFormat="1" x14ac:dyDescent="0.25">
      <c r="A17" s="2038"/>
      <c r="B17" s="1199"/>
      <c r="C17" s="2057"/>
      <c r="D17" s="3279" t="s">
        <v>292</v>
      </c>
      <c r="E17" s="1200"/>
      <c r="F17" s="1812"/>
      <c r="G17" s="1796"/>
      <c r="H17" s="627"/>
      <c r="I17" s="593"/>
      <c r="J17" s="1690"/>
      <c r="K17" s="252"/>
      <c r="L17" s="1333"/>
      <c r="M17" s="1163"/>
      <c r="N17" s="1692"/>
      <c r="O17" s="503"/>
      <c r="P17" s="286"/>
      <c r="Q17" s="2016"/>
      <c r="R17" s="217"/>
    </row>
    <row r="18" spans="1:18" s="240" customFormat="1" ht="12.75" thickBot="1" x14ac:dyDescent="0.3">
      <c r="A18" s="2038"/>
      <c r="B18" s="1199"/>
      <c r="C18" s="2057"/>
      <c r="D18" s="3367"/>
      <c r="E18" s="1200"/>
      <c r="F18" s="1812"/>
      <c r="G18" s="1215" t="s">
        <v>18</v>
      </c>
      <c r="H18" s="367">
        <f>SUM(H12:H17)</f>
        <v>13007.6</v>
      </c>
      <c r="I18" s="360">
        <f>SUM(I12:I17)</f>
        <v>24337.9</v>
      </c>
      <c r="J18" s="362">
        <f>SUM(J12:J17)</f>
        <v>24337.9</v>
      </c>
      <c r="K18" s="362"/>
      <c r="L18" s="368"/>
      <c r="M18" s="382">
        <f>SUM(M12:M17)</f>
        <v>24337.9</v>
      </c>
      <c r="N18" s="382">
        <f>SUM(N12:N17)</f>
        <v>24337.9</v>
      </c>
      <c r="O18" s="1681"/>
      <c r="P18" s="1683"/>
      <c r="Q18" s="2017"/>
      <c r="R18" s="2019"/>
    </row>
    <row r="19" spans="1:18" s="240" customFormat="1" ht="24" x14ac:dyDescent="0.25">
      <c r="A19" s="2043" t="s">
        <v>13</v>
      </c>
      <c r="B19" s="1192" t="s">
        <v>13</v>
      </c>
      <c r="C19" s="2056" t="s">
        <v>19</v>
      </c>
      <c r="D19" s="2014" t="s">
        <v>64</v>
      </c>
      <c r="E19" s="1193"/>
      <c r="F19" s="2064" t="s">
        <v>26</v>
      </c>
      <c r="G19" s="1118" t="s">
        <v>17</v>
      </c>
      <c r="H19" s="489">
        <v>5495.8</v>
      </c>
      <c r="I19" s="595">
        <f>J19</f>
        <v>5495.8</v>
      </c>
      <c r="J19" s="1098">
        <v>5495.8</v>
      </c>
      <c r="K19" s="1104">
        <v>1653</v>
      </c>
      <c r="L19" s="149"/>
      <c r="M19" s="35">
        <v>5829.8</v>
      </c>
      <c r="N19" s="35">
        <v>5829.8</v>
      </c>
      <c r="O19" s="2920" t="s">
        <v>175</v>
      </c>
      <c r="P19" s="1549">
        <v>464</v>
      </c>
      <c r="Q19" s="1550">
        <v>464</v>
      </c>
      <c r="R19" s="1551">
        <v>464</v>
      </c>
    </row>
    <row r="20" spans="1:18" s="240" customFormat="1" ht="12.75" thickBot="1" x14ac:dyDescent="0.3">
      <c r="A20" s="2038"/>
      <c r="B20" s="1199"/>
      <c r="C20" s="2057"/>
      <c r="D20" s="2034"/>
      <c r="E20" s="1200"/>
      <c r="F20" s="1812"/>
      <c r="G20" s="1215" t="s">
        <v>18</v>
      </c>
      <c r="H20" s="367">
        <f>H19</f>
        <v>5495.8</v>
      </c>
      <c r="I20" s="367">
        <f>L20+J20</f>
        <v>5495.8</v>
      </c>
      <c r="J20" s="362">
        <f>SUM(J19:J19)</f>
        <v>5495.8</v>
      </c>
      <c r="K20" s="361">
        <f>SUM(K19:K19)</f>
        <v>1653</v>
      </c>
      <c r="L20" s="368"/>
      <c r="M20" s="382">
        <f>SUM(M19:M19)</f>
        <v>5829.8</v>
      </c>
      <c r="N20" s="361">
        <f>SUM(N19:N19)</f>
        <v>5829.8</v>
      </c>
      <c r="O20" s="2823"/>
      <c r="P20" s="2062"/>
      <c r="Q20" s="1998"/>
      <c r="R20" s="586"/>
    </row>
    <row r="21" spans="1:18" s="240" customFormat="1" x14ac:dyDescent="0.25">
      <c r="A21" s="2043" t="s">
        <v>13</v>
      </c>
      <c r="B21" s="1192" t="s">
        <v>13</v>
      </c>
      <c r="C21" s="2056" t="s">
        <v>22</v>
      </c>
      <c r="D21" s="2920" t="s">
        <v>66</v>
      </c>
      <c r="E21" s="1193"/>
      <c r="F21" s="2064" t="s">
        <v>26</v>
      </c>
      <c r="G21" s="1150" t="s">
        <v>17</v>
      </c>
      <c r="H21" s="489">
        <v>548</v>
      </c>
      <c r="I21" s="489">
        <f>J21</f>
        <v>548</v>
      </c>
      <c r="J21" s="1113">
        <v>548</v>
      </c>
      <c r="K21" s="1554">
        <v>418.9</v>
      </c>
      <c r="L21" s="946"/>
      <c r="M21" s="200">
        <v>548</v>
      </c>
      <c r="N21" s="200">
        <v>548</v>
      </c>
      <c r="O21" s="2920" t="s">
        <v>67</v>
      </c>
      <c r="P21" s="3012">
        <v>17</v>
      </c>
      <c r="Q21" s="2824">
        <v>17</v>
      </c>
      <c r="R21" s="3014">
        <v>17</v>
      </c>
    </row>
    <row r="22" spans="1:18" s="240" customFormat="1" ht="12.75" thickBot="1" x14ac:dyDescent="0.3">
      <c r="A22" s="2059"/>
      <c r="B22" s="1216"/>
      <c r="C22" s="2058"/>
      <c r="D22" s="2823"/>
      <c r="E22" s="1217"/>
      <c r="F22" s="2065"/>
      <c r="G22" s="1215" t="s">
        <v>18</v>
      </c>
      <c r="H22" s="367">
        <f>H21</f>
        <v>548</v>
      </c>
      <c r="I22" s="367">
        <f>J22+L22</f>
        <v>548</v>
      </c>
      <c r="J22" s="362">
        <f>+J21</f>
        <v>548</v>
      </c>
      <c r="K22" s="361">
        <f>+K21</f>
        <v>418.9</v>
      </c>
      <c r="L22" s="368"/>
      <c r="M22" s="360">
        <f>+M21</f>
        <v>548</v>
      </c>
      <c r="N22" s="360">
        <f>+N21</f>
        <v>548</v>
      </c>
      <c r="O22" s="2823"/>
      <c r="P22" s="3013"/>
      <c r="Q22" s="2825"/>
      <c r="R22" s="3015"/>
    </row>
    <row r="23" spans="1:18" s="240" customFormat="1" x14ac:dyDescent="0.25">
      <c r="A23" s="2043" t="s">
        <v>13</v>
      </c>
      <c r="B23" s="1192" t="s">
        <v>13</v>
      </c>
      <c r="C23" s="2056" t="s">
        <v>24</v>
      </c>
      <c r="D23" s="3365" t="s">
        <v>68</v>
      </c>
      <c r="E23" s="1193"/>
      <c r="F23" s="2064" t="s">
        <v>26</v>
      </c>
      <c r="G23" s="1150" t="s">
        <v>17</v>
      </c>
      <c r="H23" s="364">
        <v>2626.4</v>
      </c>
      <c r="I23" s="373">
        <f>343.2+2283.2</f>
        <v>2626.3999999999996</v>
      </c>
      <c r="J23" s="1605">
        <f>I23</f>
        <v>2626.3999999999996</v>
      </c>
      <c r="K23" s="160"/>
      <c r="L23" s="1798"/>
      <c r="M23" s="35">
        <v>2600</v>
      </c>
      <c r="N23" s="35">
        <v>2600</v>
      </c>
      <c r="O23" s="2920" t="s">
        <v>108</v>
      </c>
      <c r="P23" s="2999">
        <v>2700</v>
      </c>
      <c r="Q23" s="2982">
        <v>2700</v>
      </c>
      <c r="R23" s="2983">
        <v>2700</v>
      </c>
    </row>
    <row r="24" spans="1:18" s="240" customFormat="1" ht="12.75" thickBot="1" x14ac:dyDescent="0.3">
      <c r="A24" s="2059"/>
      <c r="B24" s="1216"/>
      <c r="C24" s="2058"/>
      <c r="D24" s="3367"/>
      <c r="E24" s="1217"/>
      <c r="F24" s="2065"/>
      <c r="G24" s="1215" t="s">
        <v>18</v>
      </c>
      <c r="H24" s="367">
        <f>H23</f>
        <v>2626.4</v>
      </c>
      <c r="I24" s="367">
        <f t="shared" ref="I24:I30" si="0">J24+L24</f>
        <v>2626.3999999999996</v>
      </c>
      <c r="J24" s="362">
        <f>+J23</f>
        <v>2626.3999999999996</v>
      </c>
      <c r="K24" s="361"/>
      <c r="L24" s="368"/>
      <c r="M24" s="360">
        <f>+M23</f>
        <v>2600</v>
      </c>
      <c r="N24" s="360">
        <f>+N23</f>
        <v>2600</v>
      </c>
      <c r="O24" s="2823"/>
      <c r="P24" s="3000"/>
      <c r="Q24" s="3001"/>
      <c r="R24" s="3011"/>
    </row>
    <row r="25" spans="1:18" s="240" customFormat="1" x14ac:dyDescent="0.25">
      <c r="A25" s="3475" t="s">
        <v>13</v>
      </c>
      <c r="B25" s="3476" t="s">
        <v>13</v>
      </c>
      <c r="C25" s="3536" t="s">
        <v>28</v>
      </c>
      <c r="D25" s="3365" t="s">
        <v>20</v>
      </c>
      <c r="E25" s="3538"/>
      <c r="F25" s="3667" t="s">
        <v>26</v>
      </c>
      <c r="G25" s="1484" t="s">
        <v>21</v>
      </c>
      <c r="H25" s="469">
        <v>36503</v>
      </c>
      <c r="I25" s="469">
        <f>J25</f>
        <v>36503</v>
      </c>
      <c r="J25" s="162">
        <v>36503</v>
      </c>
      <c r="K25" s="162"/>
      <c r="L25" s="1799"/>
      <c r="M25" s="39">
        <v>36204</v>
      </c>
      <c r="N25" s="40">
        <v>36204</v>
      </c>
      <c r="O25" s="41" t="s">
        <v>69</v>
      </c>
      <c r="P25" s="860">
        <v>6460</v>
      </c>
      <c r="Q25" s="265">
        <v>6419</v>
      </c>
      <c r="R25" s="266">
        <v>6419</v>
      </c>
    </row>
    <row r="26" spans="1:18" s="240" customFormat="1" ht="12.75" thickBot="1" x14ac:dyDescent="0.3">
      <c r="A26" s="3527"/>
      <c r="B26" s="3528"/>
      <c r="C26" s="3537"/>
      <c r="D26" s="3367"/>
      <c r="E26" s="3539"/>
      <c r="F26" s="3668"/>
      <c r="G26" s="1215" t="s">
        <v>18</v>
      </c>
      <c r="H26" s="367">
        <f>H25</f>
        <v>36503</v>
      </c>
      <c r="I26" s="367">
        <f t="shared" si="0"/>
        <v>36503</v>
      </c>
      <c r="J26" s="472">
        <f>+J25</f>
        <v>36503</v>
      </c>
      <c r="K26" s="362"/>
      <c r="L26" s="433"/>
      <c r="M26" s="360">
        <f>+M25</f>
        <v>36204</v>
      </c>
      <c r="N26" s="382">
        <f>+N25</f>
        <v>36204</v>
      </c>
      <c r="O26" s="42"/>
      <c r="P26" s="213"/>
      <c r="Q26" s="862"/>
      <c r="R26" s="863"/>
    </row>
    <row r="27" spans="1:18" s="240" customFormat="1" x14ac:dyDescent="0.25">
      <c r="A27" s="2043" t="s">
        <v>13</v>
      </c>
      <c r="B27" s="1192" t="s">
        <v>13</v>
      </c>
      <c r="C27" s="2056" t="s">
        <v>36</v>
      </c>
      <c r="D27" s="3365" t="s">
        <v>23</v>
      </c>
      <c r="E27" s="2061"/>
      <c r="F27" s="1813" t="s">
        <v>26</v>
      </c>
      <c r="G27" s="2061" t="s">
        <v>21</v>
      </c>
      <c r="H27" s="1351">
        <v>8981</v>
      </c>
      <c r="I27" s="373">
        <f>J27</f>
        <v>8981</v>
      </c>
      <c r="J27" s="1538">
        <v>8981</v>
      </c>
      <c r="K27" s="148"/>
      <c r="L27" s="1800"/>
      <c r="M27" s="35">
        <v>9002</v>
      </c>
      <c r="N27" s="36">
        <v>9002</v>
      </c>
      <c r="O27" s="3535" t="s">
        <v>69</v>
      </c>
      <c r="P27" s="3007">
        <v>3457</v>
      </c>
      <c r="Q27" s="2994">
        <v>3702</v>
      </c>
      <c r="R27" s="2996">
        <v>3702</v>
      </c>
    </row>
    <row r="28" spans="1:18" s="240" customFormat="1" ht="12.75" thickBot="1" x14ac:dyDescent="0.3">
      <c r="A28" s="2059"/>
      <c r="B28" s="1216"/>
      <c r="C28" s="2058"/>
      <c r="D28" s="3367"/>
      <c r="E28" s="1217"/>
      <c r="F28" s="2065"/>
      <c r="G28" s="1215" t="s">
        <v>18</v>
      </c>
      <c r="H28" s="367">
        <f>H27</f>
        <v>8981</v>
      </c>
      <c r="I28" s="367">
        <f t="shared" si="0"/>
        <v>8981</v>
      </c>
      <c r="J28" s="472">
        <f>+J27</f>
        <v>8981</v>
      </c>
      <c r="K28" s="362"/>
      <c r="L28" s="433"/>
      <c r="M28" s="360">
        <f t="shared" ref="M28:N28" si="1">+M27</f>
        <v>9002</v>
      </c>
      <c r="N28" s="360">
        <f t="shared" si="1"/>
        <v>9002</v>
      </c>
      <c r="O28" s="3006"/>
      <c r="P28" s="3008"/>
      <c r="Q28" s="2995"/>
      <c r="R28" s="2997"/>
    </row>
    <row r="29" spans="1:18" s="1187" customFormat="1" ht="24" x14ac:dyDescent="0.25">
      <c r="A29" s="3475" t="s">
        <v>13</v>
      </c>
      <c r="B29" s="3476" t="s">
        <v>13</v>
      </c>
      <c r="C29" s="3458" t="s">
        <v>38</v>
      </c>
      <c r="D29" s="1222" t="s">
        <v>25</v>
      </c>
      <c r="E29" s="2061"/>
      <c r="F29" s="2066" t="s">
        <v>26</v>
      </c>
      <c r="G29" s="1797" t="s">
        <v>27</v>
      </c>
      <c r="H29" s="1993">
        <v>534.6</v>
      </c>
      <c r="I29" s="1166">
        <f>J29+L29</f>
        <v>532.1</v>
      </c>
      <c r="J29" s="1220">
        <v>532.1</v>
      </c>
      <c r="K29" s="1224"/>
      <c r="L29" s="1800"/>
      <c r="M29" s="44">
        <v>540</v>
      </c>
      <c r="N29" s="267">
        <v>540</v>
      </c>
      <c r="O29" s="3534" t="s">
        <v>109</v>
      </c>
      <c r="P29" s="2999">
        <v>1983</v>
      </c>
      <c r="Q29" s="2982">
        <v>1980</v>
      </c>
      <c r="R29" s="2983">
        <v>1980</v>
      </c>
    </row>
    <row r="30" spans="1:18" s="240" customFormat="1" ht="12.75" thickBot="1" x14ac:dyDescent="0.3">
      <c r="A30" s="3455"/>
      <c r="B30" s="3457"/>
      <c r="C30" s="3459"/>
      <c r="D30" s="1225"/>
      <c r="E30" s="1200"/>
      <c r="F30" s="1812"/>
      <c r="G30" s="1215" t="s">
        <v>18</v>
      </c>
      <c r="H30" s="367">
        <f>H29</f>
        <v>534.6</v>
      </c>
      <c r="I30" s="367">
        <f t="shared" si="0"/>
        <v>532.1</v>
      </c>
      <c r="J30" s="472">
        <f>+J29</f>
        <v>532.1</v>
      </c>
      <c r="K30" s="362"/>
      <c r="L30" s="433"/>
      <c r="M30" s="360">
        <f t="shared" ref="M30:N30" si="2">+M29</f>
        <v>540</v>
      </c>
      <c r="N30" s="360">
        <f t="shared" si="2"/>
        <v>540</v>
      </c>
      <c r="O30" s="2927"/>
      <c r="P30" s="3000"/>
      <c r="Q30" s="3001"/>
      <c r="R30" s="3002"/>
    </row>
    <row r="31" spans="1:18" s="240" customFormat="1" ht="24" x14ac:dyDescent="0.25">
      <c r="A31" s="3475" t="s">
        <v>13</v>
      </c>
      <c r="B31" s="3476" t="s">
        <v>13</v>
      </c>
      <c r="C31" s="1226" t="s">
        <v>70</v>
      </c>
      <c r="D31" s="3365" t="s">
        <v>29</v>
      </c>
      <c r="E31" s="1193"/>
      <c r="F31" s="1810">
        <v>3</v>
      </c>
      <c r="G31" s="2061" t="s">
        <v>27</v>
      </c>
      <c r="H31" s="1351">
        <v>570.1</v>
      </c>
      <c r="I31" s="1818">
        <v>570.1</v>
      </c>
      <c r="J31" s="1815">
        <f>I31</f>
        <v>570.1</v>
      </c>
      <c r="K31" s="1816"/>
      <c r="L31" s="1817"/>
      <c r="M31" s="263">
        <v>570</v>
      </c>
      <c r="N31" s="1819">
        <v>570</v>
      </c>
      <c r="O31" s="2063" t="s">
        <v>176</v>
      </c>
      <c r="P31" s="2022">
        <v>4900</v>
      </c>
      <c r="Q31" s="2020">
        <v>4900</v>
      </c>
      <c r="R31" s="2021">
        <v>4900</v>
      </c>
    </row>
    <row r="32" spans="1:18" s="240" customFormat="1" ht="12.75" thickBot="1" x14ac:dyDescent="0.3">
      <c r="A32" s="3527"/>
      <c r="B32" s="3528"/>
      <c r="C32" s="1230"/>
      <c r="D32" s="3367"/>
      <c r="E32" s="1200"/>
      <c r="F32" s="1814"/>
      <c r="G32" s="2077" t="s">
        <v>18</v>
      </c>
      <c r="H32" s="1897">
        <f>H31</f>
        <v>570.1</v>
      </c>
      <c r="I32" s="378">
        <f>J32+L32</f>
        <v>570.1</v>
      </c>
      <c r="J32" s="394">
        <f>+J31</f>
        <v>570.1</v>
      </c>
      <c r="K32" s="393"/>
      <c r="L32" s="405"/>
      <c r="M32" s="378">
        <f>+M31</f>
        <v>570</v>
      </c>
      <c r="N32" s="382">
        <f>+N31</f>
        <v>570</v>
      </c>
      <c r="O32" s="2015"/>
      <c r="P32" s="861"/>
      <c r="Q32" s="862"/>
      <c r="R32" s="863"/>
    </row>
    <row r="33" spans="1:23" s="1187" customFormat="1" ht="12.75" thickBot="1" x14ac:dyDescent="0.3">
      <c r="A33" s="1190" t="s">
        <v>13</v>
      </c>
      <c r="B33" s="1191" t="s">
        <v>13</v>
      </c>
      <c r="C33" s="3531" t="s">
        <v>30</v>
      </c>
      <c r="D33" s="3532"/>
      <c r="E33" s="3532"/>
      <c r="F33" s="3532"/>
      <c r="G33" s="3533"/>
      <c r="H33" s="1966">
        <f>H32+H30+H28+H26+H24+H22+H20+H18</f>
        <v>68266.5</v>
      </c>
      <c r="I33" s="1234">
        <f>J33+L33</f>
        <v>79594.3</v>
      </c>
      <c r="J33" s="1235">
        <f>J32+J30+J28+J26+J24+J22+J20+J18</f>
        <v>79594.3</v>
      </c>
      <c r="K33" s="1236">
        <f>K32+K30+K28+K26+K24+K22+K20+K18</f>
        <v>2071.9</v>
      </c>
      <c r="L33" s="1801"/>
      <c r="M33" s="1555">
        <f>M32+M30+M28+M26+M24+M22+M20+M18</f>
        <v>79631.700000000012</v>
      </c>
      <c r="N33" s="1235">
        <f>N32+N30+N28+N26+N24+N22+N20+N18</f>
        <v>79631.700000000012</v>
      </c>
      <c r="O33" s="3438"/>
      <c r="P33" s="3439"/>
      <c r="Q33" s="3439"/>
      <c r="R33" s="3440"/>
      <c r="U33" s="1820"/>
      <c r="W33" s="240"/>
    </row>
    <row r="34" spans="1:23" s="1187" customFormat="1" ht="12.75" thickBot="1" x14ac:dyDescent="0.3">
      <c r="A34" s="1343" t="s">
        <v>13</v>
      </c>
      <c r="B34" s="1191" t="s">
        <v>19</v>
      </c>
      <c r="C34" s="3525" t="s">
        <v>31</v>
      </c>
      <c r="D34" s="3525"/>
      <c r="E34" s="3525"/>
      <c r="F34" s="3525"/>
      <c r="G34" s="3525"/>
      <c r="H34" s="3525"/>
      <c r="I34" s="3525"/>
      <c r="J34" s="3525"/>
      <c r="K34" s="3525"/>
      <c r="L34" s="3525"/>
      <c r="M34" s="3525"/>
      <c r="N34" s="3525"/>
      <c r="O34" s="3525"/>
      <c r="P34" s="3525"/>
      <c r="Q34" s="3525"/>
      <c r="R34" s="3526"/>
      <c r="T34" s="240"/>
      <c r="U34" s="240"/>
    </row>
    <row r="35" spans="1:23" s="240" customFormat="1" x14ac:dyDescent="0.25">
      <c r="A35" s="2043" t="s">
        <v>13</v>
      </c>
      <c r="B35" s="2044" t="s">
        <v>19</v>
      </c>
      <c r="C35" s="1846" t="s">
        <v>13</v>
      </c>
      <c r="D35" s="3663" t="s">
        <v>56</v>
      </c>
      <c r="E35" s="1849"/>
      <c r="F35" s="1810">
        <v>3</v>
      </c>
      <c r="G35" s="1152" t="s">
        <v>27</v>
      </c>
      <c r="H35" s="1920">
        <v>9196.5</v>
      </c>
      <c r="I35" s="1920">
        <f>J35+L35</f>
        <v>9377</v>
      </c>
      <c r="J35" s="1910">
        <v>9370.5</v>
      </c>
      <c r="K35" s="1104">
        <v>6122</v>
      </c>
      <c r="L35" s="149">
        <f>2+4.5</f>
        <v>6.5</v>
      </c>
      <c r="M35" s="1574">
        <v>9825.1</v>
      </c>
      <c r="N35" s="98">
        <v>9872.7999999999993</v>
      </c>
      <c r="O35" s="3665" t="s">
        <v>178</v>
      </c>
      <c r="P35" s="215">
        <v>418</v>
      </c>
      <c r="Q35" s="2001">
        <v>418</v>
      </c>
      <c r="R35" s="2003">
        <v>418</v>
      </c>
      <c r="S35" s="1822"/>
      <c r="T35" s="3666"/>
      <c r="U35" s="1909"/>
    </row>
    <row r="36" spans="1:23" s="240" customFormat="1" x14ac:dyDescent="0.25">
      <c r="A36" s="2038"/>
      <c r="B36" s="2039"/>
      <c r="C36" s="1254"/>
      <c r="D36" s="3664"/>
      <c r="E36" s="1263"/>
      <c r="F36" s="2074"/>
      <c r="G36" s="59" t="s">
        <v>32</v>
      </c>
      <c r="H36" s="1922">
        <v>1689.5</v>
      </c>
      <c r="I36" s="1921">
        <f>J36+L36</f>
        <v>1689.5</v>
      </c>
      <c r="J36" s="1703">
        <v>1627.5</v>
      </c>
      <c r="K36" s="153">
        <v>366.9</v>
      </c>
      <c r="L36" s="154">
        <v>62</v>
      </c>
      <c r="M36" s="1574">
        <v>1820.2</v>
      </c>
      <c r="N36" s="72">
        <v>1830.2</v>
      </c>
      <c r="O36" s="3641"/>
      <c r="P36" s="771"/>
      <c r="Q36" s="2002"/>
      <c r="R36" s="2004"/>
      <c r="S36" s="1822"/>
      <c r="T36" s="3666"/>
    </row>
    <row r="37" spans="1:23" s="240" customFormat="1" x14ac:dyDescent="0.25">
      <c r="A37" s="2038"/>
      <c r="B37" s="2039"/>
      <c r="C37" s="1254"/>
      <c r="D37" s="1823"/>
      <c r="E37" s="1263"/>
      <c r="F37" s="2074"/>
      <c r="G37" s="1796" t="s">
        <v>17</v>
      </c>
      <c r="H37" s="1923">
        <v>1668</v>
      </c>
      <c r="I37" s="1921">
        <f>J37</f>
        <v>1668</v>
      </c>
      <c r="J37" s="1090">
        <v>1668</v>
      </c>
      <c r="K37" s="326">
        <v>1033.9000000000001</v>
      </c>
      <c r="L37" s="524"/>
      <c r="M37" s="1160">
        <v>1674.9</v>
      </c>
      <c r="N37" s="1161">
        <v>1674.9</v>
      </c>
      <c r="O37" s="3641"/>
      <c r="P37" s="1208"/>
      <c r="Q37" s="241"/>
      <c r="R37" s="1845"/>
      <c r="S37" s="1822"/>
      <c r="T37" s="3666"/>
    </row>
    <row r="38" spans="1:23" s="240" customFormat="1" x14ac:dyDescent="0.25">
      <c r="A38" s="2038"/>
      <c r="B38" s="2039"/>
      <c r="C38" s="1254"/>
      <c r="D38" s="1823"/>
      <c r="E38" s="1263"/>
      <c r="F38" s="2074"/>
      <c r="G38" s="1842" t="s">
        <v>21</v>
      </c>
      <c r="H38" s="1994">
        <v>681</v>
      </c>
      <c r="I38" s="1922">
        <f>J38+L38</f>
        <v>681</v>
      </c>
      <c r="J38" s="158">
        <v>646</v>
      </c>
      <c r="K38" s="261"/>
      <c r="L38" s="522">
        <v>35</v>
      </c>
      <c r="M38" s="1134">
        <v>691</v>
      </c>
      <c r="N38" s="276">
        <v>691</v>
      </c>
      <c r="O38" s="1841" t="s">
        <v>179</v>
      </c>
      <c r="P38" s="640">
        <v>718</v>
      </c>
      <c r="Q38" s="2042">
        <v>718</v>
      </c>
      <c r="R38" s="2072">
        <v>718</v>
      </c>
      <c r="S38" s="1822"/>
      <c r="T38" s="3666"/>
    </row>
    <row r="39" spans="1:23" s="240" customFormat="1" x14ac:dyDescent="0.25">
      <c r="A39" s="2038"/>
      <c r="B39" s="2039"/>
      <c r="C39" s="1254"/>
      <c r="D39" s="1823"/>
      <c r="E39" s="1263"/>
      <c r="F39" s="2074"/>
      <c r="G39" s="1796" t="s">
        <v>42</v>
      </c>
      <c r="H39" s="1923">
        <v>88.1</v>
      </c>
      <c r="I39" s="1923">
        <f>J39+L39</f>
        <v>88.1</v>
      </c>
      <c r="J39" s="2007">
        <v>88.1</v>
      </c>
      <c r="K39" s="167"/>
      <c r="L39" s="168"/>
      <c r="M39" s="1131">
        <v>4</v>
      </c>
      <c r="N39" s="1844">
        <v>4</v>
      </c>
      <c r="O39" s="1824"/>
      <c r="P39" s="771"/>
      <c r="Q39" s="2002"/>
      <c r="R39" s="1825"/>
      <c r="S39" s="1822"/>
      <c r="T39" s="3666"/>
    </row>
    <row r="40" spans="1:23" s="240" customFormat="1" x14ac:dyDescent="0.25">
      <c r="A40" s="2038"/>
      <c r="B40" s="2039"/>
      <c r="C40" s="1254"/>
      <c r="D40" s="1240" t="s">
        <v>177</v>
      </c>
      <c r="E40" s="1263"/>
      <c r="F40" s="2074"/>
      <c r="H40" s="1922"/>
      <c r="I40" s="1968"/>
      <c r="J40" s="1969"/>
      <c r="K40" s="1821"/>
      <c r="L40" s="1970"/>
      <c r="M40" s="1821"/>
      <c r="N40" s="1967"/>
      <c r="O40" s="273"/>
      <c r="P40" s="861"/>
      <c r="Q40" s="862"/>
      <c r="R40" s="863"/>
      <c r="S40" s="1821"/>
      <c r="T40" s="3666"/>
      <c r="U40" s="1821"/>
      <c r="V40" s="1821"/>
    </row>
    <row r="41" spans="1:23" s="240" customFormat="1" ht="24" x14ac:dyDescent="0.25">
      <c r="A41" s="2038"/>
      <c r="B41" s="2039"/>
      <c r="C41" s="1254"/>
      <c r="D41" s="1240" t="s">
        <v>142</v>
      </c>
      <c r="E41" s="1263"/>
      <c r="F41" s="2074"/>
      <c r="G41" s="59"/>
      <c r="H41" s="1922"/>
      <c r="I41" s="1922"/>
      <c r="J41" s="1630"/>
      <c r="K41" s="1629"/>
      <c r="L41" s="1827"/>
      <c r="M41" s="1134"/>
      <c r="N41" s="276"/>
      <c r="O41" s="1850"/>
      <c r="P41" s="1828"/>
      <c r="Q41" s="1829"/>
      <c r="R41" s="1830"/>
      <c r="T41" s="3666"/>
    </row>
    <row r="42" spans="1:23" s="240" customFormat="1" x14ac:dyDescent="0.25">
      <c r="A42" s="2038"/>
      <c r="B42" s="2039"/>
      <c r="C42" s="1254"/>
      <c r="D42" s="3509" t="s">
        <v>180</v>
      </c>
      <c r="E42" s="1263"/>
      <c r="F42" s="2074"/>
      <c r="G42" s="280"/>
      <c r="H42" s="1927"/>
      <c r="I42" s="1922"/>
      <c r="J42" s="978"/>
      <c r="K42" s="328"/>
      <c r="L42" s="159"/>
      <c r="M42" s="1135"/>
      <c r="N42" s="276"/>
      <c r="O42" s="1851"/>
      <c r="P42" s="1831"/>
      <c r="Q42" s="504"/>
      <c r="R42" s="281"/>
    </row>
    <row r="43" spans="1:23" s="240" customFormat="1" x14ac:dyDescent="0.25">
      <c r="A43" s="2038"/>
      <c r="B43" s="2039"/>
      <c r="C43" s="1254"/>
      <c r="D43" s="3509"/>
      <c r="E43" s="1263"/>
      <c r="F43" s="2074"/>
      <c r="G43" s="280"/>
      <c r="H43" s="1927"/>
      <c r="I43" s="1922"/>
      <c r="J43" s="158"/>
      <c r="K43" s="261"/>
      <c r="L43" s="159"/>
      <c r="M43" s="1134"/>
      <c r="N43" s="276"/>
      <c r="O43" s="1851"/>
      <c r="P43" s="1831"/>
      <c r="Q43" s="504"/>
      <c r="R43" s="281"/>
    </row>
    <row r="44" spans="1:23" s="240" customFormat="1" ht="24" x14ac:dyDescent="0.25">
      <c r="A44" s="2038"/>
      <c r="B44" s="2039"/>
      <c r="C44" s="1254"/>
      <c r="D44" s="1240" t="s">
        <v>181</v>
      </c>
      <c r="E44" s="1263"/>
      <c r="F44" s="2074"/>
      <c r="G44" s="59"/>
      <c r="H44" s="1922"/>
      <c r="I44" s="1922"/>
      <c r="J44" s="158"/>
      <c r="K44" s="261"/>
      <c r="L44" s="159"/>
      <c r="M44" s="492"/>
      <c r="N44" s="66"/>
      <c r="O44" s="273"/>
      <c r="P44" s="1832"/>
      <c r="Q44" s="1833"/>
      <c r="R44" s="1834"/>
    </row>
    <row r="45" spans="1:23" s="240" customFormat="1" ht="24" x14ac:dyDescent="0.25">
      <c r="A45" s="2038"/>
      <c r="B45" s="2039"/>
      <c r="C45" s="1254"/>
      <c r="D45" s="1240" t="s">
        <v>306</v>
      </c>
      <c r="E45" s="2076"/>
      <c r="F45" s="2074"/>
      <c r="G45" s="59"/>
      <c r="H45" s="1922"/>
      <c r="I45" s="1922"/>
      <c r="J45" s="158"/>
      <c r="K45" s="158"/>
      <c r="L45" s="331"/>
      <c r="M45" s="1777"/>
      <c r="N45" s="262"/>
      <c r="O45" s="273"/>
      <c r="P45" s="59"/>
      <c r="Q45" s="633"/>
      <c r="R45" s="863"/>
    </row>
    <row r="46" spans="1:23" s="240" customFormat="1" ht="36" x14ac:dyDescent="0.25">
      <c r="A46" s="2038"/>
      <c r="B46" s="2039"/>
      <c r="C46" s="1254"/>
      <c r="D46" s="1240" t="s">
        <v>307</v>
      </c>
      <c r="E46" s="2076"/>
      <c r="F46" s="2074"/>
      <c r="G46" s="59"/>
      <c r="H46" s="1922"/>
      <c r="I46" s="1922"/>
      <c r="J46" s="158"/>
      <c r="K46" s="158"/>
      <c r="L46" s="331"/>
      <c r="M46" s="1777"/>
      <c r="N46" s="262"/>
      <c r="O46" s="273"/>
      <c r="P46" s="59"/>
      <c r="Q46" s="633"/>
      <c r="R46" s="863"/>
    </row>
    <row r="47" spans="1:23" s="240" customFormat="1" x14ac:dyDescent="0.25">
      <c r="A47" s="2038"/>
      <c r="B47" s="2039"/>
      <c r="C47" s="1254"/>
      <c r="D47" s="1240" t="s">
        <v>183</v>
      </c>
      <c r="E47" s="2076"/>
      <c r="F47" s="2074"/>
      <c r="G47" s="59"/>
      <c r="H47" s="1922"/>
      <c r="I47" s="1922"/>
      <c r="J47" s="1180"/>
      <c r="K47" s="261"/>
      <c r="L47" s="159"/>
      <c r="M47" s="1135"/>
      <c r="N47" s="276"/>
      <c r="O47" s="273"/>
      <c r="P47" s="1828"/>
      <c r="Q47" s="504"/>
      <c r="R47" s="281"/>
    </row>
    <row r="48" spans="1:23" s="240" customFormat="1" x14ac:dyDescent="0.25">
      <c r="A48" s="2038"/>
      <c r="B48" s="2039"/>
      <c r="C48" s="1254"/>
      <c r="D48" s="3509" t="s">
        <v>184</v>
      </c>
      <c r="E48" s="2076"/>
      <c r="F48" s="2074"/>
      <c r="G48" s="59"/>
      <c r="H48" s="1922"/>
      <c r="I48" s="1922"/>
      <c r="J48" s="158"/>
      <c r="K48" s="261"/>
      <c r="L48" s="159"/>
      <c r="M48" s="1777"/>
      <c r="N48" s="262"/>
      <c r="O48" s="1852"/>
      <c r="P48" s="1826"/>
      <c r="Q48" s="510"/>
      <c r="R48" s="2046"/>
    </row>
    <row r="49" spans="1:22" s="240" customFormat="1" x14ac:dyDescent="0.25">
      <c r="A49" s="2038"/>
      <c r="B49" s="2039"/>
      <c r="C49" s="1254"/>
      <c r="D49" s="3509"/>
      <c r="E49" s="2076"/>
      <c r="F49" s="2074"/>
      <c r="G49" s="59"/>
      <c r="H49" s="1922"/>
      <c r="I49" s="1922"/>
      <c r="J49" s="158"/>
      <c r="K49" s="261"/>
      <c r="L49" s="159"/>
      <c r="M49" s="1777"/>
      <c r="N49" s="262"/>
      <c r="O49" s="1853"/>
      <c r="P49" s="861"/>
      <c r="Q49" s="862"/>
      <c r="R49" s="863"/>
    </row>
    <row r="50" spans="1:22" s="240" customFormat="1" x14ac:dyDescent="0.25">
      <c r="A50" s="2038"/>
      <c r="B50" s="2039"/>
      <c r="C50" s="2071"/>
      <c r="D50" s="3509" t="s">
        <v>304</v>
      </c>
      <c r="E50" s="1257"/>
      <c r="F50" s="1811"/>
      <c r="G50" s="59"/>
      <c r="H50" s="1922"/>
      <c r="I50" s="1922"/>
      <c r="J50" s="1630"/>
      <c r="K50" s="1629"/>
      <c r="L50" s="1827"/>
      <c r="M50" s="1628"/>
      <c r="N50" s="635"/>
      <c r="O50" s="1852"/>
      <c r="P50" s="861"/>
      <c r="Q50" s="862"/>
      <c r="R50" s="863"/>
    </row>
    <row r="51" spans="1:22" s="240" customFormat="1" x14ac:dyDescent="0.25">
      <c r="A51" s="2038"/>
      <c r="B51" s="2039"/>
      <c r="C51" s="2071"/>
      <c r="D51" s="3509"/>
      <c r="E51" s="1257"/>
      <c r="F51" s="1811"/>
      <c r="G51" s="59"/>
      <c r="H51" s="1922"/>
      <c r="I51" s="1922"/>
      <c r="J51" s="158"/>
      <c r="K51" s="261"/>
      <c r="L51" s="159"/>
      <c r="M51" s="492"/>
      <c r="N51" s="66"/>
      <c r="O51" s="1853"/>
      <c r="P51" s="861"/>
      <c r="Q51" s="862"/>
      <c r="R51" s="863"/>
    </row>
    <row r="52" spans="1:22" s="1265" customFormat="1" x14ac:dyDescent="0.25">
      <c r="A52" s="2038"/>
      <c r="B52" s="2039"/>
      <c r="C52" s="1847"/>
      <c r="D52" s="3509" t="s">
        <v>186</v>
      </c>
      <c r="E52" s="1263"/>
      <c r="F52" s="2074"/>
      <c r="G52" s="59"/>
      <c r="H52" s="1922"/>
      <c r="I52" s="1922"/>
      <c r="J52" s="158"/>
      <c r="K52" s="261"/>
      <c r="L52" s="159"/>
      <c r="M52" s="492"/>
      <c r="N52" s="66"/>
      <c r="O52" s="1852"/>
      <c r="P52" s="1835"/>
      <c r="Q52" s="862"/>
      <c r="R52" s="863"/>
    </row>
    <row r="53" spans="1:22" s="1265" customFormat="1" x14ac:dyDescent="0.25">
      <c r="A53" s="2038"/>
      <c r="B53" s="2039"/>
      <c r="C53" s="1847"/>
      <c r="D53" s="3509"/>
      <c r="E53" s="1263"/>
      <c r="F53" s="2074"/>
      <c r="G53" s="59"/>
      <c r="H53" s="1922"/>
      <c r="I53" s="1922"/>
      <c r="J53" s="158"/>
      <c r="K53" s="261"/>
      <c r="L53" s="159"/>
      <c r="M53" s="492"/>
      <c r="N53" s="66"/>
      <c r="O53" s="273"/>
      <c r="P53" s="861"/>
      <c r="Q53" s="862"/>
      <c r="R53" s="863"/>
    </row>
    <row r="54" spans="1:22" s="240" customFormat="1" ht="36" x14ac:dyDescent="0.25">
      <c r="A54" s="2263"/>
      <c r="B54" s="2265"/>
      <c r="C54" s="1254"/>
      <c r="D54" s="2262" t="s">
        <v>188</v>
      </c>
      <c r="E54" s="2267"/>
      <c r="F54" s="2266"/>
      <c r="G54" s="59"/>
      <c r="H54" s="1922"/>
      <c r="I54" s="1922"/>
      <c r="J54" s="158"/>
      <c r="K54" s="261"/>
      <c r="L54" s="159"/>
      <c r="M54" s="492"/>
      <c r="N54" s="66"/>
      <c r="O54" s="2261"/>
      <c r="P54" s="2258"/>
      <c r="Q54" s="2259"/>
      <c r="R54" s="2260"/>
    </row>
    <row r="55" spans="1:22" s="240" customFormat="1" x14ac:dyDescent="0.25">
      <c r="A55" s="2038"/>
      <c r="B55" s="2039"/>
      <c r="C55" s="1254"/>
      <c r="D55" s="3307" t="s">
        <v>305</v>
      </c>
      <c r="E55" s="2076"/>
      <c r="F55" s="2074"/>
      <c r="G55" s="59"/>
      <c r="H55" s="1922"/>
      <c r="I55" s="1922"/>
      <c r="J55" s="158"/>
      <c r="K55" s="261"/>
      <c r="L55" s="159"/>
      <c r="M55" s="492"/>
      <c r="N55" s="66"/>
      <c r="O55" s="2978"/>
      <c r="P55" s="2972"/>
      <c r="Q55" s="2974"/>
      <c r="R55" s="2976"/>
    </row>
    <row r="56" spans="1:22" s="240" customFormat="1" x14ac:dyDescent="0.25">
      <c r="A56" s="2038"/>
      <c r="B56" s="1199"/>
      <c r="C56" s="1254"/>
      <c r="D56" s="3307"/>
      <c r="E56" s="2076"/>
      <c r="F56" s="2074"/>
      <c r="G56" s="59"/>
      <c r="H56" s="1922"/>
      <c r="I56" s="1922"/>
      <c r="J56" s="158"/>
      <c r="K56" s="158"/>
      <c r="L56" s="331"/>
      <c r="M56" s="492"/>
      <c r="N56" s="66"/>
      <c r="O56" s="2978"/>
      <c r="P56" s="2972"/>
      <c r="Q56" s="2974"/>
      <c r="R56" s="2976"/>
    </row>
    <row r="57" spans="1:22" s="240" customFormat="1" ht="12" customHeight="1" x14ac:dyDescent="0.25">
      <c r="A57" s="2038"/>
      <c r="B57" s="2039"/>
      <c r="C57" s="1254"/>
      <c r="D57" s="3509" t="s">
        <v>72</v>
      </c>
      <c r="E57" s="2076"/>
      <c r="F57" s="2074"/>
      <c r="G57" s="59"/>
      <c r="H57" s="1922"/>
      <c r="I57" s="1922"/>
      <c r="J57" s="978"/>
      <c r="K57" s="328"/>
      <c r="L57" s="159"/>
      <c r="M57" s="492"/>
      <c r="N57" s="66"/>
      <c r="O57" s="1854"/>
      <c r="P57" s="1836"/>
      <c r="Q57" s="1185"/>
      <c r="R57" s="1186"/>
    </row>
    <row r="58" spans="1:22" s="240" customFormat="1" x14ac:dyDescent="0.25">
      <c r="A58" s="2251"/>
      <c r="B58" s="1199"/>
      <c r="C58" s="1254"/>
      <c r="D58" s="3509"/>
      <c r="E58" s="2253"/>
      <c r="F58" s="2255"/>
      <c r="G58" s="59"/>
      <c r="H58" s="1922"/>
      <c r="I58" s="1922"/>
      <c r="J58" s="978"/>
      <c r="K58" s="1030"/>
      <c r="L58" s="159"/>
      <c r="M58" s="492"/>
      <c r="N58" s="66"/>
      <c r="O58" s="1854"/>
      <c r="P58" s="1836"/>
      <c r="Q58" s="1185"/>
      <c r="R58" s="1186"/>
    </row>
    <row r="59" spans="1:22" s="240" customFormat="1" x14ac:dyDescent="0.25">
      <c r="A59" s="2251"/>
      <c r="B59" s="1199"/>
      <c r="C59" s="1254"/>
      <c r="D59" s="3509"/>
      <c r="E59" s="2253"/>
      <c r="F59" s="2255"/>
      <c r="G59" s="59"/>
      <c r="H59" s="1922"/>
      <c r="I59" s="1922"/>
      <c r="J59" s="978"/>
      <c r="K59" s="1030"/>
      <c r="L59" s="159"/>
      <c r="M59" s="492"/>
      <c r="N59" s="66"/>
      <c r="O59" s="1854"/>
      <c r="P59" s="1836"/>
      <c r="Q59" s="1185"/>
      <c r="R59" s="1186"/>
    </row>
    <row r="60" spans="1:22" s="240" customFormat="1" ht="15.75" customHeight="1" x14ac:dyDescent="0.25">
      <c r="A60" s="2251"/>
      <c r="B60" s="1199"/>
      <c r="C60" s="1254"/>
      <c r="D60" s="1240" t="s">
        <v>299</v>
      </c>
      <c r="E60" s="2253"/>
      <c r="F60" s="2255"/>
      <c r="G60" s="59"/>
      <c r="H60" s="1922"/>
      <c r="I60" s="1922"/>
      <c r="J60" s="978"/>
      <c r="K60" s="1030"/>
      <c r="L60" s="159"/>
      <c r="M60" s="492"/>
      <c r="N60" s="66"/>
      <c r="O60" s="3504" t="s">
        <v>300</v>
      </c>
      <c r="P60" s="2247" t="s">
        <v>298</v>
      </c>
      <c r="Q60" s="2248">
        <v>8</v>
      </c>
      <c r="R60" s="2249">
        <v>8</v>
      </c>
    </row>
    <row r="61" spans="1:22" s="240" customFormat="1" ht="12.75" thickBot="1" x14ac:dyDescent="0.3">
      <c r="A61" s="2038"/>
      <c r="B61" s="1199"/>
      <c r="C61" s="1254"/>
      <c r="D61" s="1253"/>
      <c r="E61" s="2076"/>
      <c r="F61" s="2074"/>
      <c r="G61" s="1843" t="s">
        <v>18</v>
      </c>
      <c r="H61" s="740">
        <f t="shared" ref="H61:N61" si="3">SUM(H35:H57)</f>
        <v>13323.1</v>
      </c>
      <c r="I61" s="740">
        <f t="shared" si="3"/>
        <v>13503.6</v>
      </c>
      <c r="J61" s="733">
        <f t="shared" si="3"/>
        <v>13400.1</v>
      </c>
      <c r="K61" s="738">
        <f t="shared" si="3"/>
        <v>7522.7999999999993</v>
      </c>
      <c r="L61" s="1840">
        <f t="shared" si="3"/>
        <v>103.5</v>
      </c>
      <c r="M61" s="1644">
        <f t="shared" si="3"/>
        <v>14015.2</v>
      </c>
      <c r="N61" s="740">
        <f t="shared" si="3"/>
        <v>14072.9</v>
      </c>
      <c r="O61" s="3505"/>
      <c r="P61" s="1837"/>
      <c r="Q61" s="1838"/>
      <c r="R61" s="1839"/>
    </row>
    <row r="62" spans="1:22" s="1187" customFormat="1" ht="29.25" customHeight="1" x14ac:dyDescent="0.25">
      <c r="A62" s="3490" t="s">
        <v>13</v>
      </c>
      <c r="B62" s="3492" t="s">
        <v>19</v>
      </c>
      <c r="C62" s="3494" t="s">
        <v>19</v>
      </c>
      <c r="D62" s="2920" t="s">
        <v>54</v>
      </c>
      <c r="E62" s="3496"/>
      <c r="F62" s="3661" t="s">
        <v>26</v>
      </c>
      <c r="G62" s="1275" t="s">
        <v>27</v>
      </c>
      <c r="H62" s="1971">
        <v>960</v>
      </c>
      <c r="I62" s="1925">
        <v>960</v>
      </c>
      <c r="J62" s="1911">
        <v>960</v>
      </c>
      <c r="K62" s="1196"/>
      <c r="L62" s="1277"/>
      <c r="M62" s="768">
        <v>960</v>
      </c>
      <c r="N62" s="768">
        <v>960</v>
      </c>
      <c r="O62" s="3288" t="s">
        <v>137</v>
      </c>
      <c r="P62" s="218">
        <v>70</v>
      </c>
      <c r="Q62" s="219">
        <v>70</v>
      </c>
      <c r="R62" s="220">
        <v>70</v>
      </c>
    </row>
    <row r="63" spans="1:22" s="240" customFormat="1" ht="12.75" thickBot="1" x14ac:dyDescent="0.3">
      <c r="A63" s="3491"/>
      <c r="B63" s="3493"/>
      <c r="C63" s="3495"/>
      <c r="D63" s="2823"/>
      <c r="E63" s="3497"/>
      <c r="F63" s="3662"/>
      <c r="G63" s="1214" t="s">
        <v>18</v>
      </c>
      <c r="H63" s="382">
        <f>H62</f>
        <v>960</v>
      </c>
      <c r="I63" s="382">
        <f>J63+L63</f>
        <v>960</v>
      </c>
      <c r="J63" s="363">
        <f>SUM(J62)</f>
        <v>960</v>
      </c>
      <c r="K63" s="361"/>
      <c r="L63" s="368"/>
      <c r="M63" s="363">
        <f>SUM(M62)</f>
        <v>960</v>
      </c>
      <c r="N63" s="382">
        <f>SUM(N62)</f>
        <v>960</v>
      </c>
      <c r="O63" s="2942"/>
      <c r="P63" s="700"/>
      <c r="Q63" s="701"/>
      <c r="R63" s="702"/>
    </row>
    <row r="64" spans="1:22" s="1187" customFormat="1" ht="27.75" customHeight="1" x14ac:dyDescent="0.25">
      <c r="A64" s="2051" t="s">
        <v>13</v>
      </c>
      <c r="B64" s="2053" t="s">
        <v>19</v>
      </c>
      <c r="C64" s="2056" t="s">
        <v>22</v>
      </c>
      <c r="D64" s="3648" t="s">
        <v>55</v>
      </c>
      <c r="E64" s="1802"/>
      <c r="F64" s="2067" t="s">
        <v>26</v>
      </c>
      <c r="G64" s="1275" t="s">
        <v>27</v>
      </c>
      <c r="H64" s="1971">
        <v>1217.9000000000001</v>
      </c>
      <c r="I64" s="1926">
        <f>J64+L64</f>
        <v>1217.9000000000001</v>
      </c>
      <c r="J64" s="1912">
        <v>1217.9000000000001</v>
      </c>
      <c r="K64" s="1285"/>
      <c r="L64" s="693"/>
      <c r="M64" s="1284">
        <v>1099</v>
      </c>
      <c r="N64" s="692">
        <v>1099</v>
      </c>
      <c r="O64" s="2045" t="s">
        <v>193</v>
      </c>
      <c r="P64" s="1561">
        <v>89</v>
      </c>
      <c r="Q64" s="219">
        <v>71</v>
      </c>
      <c r="R64" s="221">
        <v>71</v>
      </c>
      <c r="V64" s="240"/>
    </row>
    <row r="65" spans="1:26" s="1187" customFormat="1" ht="33.75" customHeight="1" x14ac:dyDescent="0.25">
      <c r="A65" s="2052"/>
      <c r="B65" s="2054"/>
      <c r="C65" s="2057"/>
      <c r="D65" s="3649"/>
      <c r="E65" s="1803"/>
      <c r="F65" s="2068"/>
      <c r="G65" s="1855"/>
      <c r="H65" s="1972"/>
      <c r="I65" s="1927"/>
      <c r="J65" s="1913"/>
      <c r="K65" s="1634"/>
      <c r="L65" s="62"/>
      <c r="M65" s="492"/>
      <c r="N65" s="66"/>
      <c r="O65" s="3644" t="s">
        <v>194</v>
      </c>
      <c r="P65" s="1857">
        <v>208</v>
      </c>
      <c r="Q65" s="652">
        <v>208</v>
      </c>
      <c r="R65" s="1856">
        <v>208</v>
      </c>
      <c r="V65" s="240"/>
    </row>
    <row r="66" spans="1:26" s="1187" customFormat="1" ht="37.5" customHeight="1" x14ac:dyDescent="0.25">
      <c r="A66" s="2052"/>
      <c r="B66" s="2054"/>
      <c r="C66" s="2057"/>
      <c r="D66" s="503" t="s">
        <v>311</v>
      </c>
      <c r="E66" s="1803"/>
      <c r="F66" s="2068"/>
      <c r="G66" s="1855"/>
      <c r="H66" s="1972"/>
      <c r="I66" s="1928"/>
      <c r="J66" s="1914"/>
      <c r="K66" s="1634"/>
      <c r="L66" s="62"/>
      <c r="M66" s="1135"/>
      <c r="N66" s="276"/>
      <c r="O66" s="2933"/>
      <c r="P66" s="1858"/>
      <c r="Q66" s="226"/>
      <c r="R66" s="1859"/>
      <c r="Z66" s="240"/>
    </row>
    <row r="67" spans="1:26" s="1187" customFormat="1" ht="36" x14ac:dyDescent="0.25">
      <c r="A67" s="2052"/>
      <c r="B67" s="2054"/>
      <c r="C67" s="2057"/>
      <c r="D67" s="503" t="s">
        <v>310</v>
      </c>
      <c r="E67" s="1803"/>
      <c r="F67" s="2068"/>
      <c r="G67" s="1855"/>
      <c r="H67" s="1972"/>
      <c r="I67" s="1928"/>
      <c r="J67" s="1914"/>
      <c r="K67" s="1634"/>
      <c r="L67" s="62"/>
      <c r="M67" s="492"/>
      <c r="N67" s="66"/>
      <c r="O67" s="503"/>
      <c r="P67" s="1860"/>
      <c r="Q67" s="504"/>
      <c r="R67" s="281"/>
    </row>
    <row r="68" spans="1:26" s="1187" customFormat="1" ht="36" x14ac:dyDescent="0.25">
      <c r="A68" s="2052"/>
      <c r="B68" s="2054"/>
      <c r="C68" s="2057"/>
      <c r="D68" s="503" t="s">
        <v>309</v>
      </c>
      <c r="E68" s="1803"/>
      <c r="F68" s="2068"/>
      <c r="G68" s="1855"/>
      <c r="H68" s="1972"/>
      <c r="I68" s="1928"/>
      <c r="J68" s="1914"/>
      <c r="K68" s="1634"/>
      <c r="L68" s="62"/>
      <c r="M68" s="492"/>
      <c r="N68" s="66"/>
      <c r="O68" s="503"/>
      <c r="P68" s="506"/>
      <c r="Q68" s="504"/>
      <c r="R68" s="281"/>
    </row>
    <row r="69" spans="1:26" s="1187" customFormat="1" ht="49.5" customHeight="1" x14ac:dyDescent="0.25">
      <c r="A69" s="2052"/>
      <c r="B69" s="2054"/>
      <c r="C69" s="2057"/>
      <c r="D69" s="1225" t="s">
        <v>308</v>
      </c>
      <c r="E69" s="1803"/>
      <c r="F69" s="2068"/>
      <c r="G69" s="1855"/>
      <c r="H69" s="1972"/>
      <c r="I69" s="1928"/>
      <c r="J69" s="1914"/>
      <c r="K69" s="1634"/>
      <c r="L69" s="62"/>
      <c r="M69" s="492"/>
      <c r="N69" s="66"/>
      <c r="O69" s="503"/>
      <c r="P69" s="1200"/>
      <c r="Q69" s="504"/>
      <c r="R69" s="654"/>
      <c r="U69" s="240"/>
    </row>
    <row r="70" spans="1:26" s="1187" customFormat="1" ht="31.5" customHeight="1" x14ac:dyDescent="0.25">
      <c r="A70" s="2052"/>
      <c r="B70" s="2054"/>
      <c r="C70" s="2057"/>
      <c r="D70" s="3296" t="s">
        <v>289</v>
      </c>
      <c r="E70" s="1803"/>
      <c r="F70" s="2068"/>
      <c r="G70" s="1653"/>
      <c r="H70" s="680"/>
      <c r="I70" s="1928"/>
      <c r="J70" s="1914"/>
      <c r="K70" s="1634"/>
      <c r="L70" s="62"/>
      <c r="M70" s="492"/>
      <c r="N70" s="66"/>
      <c r="O70" s="3296"/>
      <c r="P70" s="1200"/>
      <c r="Q70" s="504"/>
      <c r="R70" s="654"/>
    </row>
    <row r="71" spans="1:26" s="1187" customFormat="1" ht="31.5" customHeight="1" x14ac:dyDescent="0.25">
      <c r="A71" s="2052"/>
      <c r="B71" s="2054"/>
      <c r="C71" s="2057"/>
      <c r="D71" s="3296"/>
      <c r="E71" s="1803"/>
      <c r="F71" s="2068"/>
      <c r="G71" s="1653"/>
      <c r="H71" s="680"/>
      <c r="I71" s="1929"/>
      <c r="J71" s="1915"/>
      <c r="K71" s="1861"/>
      <c r="L71" s="62"/>
      <c r="M71" s="1862"/>
      <c r="N71" s="1863"/>
      <c r="O71" s="3296"/>
      <c r="P71" s="1200"/>
      <c r="Q71" s="504"/>
      <c r="R71" s="654"/>
    </row>
    <row r="72" spans="1:26" s="240" customFormat="1" ht="12.75" thickBot="1" x14ac:dyDescent="0.3">
      <c r="A72" s="1306"/>
      <c r="B72" s="2055"/>
      <c r="C72" s="1307"/>
      <c r="D72" s="2823"/>
      <c r="E72" s="1804"/>
      <c r="F72" s="2069"/>
      <c r="G72" s="1214" t="s">
        <v>18</v>
      </c>
      <c r="H72" s="382">
        <f>SUM(H64:H71)</f>
        <v>1217.9000000000001</v>
      </c>
      <c r="I72" s="382">
        <f>SUM(I64:I71)</f>
        <v>1217.9000000000001</v>
      </c>
      <c r="J72" s="361">
        <f>SUM(J64:J71)</f>
        <v>1217.9000000000001</v>
      </c>
      <c r="K72" s="367"/>
      <c r="L72" s="367"/>
      <c r="M72" s="367">
        <f t="shared" ref="M72:N72" si="4">SUM(M64:M71)</f>
        <v>1099</v>
      </c>
      <c r="N72" s="367">
        <f t="shared" si="4"/>
        <v>1099</v>
      </c>
      <c r="O72" s="42"/>
      <c r="P72" s="222"/>
      <c r="Q72" s="223"/>
      <c r="R72" s="224"/>
    </row>
    <row r="73" spans="1:26" s="1187" customFormat="1" ht="15" customHeight="1" x14ac:dyDescent="0.25">
      <c r="A73" s="3650" t="s">
        <v>13</v>
      </c>
      <c r="B73" s="3653" t="s">
        <v>19</v>
      </c>
      <c r="C73" s="3536" t="s">
        <v>24</v>
      </c>
      <c r="D73" s="1962" t="s">
        <v>318</v>
      </c>
      <c r="E73" s="3496"/>
      <c r="F73" s="3658" t="s">
        <v>26</v>
      </c>
      <c r="G73" s="1275" t="s">
        <v>27</v>
      </c>
      <c r="H73" s="1971">
        <v>110</v>
      </c>
      <c r="I73" s="1925">
        <v>110</v>
      </c>
      <c r="J73" s="1911">
        <v>110</v>
      </c>
      <c r="K73" s="1196"/>
      <c r="L73" s="1277"/>
      <c r="M73" s="1198">
        <v>140</v>
      </c>
      <c r="N73" s="1310">
        <v>140</v>
      </c>
      <c r="O73" s="3288" t="s">
        <v>168</v>
      </c>
      <c r="P73" s="2943">
        <v>24</v>
      </c>
      <c r="Q73" s="2945">
        <v>24</v>
      </c>
      <c r="R73" s="2947">
        <v>24</v>
      </c>
    </row>
    <row r="74" spans="1:26" s="1187" customFormat="1" ht="24.75" customHeight="1" x14ac:dyDescent="0.25">
      <c r="A74" s="3651"/>
      <c r="B74" s="3654"/>
      <c r="C74" s="3656"/>
      <c r="D74" s="2037" t="s">
        <v>33</v>
      </c>
      <c r="E74" s="3657"/>
      <c r="F74" s="3659"/>
      <c r="G74" s="1855"/>
      <c r="H74" s="1972"/>
      <c r="I74" s="1922"/>
      <c r="J74" s="1918"/>
      <c r="K74" s="1211"/>
      <c r="L74" s="522"/>
      <c r="M74" s="1213"/>
      <c r="N74" s="1327"/>
      <c r="O74" s="2933"/>
      <c r="P74" s="3645"/>
      <c r="Q74" s="3646"/>
      <c r="R74" s="3647"/>
    </row>
    <row r="75" spans="1:26" s="1187" customFormat="1" ht="48" customHeight="1" x14ac:dyDescent="0.25">
      <c r="A75" s="3651"/>
      <c r="B75" s="3654"/>
      <c r="C75" s="3656"/>
      <c r="D75" s="3289" t="s">
        <v>319</v>
      </c>
      <c r="E75" s="3657"/>
      <c r="F75" s="3659"/>
      <c r="G75" s="1290" t="s">
        <v>27</v>
      </c>
      <c r="H75" s="1973">
        <v>160</v>
      </c>
      <c r="I75" s="1921">
        <v>160</v>
      </c>
      <c r="J75" s="1963">
        <v>160</v>
      </c>
      <c r="K75" s="1204"/>
      <c r="L75" s="1711"/>
      <c r="M75" s="1161"/>
      <c r="N75" s="1206"/>
      <c r="O75" s="2933"/>
      <c r="P75" s="3645"/>
      <c r="Q75" s="3646"/>
      <c r="R75" s="3647"/>
    </row>
    <row r="76" spans="1:26" s="1187" customFormat="1" ht="15.75" customHeight="1" thickBot="1" x14ac:dyDescent="0.3">
      <c r="A76" s="3652"/>
      <c r="B76" s="3655"/>
      <c r="C76" s="3537"/>
      <c r="D76" s="3290"/>
      <c r="E76" s="3497"/>
      <c r="F76" s="3660"/>
      <c r="G76" s="1233" t="s">
        <v>18</v>
      </c>
      <c r="H76" s="1974">
        <f>SUM(H73:H75)</f>
        <v>270</v>
      </c>
      <c r="I76" s="1889">
        <f>SUM(I73:I75)</f>
        <v>270</v>
      </c>
      <c r="J76" s="1247">
        <f>SUM(J73:J75)</f>
        <v>270</v>
      </c>
      <c r="K76" s="1260"/>
      <c r="L76" s="1313"/>
      <c r="M76" s="382">
        <f>SUM(M73)</f>
        <v>140</v>
      </c>
      <c r="N76" s="433">
        <f>SUM(N73)</f>
        <v>140</v>
      </c>
      <c r="O76" s="2942"/>
      <c r="P76" s="2944"/>
      <c r="Q76" s="2946"/>
      <c r="R76" s="2948"/>
    </row>
    <row r="77" spans="1:26" s="1187" customFormat="1" ht="12" customHeight="1" x14ac:dyDescent="0.25">
      <c r="A77" s="3475" t="s">
        <v>13</v>
      </c>
      <c r="B77" s="3476" t="s">
        <v>19</v>
      </c>
      <c r="C77" s="2040" t="s">
        <v>28</v>
      </c>
      <c r="D77" s="3365" t="s">
        <v>34</v>
      </c>
      <c r="E77" s="1315"/>
      <c r="F77" s="1805" t="s">
        <v>35</v>
      </c>
      <c r="G77" s="1317" t="s">
        <v>27</v>
      </c>
      <c r="H77" s="1975">
        <v>100</v>
      </c>
      <c r="I77" s="1930">
        <f>+J77+L77</f>
        <v>100</v>
      </c>
      <c r="J77" s="1916">
        <v>70</v>
      </c>
      <c r="K77" s="1480"/>
      <c r="L77" s="1481">
        <v>30</v>
      </c>
      <c r="M77" s="1318">
        <v>100</v>
      </c>
      <c r="N77" s="1318">
        <v>100</v>
      </c>
      <c r="O77" s="3489" t="s">
        <v>270</v>
      </c>
      <c r="P77" s="3300">
        <v>6</v>
      </c>
      <c r="Q77" s="3302">
        <v>6</v>
      </c>
      <c r="R77" s="3304">
        <v>6</v>
      </c>
    </row>
    <row r="78" spans="1:26" s="1187" customFormat="1" x14ac:dyDescent="0.25">
      <c r="A78" s="3455"/>
      <c r="B78" s="3457"/>
      <c r="C78" s="2041"/>
      <c r="D78" s="3366"/>
      <c r="E78" s="1320"/>
      <c r="F78" s="1806"/>
      <c r="G78" s="1296" t="s">
        <v>21</v>
      </c>
      <c r="H78" s="1972">
        <v>151.19999999999999</v>
      </c>
      <c r="I78" s="1931">
        <f>+J78+L78</f>
        <v>151.19999999999999</v>
      </c>
      <c r="J78" s="1568">
        <v>79.2</v>
      </c>
      <c r="K78" s="1096"/>
      <c r="L78" s="1483">
        <v>72</v>
      </c>
      <c r="M78" s="1323">
        <v>151.19999999999999</v>
      </c>
      <c r="N78" s="1323">
        <v>151.19999999999999</v>
      </c>
      <c r="O78" s="3369"/>
      <c r="P78" s="3301"/>
      <c r="Q78" s="3303"/>
      <c r="R78" s="3305"/>
    </row>
    <row r="79" spans="1:26" s="1187" customFormat="1" ht="12.75" thickBot="1" x14ac:dyDescent="0.3">
      <c r="A79" s="2038"/>
      <c r="B79" s="2039"/>
      <c r="C79" s="2041"/>
      <c r="D79" s="3367"/>
      <c r="E79" s="1320"/>
      <c r="F79" s="1806"/>
      <c r="G79" s="1233" t="s">
        <v>18</v>
      </c>
      <c r="H79" s="1974">
        <f>SUM(H77:H78)</f>
        <v>251.2</v>
      </c>
      <c r="I79" s="1889">
        <f>J79+L79</f>
        <v>251.2</v>
      </c>
      <c r="J79" s="1247">
        <f>SUM(J77:J78)</f>
        <v>149.19999999999999</v>
      </c>
      <c r="K79" s="1260"/>
      <c r="L79" s="1313">
        <f>SUM(L77:L78)</f>
        <v>102</v>
      </c>
      <c r="M79" s="382">
        <f>SUM(M77:M78)</f>
        <v>251.2</v>
      </c>
      <c r="N79" s="382">
        <f>SUM(N77:N78)</f>
        <v>251.2</v>
      </c>
      <c r="O79" s="1781"/>
      <c r="P79" s="228"/>
      <c r="Q79" s="229"/>
      <c r="R79" s="230"/>
    </row>
    <row r="80" spans="1:26" s="1187" customFormat="1" x14ac:dyDescent="0.25">
      <c r="A80" s="3475" t="s">
        <v>13</v>
      </c>
      <c r="B80" s="3476" t="s">
        <v>19</v>
      </c>
      <c r="C80" s="2040" t="s">
        <v>36</v>
      </c>
      <c r="D80" s="2920" t="s">
        <v>37</v>
      </c>
      <c r="E80" s="1315"/>
      <c r="F80" s="2067" t="s">
        <v>26</v>
      </c>
      <c r="G80" s="1325" t="s">
        <v>27</v>
      </c>
      <c r="H80" s="1976">
        <v>72.3</v>
      </c>
      <c r="I80" s="1932">
        <f t="shared" ref="I80:I82" si="5">J80+L80</f>
        <v>74.8</v>
      </c>
      <c r="J80" s="1548">
        <v>74.8</v>
      </c>
      <c r="K80" s="1113"/>
      <c r="L80" s="521"/>
      <c r="M80" s="1213">
        <v>69.2</v>
      </c>
      <c r="N80" s="1327">
        <v>69.2</v>
      </c>
      <c r="O80" s="3288" t="s">
        <v>82</v>
      </c>
      <c r="P80" s="218">
        <v>21</v>
      </c>
      <c r="Q80" s="219">
        <v>21</v>
      </c>
      <c r="R80" s="221">
        <v>21</v>
      </c>
    </row>
    <row r="81" spans="1:21" s="1187" customFormat="1" x14ac:dyDescent="0.2">
      <c r="A81" s="3455"/>
      <c r="B81" s="3457"/>
      <c r="C81" s="2041"/>
      <c r="D81" s="3296"/>
      <c r="E81" s="1328"/>
      <c r="F81" s="1807"/>
      <c r="G81" s="253" t="s">
        <v>21</v>
      </c>
      <c r="H81" s="262">
        <v>722.4</v>
      </c>
      <c r="I81" s="1933">
        <f t="shared" si="5"/>
        <v>722.4</v>
      </c>
      <c r="J81" s="1917">
        <v>722.4</v>
      </c>
      <c r="K81" s="252"/>
      <c r="L81" s="1333"/>
      <c r="M81" s="1161">
        <v>692</v>
      </c>
      <c r="N81" s="1206">
        <v>692</v>
      </c>
      <c r="O81" s="2933"/>
      <c r="P81" s="225"/>
      <c r="Q81" s="226"/>
      <c r="R81" s="227"/>
    </row>
    <row r="82" spans="1:21" s="1187" customFormat="1" x14ac:dyDescent="0.2">
      <c r="A82" s="2038"/>
      <c r="B82" s="2039"/>
      <c r="C82" s="2041"/>
      <c r="D82" s="3296"/>
      <c r="E82" s="1328"/>
      <c r="F82" s="1807"/>
      <c r="G82" s="199" t="s">
        <v>21</v>
      </c>
      <c r="H82" s="1547">
        <v>36.1</v>
      </c>
      <c r="I82" s="1933">
        <f t="shared" si="5"/>
        <v>36.1</v>
      </c>
      <c r="J82" s="1917">
        <v>36.1</v>
      </c>
      <c r="K82" s="252"/>
      <c r="L82" s="1333"/>
      <c r="M82" s="1163">
        <v>38.1</v>
      </c>
      <c r="N82" s="1334">
        <v>38.1</v>
      </c>
      <c r="O82" s="1781"/>
      <c r="P82" s="225"/>
      <c r="Q82" s="226"/>
      <c r="R82" s="227"/>
    </row>
    <row r="83" spans="1:21" s="1187" customFormat="1" ht="12.75" thickBot="1" x14ac:dyDescent="0.25">
      <c r="A83" s="2059"/>
      <c r="B83" s="2060"/>
      <c r="C83" s="1473"/>
      <c r="D83" s="2823"/>
      <c r="E83" s="1336"/>
      <c r="F83" s="1808"/>
      <c r="G83" s="1339" t="s">
        <v>18</v>
      </c>
      <c r="H83" s="1889">
        <f>SUM(H80:H82)</f>
        <v>830.8</v>
      </c>
      <c r="I83" s="382">
        <f>J83+L83</f>
        <v>833.3</v>
      </c>
      <c r="J83" s="363">
        <f>SUM(J80:J82)</f>
        <v>833.3</v>
      </c>
      <c r="K83" s="1260"/>
      <c r="L83" s="1313"/>
      <c r="M83" s="382">
        <f>SUM(M80:M82)</f>
        <v>799.30000000000007</v>
      </c>
      <c r="N83" s="433">
        <f>SUM(N80:N82)</f>
        <v>799.30000000000007</v>
      </c>
      <c r="O83" s="249"/>
      <c r="P83" s="228"/>
      <c r="Q83" s="229"/>
      <c r="R83" s="230"/>
    </row>
    <row r="84" spans="1:21" s="1187" customFormat="1" x14ac:dyDescent="0.25">
      <c r="A84" s="3475" t="s">
        <v>13</v>
      </c>
      <c r="B84" s="3476" t="s">
        <v>19</v>
      </c>
      <c r="C84" s="2040" t="s">
        <v>38</v>
      </c>
      <c r="D84" s="3483" t="s">
        <v>259</v>
      </c>
      <c r="E84" s="1315"/>
      <c r="F84" s="2067" t="s">
        <v>71</v>
      </c>
      <c r="G84" s="1275" t="s">
        <v>21</v>
      </c>
      <c r="H84" s="1971">
        <v>500</v>
      </c>
      <c r="I84" s="1925">
        <v>500</v>
      </c>
      <c r="J84" s="1911">
        <v>200</v>
      </c>
      <c r="K84" s="1196"/>
      <c r="L84" s="1277">
        <v>300</v>
      </c>
      <c r="M84" s="1198">
        <v>500</v>
      </c>
      <c r="N84" s="1310">
        <v>500</v>
      </c>
      <c r="O84" s="3288" t="s">
        <v>82</v>
      </c>
      <c r="P84" s="218"/>
      <c r="Q84" s="219"/>
      <c r="R84" s="221"/>
    </row>
    <row r="85" spans="1:21" s="1187" customFormat="1" x14ac:dyDescent="0.2">
      <c r="A85" s="3455"/>
      <c r="B85" s="3457"/>
      <c r="C85" s="2041"/>
      <c r="D85" s="3484"/>
      <c r="E85" s="1328"/>
      <c r="F85" s="1809">
        <v>3</v>
      </c>
      <c r="G85" s="253"/>
      <c r="H85" s="262"/>
      <c r="I85" s="1922"/>
      <c r="J85" s="1918"/>
      <c r="K85" s="1211"/>
      <c r="L85" s="522"/>
      <c r="M85" s="1213"/>
      <c r="N85" s="1327"/>
      <c r="O85" s="2933"/>
      <c r="P85" s="225"/>
      <c r="Q85" s="226"/>
      <c r="R85" s="227"/>
    </row>
    <row r="86" spans="1:21" s="1187" customFormat="1" ht="12.75" thickBot="1" x14ac:dyDescent="0.25">
      <c r="A86" s="2038"/>
      <c r="B86" s="2039"/>
      <c r="C86" s="1473"/>
      <c r="D86" s="3485"/>
      <c r="E86" s="1328"/>
      <c r="F86" s="1807">
        <v>6</v>
      </c>
      <c r="G86" s="1339" t="s">
        <v>18</v>
      </c>
      <c r="H86" s="1889">
        <f>SUM(H84:H85)</f>
        <v>500</v>
      </c>
      <c r="I86" s="1889">
        <f>J86+L86</f>
        <v>500</v>
      </c>
      <c r="J86" s="1247">
        <f>SUM(J84:J85)</f>
        <v>200</v>
      </c>
      <c r="K86" s="1261"/>
      <c r="L86" s="1313">
        <f>SUM(L84:L85)</f>
        <v>300</v>
      </c>
      <c r="M86" s="382">
        <f>SUM(M84:M85)</f>
        <v>500</v>
      </c>
      <c r="N86" s="433">
        <f>SUM(N84:N85)</f>
        <v>500</v>
      </c>
      <c r="O86" s="1781"/>
      <c r="P86" s="225"/>
      <c r="Q86" s="226"/>
      <c r="R86" s="227"/>
    </row>
    <row r="87" spans="1:21" s="1187" customFormat="1" x14ac:dyDescent="0.25">
      <c r="A87" s="3475" t="s">
        <v>13</v>
      </c>
      <c r="B87" s="3476" t="s">
        <v>19</v>
      </c>
      <c r="C87" s="2040" t="s">
        <v>70</v>
      </c>
      <c r="D87" s="3477" t="s">
        <v>287</v>
      </c>
      <c r="E87" s="3309"/>
      <c r="F87" s="3643" t="s">
        <v>26</v>
      </c>
      <c r="G87" s="199"/>
      <c r="H87" s="200"/>
      <c r="I87" s="1934"/>
      <c r="J87" s="160"/>
      <c r="K87" s="148"/>
      <c r="L87" s="149"/>
      <c r="M87" s="97"/>
      <c r="N87" s="98"/>
      <c r="O87" s="3343" t="s">
        <v>150</v>
      </c>
      <c r="P87" s="243"/>
      <c r="Q87" s="244"/>
      <c r="R87" s="245"/>
    </row>
    <row r="88" spans="1:21" s="1187" customFormat="1" x14ac:dyDescent="0.25">
      <c r="A88" s="3455"/>
      <c r="B88" s="3457"/>
      <c r="C88" s="2041"/>
      <c r="D88" s="3478"/>
      <c r="E88" s="3310"/>
      <c r="F88" s="3446"/>
      <c r="G88" s="253" t="s">
        <v>41</v>
      </c>
      <c r="H88" s="262">
        <v>390.2</v>
      </c>
      <c r="I88" s="489">
        <f>L88+J88</f>
        <v>390.15</v>
      </c>
      <c r="J88" s="308">
        <v>390.15</v>
      </c>
      <c r="K88" s="308">
        <v>295.89999999999998</v>
      </c>
      <c r="L88" s="156"/>
      <c r="M88" s="200"/>
      <c r="N88" s="262"/>
      <c r="O88" s="2919"/>
      <c r="P88" s="1682">
        <v>50</v>
      </c>
      <c r="Q88" s="2009"/>
      <c r="R88" s="2006"/>
    </row>
    <row r="89" spans="1:21" s="1187" customFormat="1" ht="60" x14ac:dyDescent="0.25">
      <c r="A89" s="2038"/>
      <c r="B89" s="2039"/>
      <c r="C89" s="2041"/>
      <c r="D89" s="3478"/>
      <c r="E89" s="3310"/>
      <c r="F89" s="3446"/>
      <c r="G89" s="199" t="s">
        <v>17</v>
      </c>
      <c r="H89" s="1107">
        <v>347.8</v>
      </c>
      <c r="I89" s="489">
        <f>J89</f>
        <v>347.8</v>
      </c>
      <c r="J89" s="153">
        <v>347.8</v>
      </c>
      <c r="K89" s="150">
        <v>249.9</v>
      </c>
      <c r="L89" s="154"/>
      <c r="M89" s="200"/>
      <c r="N89" s="1107"/>
      <c r="O89" s="2036" t="s">
        <v>213</v>
      </c>
      <c r="P89" s="1111">
        <v>25</v>
      </c>
      <c r="Q89" s="1109"/>
      <c r="R89" s="2013"/>
    </row>
    <row r="90" spans="1:21" s="1187" customFormat="1" x14ac:dyDescent="0.25">
      <c r="A90" s="2038"/>
      <c r="B90" s="2039"/>
      <c r="C90" s="2041"/>
      <c r="D90" s="3478"/>
      <c r="E90" s="3310"/>
      <c r="F90" s="3446"/>
      <c r="G90" s="199" t="s">
        <v>17</v>
      </c>
      <c r="H90" s="200">
        <v>327.2</v>
      </c>
      <c r="I90" s="489">
        <f>J90+L90</f>
        <v>327.2</v>
      </c>
      <c r="J90" s="150">
        <v>327.2</v>
      </c>
      <c r="K90" s="150">
        <v>249.8</v>
      </c>
      <c r="L90" s="156"/>
      <c r="M90" s="200"/>
      <c r="N90" s="262"/>
      <c r="O90" s="3344" t="s">
        <v>255</v>
      </c>
      <c r="P90" s="1114">
        <v>25</v>
      </c>
      <c r="Q90" s="1115"/>
      <c r="R90" s="2006"/>
      <c r="S90" s="1208"/>
    </row>
    <row r="91" spans="1:21" s="1187" customFormat="1" ht="12.75" thickBot="1" x14ac:dyDescent="0.3">
      <c r="A91" s="2059"/>
      <c r="B91" s="2060"/>
      <c r="C91" s="1473"/>
      <c r="D91" s="3479"/>
      <c r="E91" s="3311"/>
      <c r="F91" s="3447"/>
      <c r="G91" s="1214" t="s">
        <v>18</v>
      </c>
      <c r="H91" s="404">
        <f>SUM(H87:H90)</f>
        <v>1065.2</v>
      </c>
      <c r="I91" s="404">
        <f>J91+L91</f>
        <v>1065.1500000000001</v>
      </c>
      <c r="J91" s="460">
        <f>SUM(J87:J90)</f>
        <v>1065.1500000000001</v>
      </c>
      <c r="K91" s="460">
        <f>SUM(K87:K90)</f>
        <v>795.59999999999991</v>
      </c>
      <c r="L91" s="405"/>
      <c r="M91" s="361"/>
      <c r="N91" s="382"/>
      <c r="O91" s="2810"/>
      <c r="P91" s="1782"/>
      <c r="Q91" s="1783"/>
      <c r="R91" s="1784"/>
    </row>
    <row r="92" spans="1:21" s="1187" customFormat="1" ht="24" x14ac:dyDescent="0.25">
      <c r="A92" s="2043" t="s">
        <v>13</v>
      </c>
      <c r="B92" s="2044" t="s">
        <v>19</v>
      </c>
      <c r="C92" s="2040" t="s">
        <v>84</v>
      </c>
      <c r="D92" s="3365" t="s">
        <v>281</v>
      </c>
      <c r="E92" s="3309"/>
      <c r="F92" s="3643" t="s">
        <v>26</v>
      </c>
      <c r="G92" s="1484" t="s">
        <v>41</v>
      </c>
      <c r="H92" s="263">
        <v>653.79999999999995</v>
      </c>
      <c r="I92" s="1935">
        <f>J92+L92</f>
        <v>653.79999999999995</v>
      </c>
      <c r="J92" s="959">
        <f>547.29+39.2</f>
        <v>586.49</v>
      </c>
      <c r="K92" s="1566">
        <v>39.17</v>
      </c>
      <c r="L92" s="1048">
        <v>67.31</v>
      </c>
      <c r="M92" s="98"/>
      <c r="N92" s="497"/>
      <c r="O92" s="1552" t="s">
        <v>215</v>
      </c>
      <c r="P92" s="494">
        <v>948.45</v>
      </c>
      <c r="Q92" s="495"/>
      <c r="R92" s="496"/>
    </row>
    <row r="93" spans="1:21" s="1187" customFormat="1" x14ac:dyDescent="0.25">
      <c r="A93" s="2038"/>
      <c r="B93" s="2039"/>
      <c r="C93" s="2041"/>
      <c r="D93" s="3366"/>
      <c r="E93" s="3310"/>
      <c r="F93" s="3446"/>
      <c r="G93" s="1118" t="s">
        <v>21</v>
      </c>
      <c r="H93" s="272">
        <v>115.4</v>
      </c>
      <c r="I93" s="1924">
        <f>J93+L93</f>
        <v>115.36</v>
      </c>
      <c r="J93" s="1100">
        <f>96.58+6.9</f>
        <v>103.48</v>
      </c>
      <c r="K93" s="1096">
        <v>6.91</v>
      </c>
      <c r="L93" s="1864">
        <v>11.88</v>
      </c>
      <c r="M93" s="66"/>
      <c r="N93" s="492"/>
      <c r="O93" s="3342" t="s">
        <v>157</v>
      </c>
      <c r="P93" s="2912">
        <v>30</v>
      </c>
      <c r="Q93" s="2914">
        <v>30</v>
      </c>
      <c r="R93" s="2916">
        <v>30</v>
      </c>
    </row>
    <row r="94" spans="1:21" s="1187" customFormat="1" ht="12.75" thickBot="1" x14ac:dyDescent="0.3">
      <c r="A94" s="2059"/>
      <c r="B94" s="2060"/>
      <c r="C94" s="1473"/>
      <c r="D94" s="3367"/>
      <c r="E94" s="3311"/>
      <c r="F94" s="3447"/>
      <c r="G94" s="1539" t="s">
        <v>18</v>
      </c>
      <c r="H94" s="1977">
        <f>SUM(H92:H93)</f>
        <v>769.19999999999993</v>
      </c>
      <c r="I94" s="1889">
        <f>SUM(I92:I93)</f>
        <v>769.16</v>
      </c>
      <c r="J94" s="1540">
        <f>SUM(J92:J93)</f>
        <v>689.97</v>
      </c>
      <c r="K94" s="1260">
        <f>SUM(K92:K93)</f>
        <v>46.08</v>
      </c>
      <c r="L94" s="1865">
        <f>SUM(L92:L93)</f>
        <v>79.19</v>
      </c>
      <c r="M94" s="382"/>
      <c r="N94" s="367"/>
      <c r="O94" s="2927"/>
      <c r="P94" s="2913"/>
      <c r="Q94" s="2915"/>
      <c r="R94" s="2917"/>
      <c r="U94" s="240"/>
    </row>
    <row r="95" spans="1:21" s="1187" customFormat="1" x14ac:dyDescent="0.25">
      <c r="A95" s="2043" t="s">
        <v>13</v>
      </c>
      <c r="B95" s="2044" t="s">
        <v>19</v>
      </c>
      <c r="C95" s="2040" t="s">
        <v>16</v>
      </c>
      <c r="D95" s="3306" t="s">
        <v>294</v>
      </c>
      <c r="E95" s="3309"/>
      <c r="F95" s="3643" t="s">
        <v>26</v>
      </c>
      <c r="G95" s="767" t="s">
        <v>27</v>
      </c>
      <c r="H95" s="1819">
        <v>40</v>
      </c>
      <c r="I95" s="1935">
        <f>J95+L95</f>
        <v>40</v>
      </c>
      <c r="J95" s="958">
        <v>40</v>
      </c>
      <c r="K95" s="1707"/>
      <c r="L95" s="1563"/>
      <c r="M95" s="692"/>
      <c r="N95" s="693"/>
      <c r="O95" s="1704" t="s">
        <v>295</v>
      </c>
      <c r="P95" s="1181">
        <v>1</v>
      </c>
      <c r="Q95" s="1570"/>
      <c r="R95" s="1571"/>
    </row>
    <row r="96" spans="1:21" s="1187" customFormat="1" x14ac:dyDescent="0.25">
      <c r="A96" s="2038"/>
      <c r="B96" s="2039"/>
      <c r="C96" s="2041"/>
      <c r="D96" s="3307"/>
      <c r="E96" s="3310"/>
      <c r="F96" s="3446"/>
      <c r="G96" s="253"/>
      <c r="H96" s="262"/>
      <c r="I96" s="1931"/>
      <c r="J96" s="1919"/>
      <c r="K96" s="261"/>
      <c r="L96" s="159"/>
      <c r="M96" s="66"/>
      <c r="N96" s="62"/>
      <c r="O96" s="3644" t="s">
        <v>296</v>
      </c>
      <c r="P96" s="1944">
        <v>1</v>
      </c>
      <c r="Q96" s="1945"/>
      <c r="R96" s="1946"/>
    </row>
    <row r="97" spans="1:18" s="1187" customFormat="1" ht="12.75" thickBot="1" x14ac:dyDescent="0.3">
      <c r="A97" s="2038"/>
      <c r="B97" s="2039"/>
      <c r="C97" s="1473"/>
      <c r="D97" s="3308"/>
      <c r="E97" s="3311"/>
      <c r="F97" s="3447"/>
      <c r="G97" s="1214" t="s">
        <v>18</v>
      </c>
      <c r="H97" s="382">
        <f>SUM(H95:H96)</f>
        <v>40</v>
      </c>
      <c r="I97" s="382">
        <f>I95</f>
        <v>40</v>
      </c>
      <c r="J97" s="361">
        <f>J95</f>
        <v>40</v>
      </c>
      <c r="K97" s="362"/>
      <c r="L97" s="433"/>
      <c r="M97" s="382"/>
      <c r="N97" s="361"/>
      <c r="O97" s="2942"/>
      <c r="P97" s="1943"/>
      <c r="Q97" s="2017"/>
      <c r="R97" s="2019"/>
    </row>
    <row r="98" spans="1:18" s="1187" customFormat="1" ht="12.75" thickBot="1" x14ac:dyDescent="0.3">
      <c r="A98" s="1190" t="s">
        <v>13</v>
      </c>
      <c r="B98" s="1191" t="s">
        <v>19</v>
      </c>
      <c r="C98" s="3358" t="s">
        <v>30</v>
      </c>
      <c r="D98" s="3358"/>
      <c r="E98" s="3358"/>
      <c r="F98" s="3358"/>
      <c r="G98" s="3359"/>
      <c r="H98" s="1235" t="e">
        <f>H97+H94+H91+H86+H83+H79+H76+H72+H63+#REF!</f>
        <v>#REF!</v>
      </c>
      <c r="I98" s="100">
        <f>+I91+I86+I83+I79+I76+I72+I63+I94+I97+I61</f>
        <v>19410.309999999998</v>
      </c>
      <c r="J98" s="100">
        <f t="shared" ref="J98:N98" si="6">+J91+J86+J83+J79+J76+J72+J63+J94+J97+J61</f>
        <v>18825.62</v>
      </c>
      <c r="K98" s="100">
        <f t="shared" si="6"/>
        <v>8364.48</v>
      </c>
      <c r="L98" s="100">
        <f t="shared" si="6"/>
        <v>584.69000000000005</v>
      </c>
      <c r="M98" s="100">
        <f t="shared" si="6"/>
        <v>17764.7</v>
      </c>
      <c r="N98" s="100">
        <f t="shared" si="6"/>
        <v>17822.400000000001</v>
      </c>
      <c r="O98" s="3360"/>
      <c r="P98" s="3361"/>
      <c r="Q98" s="3361"/>
      <c r="R98" s="3362"/>
    </row>
    <row r="99" spans="1:18" s="1187" customFormat="1" ht="12.75" thickBot="1" x14ac:dyDescent="0.3">
      <c r="A99" s="1343" t="s">
        <v>13</v>
      </c>
      <c r="B99" s="1191" t="s">
        <v>22</v>
      </c>
      <c r="C99" s="3372" t="s">
        <v>39</v>
      </c>
      <c r="D99" s="3372"/>
      <c r="E99" s="3372"/>
      <c r="F99" s="3372"/>
      <c r="G99" s="3372"/>
      <c r="H99" s="3372"/>
      <c r="I99" s="3372"/>
      <c r="J99" s="3372"/>
      <c r="K99" s="3372"/>
      <c r="L99" s="3372"/>
      <c r="M99" s="3372"/>
      <c r="N99" s="3372"/>
      <c r="O99" s="3372"/>
      <c r="P99" s="3372"/>
      <c r="Q99" s="3372"/>
      <c r="R99" s="3373"/>
    </row>
    <row r="100" spans="1:18" s="240" customFormat="1" ht="36" x14ac:dyDescent="0.25">
      <c r="A100" s="1344" t="s">
        <v>13</v>
      </c>
      <c r="B100" s="2044" t="s">
        <v>22</v>
      </c>
      <c r="C100" s="1866" t="s">
        <v>13</v>
      </c>
      <c r="D100" s="1871" t="s">
        <v>40</v>
      </c>
      <c r="E100" s="1663"/>
      <c r="F100" s="1665"/>
      <c r="G100" s="1667"/>
      <c r="H100" s="497"/>
      <c r="I100" s="1936"/>
      <c r="J100" s="1671"/>
      <c r="K100" s="1671"/>
      <c r="L100" s="1672"/>
      <c r="M100" s="1675"/>
      <c r="N100" s="1129"/>
      <c r="O100" s="1872"/>
      <c r="P100" s="1873"/>
      <c r="Q100" s="1678"/>
      <c r="R100" s="1679"/>
    </row>
    <row r="101" spans="1:18" s="240" customFormat="1" x14ac:dyDescent="0.25">
      <c r="A101" s="1352"/>
      <c r="B101" s="2039"/>
      <c r="C101" s="1848"/>
      <c r="D101" s="3509" t="s">
        <v>283</v>
      </c>
      <c r="E101" s="1868" t="s">
        <v>94</v>
      </c>
      <c r="F101" s="2074">
        <v>5</v>
      </c>
      <c r="G101" s="1388" t="s">
        <v>52</v>
      </c>
      <c r="H101" s="1574">
        <v>62</v>
      </c>
      <c r="I101" s="1660">
        <f t="shared" ref="I101:I105" si="7">J101+L101</f>
        <v>62</v>
      </c>
      <c r="J101" s="1031"/>
      <c r="K101" s="1031"/>
      <c r="L101" s="1032">
        <v>62</v>
      </c>
      <c r="M101" s="72"/>
      <c r="N101" s="335"/>
      <c r="O101" s="3641" t="s">
        <v>276</v>
      </c>
      <c r="P101" s="771"/>
      <c r="Q101" s="2002"/>
      <c r="R101" s="2073"/>
    </row>
    <row r="102" spans="1:18" s="240" customFormat="1" x14ac:dyDescent="0.25">
      <c r="A102" s="1352"/>
      <c r="B102" s="2039"/>
      <c r="C102" s="1848"/>
      <c r="D102" s="3509"/>
      <c r="E102" s="1868"/>
      <c r="F102" s="2074"/>
      <c r="G102" s="604" t="s">
        <v>27</v>
      </c>
      <c r="H102" s="1128">
        <v>62.6</v>
      </c>
      <c r="I102" s="1359">
        <f t="shared" si="7"/>
        <v>62.6</v>
      </c>
      <c r="J102" s="1091">
        <v>14.4</v>
      </c>
      <c r="K102" s="1091">
        <v>0.7</v>
      </c>
      <c r="L102" s="1092">
        <v>48.2</v>
      </c>
      <c r="M102" s="66"/>
      <c r="N102" s="62"/>
      <c r="O102" s="3641"/>
      <c r="P102" s="771"/>
      <c r="Q102" s="2002"/>
      <c r="R102" s="2073"/>
    </row>
    <row r="103" spans="1:18" s="240" customFormat="1" x14ac:dyDescent="0.25">
      <c r="A103" s="1352"/>
      <c r="B103" s="2039"/>
      <c r="C103" s="1848"/>
      <c r="D103" s="3509"/>
      <c r="E103" s="1868"/>
      <c r="F103" s="2074"/>
      <c r="G103" s="1363" t="s">
        <v>41</v>
      </c>
      <c r="H103" s="492">
        <v>434.9</v>
      </c>
      <c r="I103" s="1367">
        <f t="shared" si="7"/>
        <v>434.9</v>
      </c>
      <c r="J103" s="1034">
        <v>80.5</v>
      </c>
      <c r="K103" s="1034">
        <v>3.7</v>
      </c>
      <c r="L103" s="1034">
        <v>354.4</v>
      </c>
      <c r="M103" s="1120"/>
      <c r="N103" s="57"/>
      <c r="O103" s="3641"/>
      <c r="P103" s="771"/>
      <c r="Q103" s="2002"/>
      <c r="R103" s="2073"/>
    </row>
    <row r="104" spans="1:18" s="240" customFormat="1" x14ac:dyDescent="0.25">
      <c r="A104" s="1352"/>
      <c r="B104" s="2039"/>
      <c r="C104" s="1848"/>
      <c r="D104" s="3510"/>
      <c r="E104" s="1869"/>
      <c r="F104" s="1371"/>
      <c r="G104" s="1637" t="s">
        <v>18</v>
      </c>
      <c r="H104" s="1978">
        <f>SUM(H101:H103)</f>
        <v>559.5</v>
      </c>
      <c r="I104" s="1493">
        <f>J104+L104</f>
        <v>559.5</v>
      </c>
      <c r="J104" s="1494">
        <f>SUM(J101:J103)</f>
        <v>94.9</v>
      </c>
      <c r="K104" s="1494">
        <f>SUM(K101:K103)</f>
        <v>4.4000000000000004</v>
      </c>
      <c r="L104" s="1494">
        <f>SUM(L101:L103)</f>
        <v>464.59999999999997</v>
      </c>
      <c r="M104" s="1575"/>
      <c r="N104" s="1576"/>
      <c r="O104" s="3642"/>
      <c r="P104" s="1874">
        <v>100</v>
      </c>
      <c r="Q104" s="238"/>
      <c r="R104" s="239"/>
    </row>
    <row r="105" spans="1:18" s="240" customFormat="1" x14ac:dyDescent="0.25">
      <c r="A105" s="1352"/>
      <c r="B105" s="2039"/>
      <c r="C105" s="1848"/>
      <c r="D105" s="3636" t="s">
        <v>284</v>
      </c>
      <c r="E105" s="1870" t="s">
        <v>94</v>
      </c>
      <c r="F105" s="1243">
        <v>5</v>
      </c>
      <c r="G105" s="1363" t="s">
        <v>52</v>
      </c>
      <c r="H105" s="492">
        <v>75.400000000000006</v>
      </c>
      <c r="I105" s="1655">
        <f t="shared" si="7"/>
        <v>75.400000000000006</v>
      </c>
      <c r="J105" s="1034"/>
      <c r="K105" s="1034"/>
      <c r="L105" s="1034">
        <v>75.400000000000006</v>
      </c>
      <c r="M105" s="72"/>
      <c r="N105" s="335"/>
      <c r="O105" s="2883" t="s">
        <v>277</v>
      </c>
      <c r="P105" s="771"/>
      <c r="Q105" s="2002"/>
      <c r="R105" s="2073"/>
    </row>
    <row r="106" spans="1:18" s="240" customFormat="1" x14ac:dyDescent="0.25">
      <c r="A106" s="1352"/>
      <c r="B106" s="2039"/>
      <c r="C106" s="1848"/>
      <c r="D106" s="3509"/>
      <c r="E106" s="1870"/>
      <c r="F106" s="1243"/>
      <c r="G106" s="604" t="s">
        <v>27</v>
      </c>
      <c r="H106" s="1128">
        <v>58.7</v>
      </c>
      <c r="I106" s="1387">
        <f>J106+L106</f>
        <v>58.7</v>
      </c>
      <c r="J106" s="1092">
        <v>14</v>
      </c>
      <c r="K106" s="1092">
        <v>0.7</v>
      </c>
      <c r="L106" s="1092">
        <v>44.7</v>
      </c>
      <c r="M106" s="66"/>
      <c r="N106" s="62"/>
      <c r="O106" s="2850"/>
      <c r="P106" s="771"/>
      <c r="Q106" s="2002"/>
      <c r="R106" s="2073"/>
    </row>
    <row r="107" spans="1:18" s="240" customFormat="1" x14ac:dyDescent="0.25">
      <c r="A107" s="1352"/>
      <c r="B107" s="2039"/>
      <c r="C107" s="1848"/>
      <c r="D107" s="3509"/>
      <c r="E107" s="1870"/>
      <c r="F107" s="1243"/>
      <c r="G107" s="1388" t="s">
        <v>41</v>
      </c>
      <c r="H107" s="1574">
        <v>540.70000000000005</v>
      </c>
      <c r="I107" s="1391">
        <f>J107+L107</f>
        <v>540.70000000000005</v>
      </c>
      <c r="J107" s="1032">
        <v>77.7</v>
      </c>
      <c r="K107" s="1032">
        <v>3.7</v>
      </c>
      <c r="L107" s="1032">
        <v>463</v>
      </c>
      <c r="M107" s="1120"/>
      <c r="N107" s="57"/>
      <c r="O107" s="2850"/>
      <c r="P107" s="771"/>
      <c r="Q107" s="2002"/>
      <c r="R107" s="2073"/>
    </row>
    <row r="108" spans="1:18" s="240" customFormat="1" x14ac:dyDescent="0.25">
      <c r="A108" s="1352"/>
      <c r="B108" s="2039"/>
      <c r="C108" s="1848"/>
      <c r="D108" s="3509"/>
      <c r="E108" s="1870"/>
      <c r="F108" s="1243"/>
      <c r="G108" s="1393" t="s">
        <v>18</v>
      </c>
      <c r="H108" s="1394">
        <f>SUM(H105:H107)</f>
        <v>674.80000000000007</v>
      </c>
      <c r="I108" s="1394">
        <f>J108+L108</f>
        <v>674.80000000000007</v>
      </c>
      <c r="J108" s="1395">
        <f>SUM(J105:J107)</f>
        <v>91.7</v>
      </c>
      <c r="K108" s="1395">
        <f>SUM(K105:K107)</f>
        <v>4.4000000000000004</v>
      </c>
      <c r="L108" s="1373">
        <f>SUM(L105:L107)</f>
        <v>583.1</v>
      </c>
      <c r="M108" s="1572"/>
      <c r="N108" s="1573"/>
      <c r="O108" s="2850"/>
      <c r="P108" s="771">
        <v>100</v>
      </c>
      <c r="Q108" s="2002"/>
      <c r="R108" s="2073"/>
    </row>
    <row r="109" spans="1:18" s="240" customFormat="1" x14ac:dyDescent="0.25">
      <c r="A109" s="1352"/>
      <c r="B109" s="2039"/>
      <c r="C109" s="1848"/>
      <c r="D109" s="3636" t="s">
        <v>323</v>
      </c>
      <c r="E109" s="1375" t="s">
        <v>94</v>
      </c>
      <c r="F109" s="1377">
        <v>5</v>
      </c>
      <c r="G109" s="1378" t="s">
        <v>27</v>
      </c>
      <c r="H109" s="1381">
        <v>37.4</v>
      </c>
      <c r="I109" s="1305">
        <f>J109+L109</f>
        <v>80.3</v>
      </c>
      <c r="J109" s="1379"/>
      <c r="K109" s="1379"/>
      <c r="L109" s="1379">
        <v>80.3</v>
      </c>
      <c r="M109" s="1120"/>
      <c r="N109" s="57"/>
      <c r="O109" s="1697" t="s">
        <v>324</v>
      </c>
      <c r="P109" s="640"/>
      <c r="Q109" s="2042"/>
      <c r="R109" s="2072"/>
    </row>
    <row r="110" spans="1:18" s="240" customFormat="1" x14ac:dyDescent="0.25">
      <c r="A110" s="1352"/>
      <c r="B110" s="2252"/>
      <c r="C110" s="1848"/>
      <c r="D110" s="3509"/>
      <c r="E110" s="1870"/>
      <c r="F110" s="1243"/>
      <c r="G110" s="1378" t="s">
        <v>41</v>
      </c>
      <c r="H110" s="1381"/>
      <c r="I110" s="1305">
        <f>J110+L110</f>
        <v>338.5</v>
      </c>
      <c r="J110" s="1379"/>
      <c r="K110" s="1379"/>
      <c r="L110" s="2268">
        <v>338.5</v>
      </c>
      <c r="M110" s="66"/>
      <c r="N110" s="62"/>
      <c r="O110" s="1964"/>
      <c r="P110" s="771"/>
      <c r="Q110" s="2250"/>
      <c r="R110" s="2254"/>
    </row>
    <row r="111" spans="1:18" s="240" customFormat="1" x14ac:dyDescent="0.25">
      <c r="A111" s="1352"/>
      <c r="B111" s="2039"/>
      <c r="C111" s="1848"/>
      <c r="D111" s="3509"/>
      <c r="E111" s="1870"/>
      <c r="F111" s="1243"/>
      <c r="G111" s="1637" t="s">
        <v>18</v>
      </c>
      <c r="H111" s="1978">
        <f>H109</f>
        <v>37.4</v>
      </c>
      <c r="I111" s="1493">
        <f>SUM(I109:I110)</f>
        <v>418.8</v>
      </c>
      <c r="J111" s="1494">
        <f>SUM(J109:J109)</f>
        <v>0</v>
      </c>
      <c r="K111" s="2080">
        <f>SUM(K109:K109)</f>
        <v>0</v>
      </c>
      <c r="L111" s="1373">
        <f>SUM(L109:L110)</f>
        <v>418.8</v>
      </c>
      <c r="M111" s="1585"/>
      <c r="N111" s="1586"/>
      <c r="O111" s="1964" t="s">
        <v>325</v>
      </c>
      <c r="P111" s="771"/>
      <c r="Q111" s="2002"/>
      <c r="R111" s="2073"/>
    </row>
    <row r="112" spans="1:18" s="1265" customFormat="1" ht="12.75" thickBot="1" x14ac:dyDescent="0.3">
      <c r="A112" s="1404"/>
      <c r="B112" s="2060"/>
      <c r="C112" s="1867"/>
      <c r="D112" s="3637"/>
      <c r="E112" s="3638" t="s">
        <v>227</v>
      </c>
      <c r="F112" s="3639"/>
      <c r="G112" s="3640"/>
      <c r="H112" s="1979">
        <f>H111+H108+H104</f>
        <v>1271.7</v>
      </c>
      <c r="I112" s="367">
        <f>I108+I104+I111</f>
        <v>1653.1000000000001</v>
      </c>
      <c r="J112" s="362">
        <f>J108+J104</f>
        <v>186.60000000000002</v>
      </c>
      <c r="K112" s="361">
        <f>K108+K104</f>
        <v>8.8000000000000007</v>
      </c>
      <c r="L112" s="368">
        <f>L108+L104</f>
        <v>1047.7</v>
      </c>
      <c r="M112" s="367"/>
      <c r="N112" s="367"/>
      <c r="O112" s="1965"/>
      <c r="P112" s="1875">
        <v>100</v>
      </c>
      <c r="Q112" s="1876"/>
      <c r="R112" s="1877"/>
    </row>
    <row r="113" spans="1:23" s="240" customFormat="1" ht="36" x14ac:dyDescent="0.25">
      <c r="A113" s="2128" t="s">
        <v>13</v>
      </c>
      <c r="B113" s="2264" t="s">
        <v>22</v>
      </c>
      <c r="C113" s="2279" t="s">
        <v>19</v>
      </c>
      <c r="D113" s="1871" t="s">
        <v>43</v>
      </c>
      <c r="E113" s="1663"/>
      <c r="F113" s="1665"/>
      <c r="G113" s="2280"/>
      <c r="H113" s="97"/>
      <c r="I113" s="1936"/>
      <c r="J113" s="1671"/>
      <c r="K113" s="1671"/>
      <c r="L113" s="1672"/>
      <c r="M113" s="2281"/>
      <c r="N113" s="2281"/>
      <c r="O113" s="2282"/>
      <c r="P113" s="2283"/>
      <c r="Q113" s="2284"/>
      <c r="R113" s="2285"/>
    </row>
    <row r="114" spans="1:23" s="240" customFormat="1" ht="36" x14ac:dyDescent="0.2">
      <c r="A114" s="1352"/>
      <c r="B114" s="2039"/>
      <c r="C114" s="1848"/>
      <c r="D114" s="3509" t="s">
        <v>286</v>
      </c>
      <c r="E114" s="1868" t="s">
        <v>59</v>
      </c>
      <c r="F114" s="2074">
        <v>5</v>
      </c>
      <c r="G114" s="1388" t="s">
        <v>27</v>
      </c>
      <c r="H114" s="1574">
        <v>283.2</v>
      </c>
      <c r="I114" s="1660">
        <f>J114+L114</f>
        <v>283.2</v>
      </c>
      <c r="J114" s="1510"/>
      <c r="K114" s="1510"/>
      <c r="L114" s="1032">
        <v>283.2</v>
      </c>
      <c r="M114" s="2277"/>
      <c r="N114" s="335"/>
      <c r="O114" s="1505" t="s">
        <v>278</v>
      </c>
      <c r="P114" s="2278">
        <v>100</v>
      </c>
      <c r="Q114" s="2855"/>
      <c r="R114" s="2857"/>
    </row>
    <row r="115" spans="1:23" s="240" customFormat="1" x14ac:dyDescent="0.25">
      <c r="A115" s="1352"/>
      <c r="B115" s="2039"/>
      <c r="C115" s="1848"/>
      <c r="D115" s="3509"/>
      <c r="E115" s="1884"/>
      <c r="F115" s="1417"/>
      <c r="G115" s="1419" t="s">
        <v>41</v>
      </c>
      <c r="H115" s="1450">
        <v>73.599999999999994</v>
      </c>
      <c r="I115" s="1421">
        <f>J115+L115</f>
        <v>73.599999999999994</v>
      </c>
      <c r="J115" s="1379">
        <v>19.2</v>
      </c>
      <c r="K115" s="1379">
        <v>14.7</v>
      </c>
      <c r="L115" s="1379">
        <v>54.4</v>
      </c>
      <c r="M115" s="1580"/>
      <c r="N115" s="57"/>
      <c r="O115" s="1505"/>
      <c r="P115" s="1883"/>
      <c r="Q115" s="2855"/>
      <c r="R115" s="2857"/>
    </row>
    <row r="116" spans="1:23" s="240" customFormat="1" x14ac:dyDescent="0.25">
      <c r="A116" s="1352"/>
      <c r="B116" s="2039"/>
      <c r="C116" s="1848"/>
      <c r="D116" s="3509"/>
      <c r="E116" s="1884"/>
      <c r="F116" s="1417"/>
      <c r="G116" s="1419" t="s">
        <v>21</v>
      </c>
      <c r="H116" s="1450">
        <v>13</v>
      </c>
      <c r="I116" s="1421">
        <f>J116+L116</f>
        <v>13</v>
      </c>
      <c r="J116" s="1379">
        <v>3.4</v>
      </c>
      <c r="K116" s="1379">
        <v>2.6</v>
      </c>
      <c r="L116" s="1379">
        <v>9.6</v>
      </c>
      <c r="M116" s="1580"/>
      <c r="N116" s="57"/>
      <c r="O116" s="1505"/>
      <c r="P116" s="1883"/>
      <c r="Q116" s="2002"/>
      <c r="R116" s="2073"/>
    </row>
    <row r="117" spans="1:23" s="240" customFormat="1" x14ac:dyDescent="0.25">
      <c r="A117" s="1352"/>
      <c r="B117" s="2039"/>
      <c r="C117" s="1848"/>
      <c r="D117" s="3510"/>
      <c r="E117" s="1884"/>
      <c r="F117" s="1417"/>
      <c r="G117" s="1492" t="s">
        <v>18</v>
      </c>
      <c r="H117" s="1980">
        <f>SUM(H114:H116)</f>
        <v>369.79999999999995</v>
      </c>
      <c r="I117" s="1493">
        <f>J117+L117</f>
        <v>369.8</v>
      </c>
      <c r="J117" s="1494">
        <f>SUM(J114:J116)</f>
        <v>22.599999999999998</v>
      </c>
      <c r="K117" s="1494">
        <f>SUM(K114:K116)</f>
        <v>17.3</v>
      </c>
      <c r="L117" s="1494">
        <f>SUM(L114:L116)</f>
        <v>347.2</v>
      </c>
      <c r="M117" s="1585"/>
      <c r="N117" s="1586"/>
      <c r="O117" s="1584"/>
      <c r="P117" s="725"/>
      <c r="Q117" s="726"/>
      <c r="R117" s="727"/>
    </row>
    <row r="118" spans="1:23" s="240" customFormat="1" x14ac:dyDescent="0.25">
      <c r="A118" s="1352"/>
      <c r="B118" s="2039"/>
      <c r="C118" s="1848"/>
      <c r="D118" s="3307" t="s">
        <v>322</v>
      </c>
      <c r="E118" s="1884"/>
      <c r="F118" s="1417"/>
      <c r="G118" s="1378" t="s">
        <v>27</v>
      </c>
      <c r="H118" s="1381">
        <v>30</v>
      </c>
      <c r="I118" s="1421">
        <f>J118+L118</f>
        <v>30</v>
      </c>
      <c r="J118" s="1299"/>
      <c r="K118" s="1299"/>
      <c r="L118" s="1382">
        <v>30</v>
      </c>
      <c r="M118" s="282"/>
      <c r="N118" s="1164"/>
      <c r="O118" s="2850" t="s">
        <v>164</v>
      </c>
      <c r="P118" s="235">
        <v>1</v>
      </c>
      <c r="Q118" s="2002"/>
      <c r="R118" s="2073"/>
    </row>
    <row r="119" spans="1:23" s="240" customFormat="1" x14ac:dyDescent="0.25">
      <c r="A119" s="1352"/>
      <c r="B119" s="2039"/>
      <c r="C119" s="1848"/>
      <c r="D119" s="3307"/>
      <c r="E119" s="1885"/>
      <c r="F119" s="1431"/>
      <c r="G119" s="1388"/>
      <c r="H119" s="1574"/>
      <c r="I119" s="1660"/>
      <c r="J119" s="1390"/>
      <c r="K119" s="1390"/>
      <c r="L119" s="1390"/>
      <c r="M119" s="72"/>
      <c r="N119" s="335"/>
      <c r="O119" s="2850"/>
      <c r="P119" s="235"/>
      <c r="Q119" s="2002"/>
      <c r="R119" s="2073"/>
    </row>
    <row r="120" spans="1:23" s="240" customFormat="1" x14ac:dyDescent="0.25">
      <c r="A120" s="1352"/>
      <c r="B120" s="2039"/>
      <c r="C120" s="1848"/>
      <c r="D120" s="3353"/>
      <c r="E120" s="1885"/>
      <c r="F120" s="1431"/>
      <c r="G120" s="1492" t="s">
        <v>18</v>
      </c>
      <c r="H120" s="1980">
        <f>SUM(H118:H119)</f>
        <v>30</v>
      </c>
      <c r="I120" s="1493">
        <f>J120+L120</f>
        <v>30</v>
      </c>
      <c r="J120" s="1494"/>
      <c r="K120" s="1494"/>
      <c r="L120" s="1494">
        <f>SUM(L118:L119)</f>
        <v>30</v>
      </c>
      <c r="M120" s="1585"/>
      <c r="N120" s="1586"/>
      <c r="O120" s="2851"/>
      <c r="P120" s="725"/>
      <c r="Q120" s="726"/>
      <c r="R120" s="727"/>
    </row>
    <row r="121" spans="1:23" s="240" customFormat="1" x14ac:dyDescent="0.25">
      <c r="A121" s="1352"/>
      <c r="B121" s="2039"/>
      <c r="C121" s="1848"/>
      <c r="D121" s="3352" t="s">
        <v>271</v>
      </c>
      <c r="E121" s="1884"/>
      <c r="F121" s="1417"/>
      <c r="G121" s="1378" t="s">
        <v>27</v>
      </c>
      <c r="H121" s="1381"/>
      <c r="I121" s="1421"/>
      <c r="J121" s="1299"/>
      <c r="K121" s="1299"/>
      <c r="L121" s="1382"/>
      <c r="M121" s="282">
        <v>17.899999999999999</v>
      </c>
      <c r="N121" s="1164">
        <v>3.4</v>
      </c>
      <c r="O121" s="2883" t="s">
        <v>164</v>
      </c>
      <c r="P121" s="233"/>
      <c r="Q121" s="2042"/>
      <c r="R121" s="2072">
        <v>1</v>
      </c>
    </row>
    <row r="122" spans="1:23" s="240" customFormat="1" x14ac:dyDescent="0.25">
      <c r="A122" s="1352"/>
      <c r="B122" s="2039"/>
      <c r="C122" s="1848"/>
      <c r="D122" s="3307"/>
      <c r="E122" s="1885"/>
      <c r="F122" s="1431"/>
      <c r="G122" s="1378" t="s">
        <v>41</v>
      </c>
      <c r="H122" s="1381"/>
      <c r="I122" s="1421"/>
      <c r="J122" s="1299"/>
      <c r="K122" s="1299"/>
      <c r="L122" s="1382"/>
      <c r="M122" s="282">
        <v>45</v>
      </c>
      <c r="N122" s="1120">
        <v>19.3</v>
      </c>
      <c r="O122" s="2850"/>
      <c r="P122" s="235"/>
      <c r="Q122" s="2002"/>
      <c r="R122" s="2073"/>
    </row>
    <row r="123" spans="1:23" s="240" customFormat="1" x14ac:dyDescent="0.25">
      <c r="A123" s="1352"/>
      <c r="B123" s="2039"/>
      <c r="C123" s="1848"/>
      <c r="D123" s="3353"/>
      <c r="E123" s="1886"/>
      <c r="F123" s="1491"/>
      <c r="G123" s="1492" t="s">
        <v>18</v>
      </c>
      <c r="H123" s="1980"/>
      <c r="I123" s="1493"/>
      <c r="J123" s="1494"/>
      <c r="K123" s="1494"/>
      <c r="L123" s="1494"/>
      <c r="M123" s="1585">
        <f>SUM(M121:M122)</f>
        <v>62.9</v>
      </c>
      <c r="N123" s="1586">
        <f>SUM(N121:N122)</f>
        <v>22.7</v>
      </c>
      <c r="O123" s="2851"/>
      <c r="P123" s="725"/>
      <c r="Q123" s="726"/>
      <c r="R123" s="727"/>
    </row>
    <row r="124" spans="1:23" ht="36" x14ac:dyDescent="0.2">
      <c r="A124" s="1352"/>
      <c r="B124" s="2039"/>
      <c r="C124" s="1848"/>
      <c r="D124" s="2030" t="s">
        <v>301</v>
      </c>
      <c r="E124" s="1887"/>
      <c r="F124" s="2011" t="s">
        <v>35</v>
      </c>
      <c r="G124" s="1127" t="s">
        <v>27</v>
      </c>
      <c r="H124" s="1625">
        <v>10</v>
      </c>
      <c r="I124" s="342">
        <f>J124+L124</f>
        <v>10</v>
      </c>
      <c r="J124" s="327">
        <v>10</v>
      </c>
      <c r="K124" s="153"/>
      <c r="L124" s="155"/>
      <c r="M124" s="1120"/>
      <c r="N124" s="1120"/>
      <c r="O124" s="2029" t="s">
        <v>321</v>
      </c>
      <c r="P124" s="2028">
        <v>100</v>
      </c>
      <c r="Q124" s="2012"/>
      <c r="R124" s="2013"/>
      <c r="U124" s="1435"/>
      <c r="V124" s="1435"/>
      <c r="W124" s="1435"/>
    </row>
    <row r="125" spans="1:23" s="240" customFormat="1" ht="24" x14ac:dyDescent="0.25">
      <c r="A125" s="1352"/>
      <c r="B125" s="2039"/>
      <c r="C125" s="1848"/>
      <c r="D125" s="3352" t="s">
        <v>290</v>
      </c>
      <c r="E125" s="1868"/>
      <c r="F125" s="1878"/>
      <c r="G125" s="1378" t="s">
        <v>27</v>
      </c>
      <c r="H125" s="1381">
        <v>100</v>
      </c>
      <c r="I125" s="594">
        <f>J125+L125</f>
        <v>100</v>
      </c>
      <c r="J125" s="1101"/>
      <c r="K125" s="1101"/>
      <c r="L125" s="1879">
        <v>100</v>
      </c>
      <c r="M125" s="678">
        <v>1100</v>
      </c>
      <c r="N125" s="1880"/>
      <c r="O125" s="1697" t="s">
        <v>164</v>
      </c>
      <c r="P125" s="1698">
        <v>1</v>
      </c>
      <c r="Q125" s="1699"/>
      <c r="R125" s="2072"/>
    </row>
    <row r="126" spans="1:23" s="240" customFormat="1" x14ac:dyDescent="0.25">
      <c r="A126" s="1352"/>
      <c r="B126" s="2039"/>
      <c r="C126" s="1848"/>
      <c r="D126" s="3307"/>
      <c r="E126" s="1868"/>
      <c r="F126" s="1878"/>
      <c r="G126" s="1778"/>
      <c r="H126" s="63"/>
      <c r="I126" s="590"/>
      <c r="J126" s="1881"/>
      <c r="K126" s="1881"/>
      <c r="L126" s="1881"/>
      <c r="M126" s="680"/>
      <c r="N126" s="1882"/>
      <c r="O126" s="1700" t="s">
        <v>288</v>
      </c>
      <c r="P126" s="1701"/>
      <c r="Q126" s="1702">
        <v>100</v>
      </c>
      <c r="R126" s="2072"/>
    </row>
    <row r="127" spans="1:23" s="240" customFormat="1" x14ac:dyDescent="0.25">
      <c r="A127" s="1352"/>
      <c r="B127" s="2039"/>
      <c r="C127" s="1848"/>
      <c r="D127" s="3352" t="s">
        <v>257</v>
      </c>
      <c r="E127" s="3632"/>
      <c r="F127" s="3633"/>
      <c r="G127" s="1378" t="s">
        <v>27</v>
      </c>
      <c r="H127" s="1381">
        <v>60</v>
      </c>
      <c r="I127" s="593">
        <v>60</v>
      </c>
      <c r="J127" s="1437"/>
      <c r="K127" s="1437"/>
      <c r="L127" s="1438">
        <v>60</v>
      </c>
      <c r="M127" s="1323"/>
      <c r="N127" s="1324"/>
      <c r="O127" s="3335" t="s">
        <v>256</v>
      </c>
      <c r="P127" s="3621">
        <v>300</v>
      </c>
      <c r="Q127" s="3374"/>
      <c r="R127" s="3625"/>
    </row>
    <row r="128" spans="1:23" s="1187" customFormat="1" x14ac:dyDescent="0.25">
      <c r="A128" s="1352"/>
      <c r="B128" s="2039"/>
      <c r="C128" s="1848"/>
      <c r="D128" s="3307"/>
      <c r="E128" s="3632"/>
      <c r="F128" s="3633"/>
      <c r="G128" s="1788" t="s">
        <v>18</v>
      </c>
      <c r="H128" s="1897">
        <f>SUM(H124:H127)</f>
        <v>170</v>
      </c>
      <c r="I128" s="1165">
        <f>SUM(I124:I127)</f>
        <v>170</v>
      </c>
      <c r="J128" s="1165">
        <f t="shared" ref="J128:N128" si="8">SUM(J124:J127)</f>
        <v>10</v>
      </c>
      <c r="K128" s="1165">
        <f t="shared" si="8"/>
        <v>0</v>
      </c>
      <c r="L128" s="1165">
        <f t="shared" si="8"/>
        <v>160</v>
      </c>
      <c r="M128" s="1165">
        <f t="shared" si="8"/>
        <v>1100</v>
      </c>
      <c r="N128" s="1165">
        <f t="shared" si="8"/>
        <v>0</v>
      </c>
      <c r="O128" s="3634"/>
      <c r="P128" s="3622"/>
      <c r="Q128" s="2855"/>
      <c r="R128" s="3626"/>
    </row>
    <row r="129" spans="1:21" s="1187" customFormat="1" ht="12.75" thickBot="1" x14ac:dyDescent="0.3">
      <c r="A129" s="1404"/>
      <c r="B129" s="1216"/>
      <c r="C129" s="1888"/>
      <c r="D129" s="3631"/>
      <c r="E129" s="3628" t="s">
        <v>227</v>
      </c>
      <c r="F129" s="3629"/>
      <c r="G129" s="3630"/>
      <c r="H129" s="361">
        <f>H128+H123+H120+H117</f>
        <v>569.79999999999995</v>
      </c>
      <c r="I129" s="377">
        <f>I128+I123+I120+I117</f>
        <v>569.79999999999995</v>
      </c>
      <c r="J129" s="377">
        <f t="shared" ref="J129:N129" si="9">J128+J123+J120+J117</f>
        <v>32.599999999999994</v>
      </c>
      <c r="K129" s="377">
        <f t="shared" si="9"/>
        <v>17.3</v>
      </c>
      <c r="L129" s="377">
        <f t="shared" si="9"/>
        <v>537.20000000000005</v>
      </c>
      <c r="M129" s="377">
        <f t="shared" si="9"/>
        <v>1162.9000000000001</v>
      </c>
      <c r="N129" s="377">
        <f t="shared" si="9"/>
        <v>22.7</v>
      </c>
      <c r="O129" s="3635"/>
      <c r="P129" s="3623"/>
      <c r="Q129" s="3624"/>
      <c r="R129" s="3627"/>
    </row>
    <row r="130" spans="1:21" s="1187" customFormat="1" ht="12.75" thickBot="1" x14ac:dyDescent="0.3">
      <c r="A130" s="1190" t="s">
        <v>13</v>
      </c>
      <c r="B130" s="1446" t="s">
        <v>22</v>
      </c>
      <c r="C130" s="3463" t="s">
        <v>30</v>
      </c>
      <c r="D130" s="3358"/>
      <c r="E130" s="3358"/>
      <c r="F130" s="3358"/>
      <c r="G130" s="3359"/>
      <c r="H130" s="1986">
        <f>H129+H112</f>
        <v>1841.5</v>
      </c>
      <c r="I130" s="491">
        <f>I129+I112</f>
        <v>2222.9</v>
      </c>
      <c r="J130" s="491">
        <f t="shared" ref="J130:N130" si="10">J129+J112</f>
        <v>219.20000000000002</v>
      </c>
      <c r="K130" s="491">
        <f t="shared" si="10"/>
        <v>26.1</v>
      </c>
      <c r="L130" s="491">
        <f t="shared" si="10"/>
        <v>1584.9</v>
      </c>
      <c r="M130" s="491">
        <f t="shared" si="10"/>
        <v>1162.9000000000001</v>
      </c>
      <c r="N130" s="491">
        <f t="shared" si="10"/>
        <v>22.7</v>
      </c>
      <c r="O130" s="3438"/>
      <c r="P130" s="3439"/>
      <c r="Q130" s="3439"/>
      <c r="R130" s="3440"/>
      <c r="S130" s="2269"/>
    </row>
    <row r="131" spans="1:21" ht="12.75" thickBot="1" x14ac:dyDescent="0.25">
      <c r="A131" s="1190" t="s">
        <v>13</v>
      </c>
      <c r="B131" s="1446" t="s">
        <v>24</v>
      </c>
      <c r="C131" s="3467" t="s">
        <v>96</v>
      </c>
      <c r="D131" s="3468"/>
      <c r="E131" s="3468"/>
      <c r="F131" s="3468"/>
      <c r="G131" s="3468"/>
      <c r="H131" s="3468"/>
      <c r="I131" s="3468"/>
      <c r="J131" s="3468"/>
      <c r="K131" s="3468"/>
      <c r="L131" s="3468"/>
      <c r="M131" s="3468"/>
      <c r="N131" s="3468"/>
      <c r="O131" s="3468"/>
      <c r="P131" s="3468"/>
      <c r="Q131" s="3468"/>
      <c r="R131" s="3469"/>
    </row>
    <row r="132" spans="1:21" x14ac:dyDescent="0.2">
      <c r="A132" s="3454" t="s">
        <v>13</v>
      </c>
      <c r="B132" s="3456" t="s">
        <v>24</v>
      </c>
      <c r="C132" s="3618" t="s">
        <v>13</v>
      </c>
      <c r="D132" s="1456" t="s">
        <v>268</v>
      </c>
      <c r="E132" s="1893"/>
      <c r="F132" s="1499"/>
      <c r="G132" s="1347"/>
      <c r="H132" s="1284"/>
      <c r="I132" s="1937"/>
      <c r="J132" s="1285"/>
      <c r="K132" s="1285"/>
      <c r="L132" s="1447"/>
      <c r="M132" s="1284"/>
      <c r="N132" s="692"/>
      <c r="O132" s="1504"/>
      <c r="P132" s="2022"/>
      <c r="Q132" s="2020"/>
      <c r="R132" s="2021"/>
    </row>
    <row r="133" spans="1:21" x14ac:dyDescent="0.2">
      <c r="A133" s="3455"/>
      <c r="B133" s="3457"/>
      <c r="C133" s="3619"/>
      <c r="D133" s="1478" t="s">
        <v>302</v>
      </c>
      <c r="E133" s="1887"/>
      <c r="F133" s="1501" t="s">
        <v>53</v>
      </c>
      <c r="G133" s="604" t="s">
        <v>27</v>
      </c>
      <c r="H133" s="1128">
        <v>400</v>
      </c>
      <c r="I133" s="1359">
        <f>J133+L133</f>
        <v>400</v>
      </c>
      <c r="J133" s="1291"/>
      <c r="K133" s="1091"/>
      <c r="L133" s="1696">
        <v>400</v>
      </c>
      <c r="M133" s="1128"/>
      <c r="N133" s="1120"/>
      <c r="O133" s="2883"/>
      <c r="P133" s="1771"/>
      <c r="Q133" s="1772"/>
      <c r="R133" s="1773"/>
    </row>
    <row r="134" spans="1:21" x14ac:dyDescent="0.2">
      <c r="A134" s="3455"/>
      <c r="B134" s="3457"/>
      <c r="C134" s="3619"/>
      <c r="D134" s="1477"/>
      <c r="E134" s="1894"/>
      <c r="F134" s="1500"/>
      <c r="G134" s="1388" t="s">
        <v>21</v>
      </c>
      <c r="H134" s="492"/>
      <c r="I134" s="1655"/>
      <c r="J134" s="1294"/>
      <c r="K134" s="1515"/>
      <c r="L134" s="62"/>
      <c r="M134" s="492"/>
      <c r="N134" s="66"/>
      <c r="O134" s="2850"/>
      <c r="P134" s="2027"/>
      <c r="Q134" s="288"/>
      <c r="R134" s="289"/>
    </row>
    <row r="135" spans="1:21" x14ac:dyDescent="0.2">
      <c r="A135" s="3455"/>
      <c r="B135" s="3457"/>
      <c r="C135" s="3619"/>
      <c r="D135" s="1477"/>
      <c r="E135" s="1894"/>
      <c r="F135" s="1500"/>
      <c r="G135" s="1522" t="s">
        <v>18</v>
      </c>
      <c r="H135" s="1981">
        <f>SUM(H133:H134)</f>
        <v>400</v>
      </c>
      <c r="I135" s="378">
        <f>J135+L135</f>
        <v>400</v>
      </c>
      <c r="J135" s="393"/>
      <c r="K135" s="379"/>
      <c r="L135" s="479">
        <f>SUM(L133:L134)</f>
        <v>400</v>
      </c>
      <c r="M135" s="378"/>
      <c r="N135" s="404"/>
      <c r="O135" s="1505"/>
      <c r="P135" s="1516"/>
      <c r="Q135" s="1517"/>
      <c r="R135" s="1518"/>
    </row>
    <row r="136" spans="1:21" x14ac:dyDescent="0.2">
      <c r="A136" s="3455"/>
      <c r="B136" s="3457"/>
      <c r="C136" s="3619"/>
      <c r="D136" s="3279" t="s">
        <v>272</v>
      </c>
      <c r="E136" s="1895" t="s">
        <v>59</v>
      </c>
      <c r="F136" s="1501" t="s">
        <v>95</v>
      </c>
      <c r="G136" s="604" t="s">
        <v>148</v>
      </c>
      <c r="H136" s="1995">
        <v>53.7</v>
      </c>
      <c r="I136" s="1359">
        <f>J136+L136</f>
        <v>53.7</v>
      </c>
      <c r="J136" s="1119"/>
      <c r="K136" s="1294"/>
      <c r="L136" s="57">
        <v>53.7</v>
      </c>
      <c r="M136" s="1381"/>
      <c r="N136" s="282"/>
      <c r="O136" s="2883" t="s">
        <v>279</v>
      </c>
      <c r="P136" s="1682">
        <v>1</v>
      </c>
      <c r="Q136" s="2009"/>
      <c r="R136" s="2006"/>
    </row>
    <row r="137" spans="1:21" x14ac:dyDescent="0.2">
      <c r="A137" s="3455"/>
      <c r="B137" s="3457"/>
      <c r="C137" s="3619"/>
      <c r="D137" s="3366"/>
      <c r="E137" s="3620" t="s">
        <v>273</v>
      </c>
      <c r="F137" s="1786"/>
      <c r="G137" s="1388" t="s">
        <v>27</v>
      </c>
      <c r="H137" s="1574"/>
      <c r="I137" s="1660"/>
      <c r="J137" s="1509"/>
      <c r="K137" s="1510"/>
      <c r="L137" s="335"/>
      <c r="M137" s="1128">
        <v>386.1</v>
      </c>
      <c r="N137" s="1120">
        <v>579.1</v>
      </c>
      <c r="O137" s="2851"/>
      <c r="P137" s="1794"/>
      <c r="Q137" s="2008"/>
      <c r="R137" s="1795"/>
    </row>
    <row r="138" spans="1:21" x14ac:dyDescent="0.2">
      <c r="A138" s="3455"/>
      <c r="B138" s="3457"/>
      <c r="C138" s="3619"/>
      <c r="D138" s="3366"/>
      <c r="E138" s="3620"/>
      <c r="F138" s="1500"/>
      <c r="G138" s="1378" t="s">
        <v>41</v>
      </c>
      <c r="H138" s="1381"/>
      <c r="I138" s="1421"/>
      <c r="J138" s="1450"/>
      <c r="K138" s="1299"/>
      <c r="L138" s="1164"/>
      <c r="M138" s="1381">
        <v>2187.8000000000002</v>
      </c>
      <c r="N138" s="282">
        <v>3281.7</v>
      </c>
      <c r="O138" s="1581" t="s">
        <v>280</v>
      </c>
      <c r="P138" s="1771"/>
      <c r="Q138" s="1772">
        <v>30</v>
      </c>
      <c r="R138" s="1773">
        <v>80</v>
      </c>
    </row>
    <row r="139" spans="1:21" x14ac:dyDescent="0.2">
      <c r="A139" s="3455"/>
      <c r="B139" s="3457"/>
      <c r="C139" s="3619"/>
      <c r="D139" s="3280"/>
      <c r="E139" s="3620"/>
      <c r="F139" s="1500"/>
      <c r="G139" s="1788" t="s">
        <v>18</v>
      </c>
      <c r="H139" s="1897">
        <f>SUM(H136:H138)</f>
        <v>53.7</v>
      </c>
      <c r="I139" s="1372">
        <f>SUM(I136:I138)</f>
        <v>53.7</v>
      </c>
      <c r="J139" s="1443"/>
      <c r="K139" s="1789"/>
      <c r="L139" s="1444">
        <f>SUM(L136:L138)</f>
        <v>53.7</v>
      </c>
      <c r="M139" s="1897">
        <f>SUM(M136:M138)</f>
        <v>2573.9</v>
      </c>
      <c r="N139" s="1445">
        <f>SUM(N136:N138)</f>
        <v>3860.7999999999997</v>
      </c>
      <c r="O139" s="1505"/>
      <c r="P139" s="2027"/>
      <c r="Q139" s="288"/>
      <c r="R139" s="289"/>
    </row>
    <row r="140" spans="1:21" x14ac:dyDescent="0.2">
      <c r="A140" s="3455"/>
      <c r="B140" s="3457"/>
      <c r="C140" s="3619"/>
      <c r="D140" s="3279" t="s">
        <v>275</v>
      </c>
      <c r="E140" s="3620"/>
      <c r="F140" s="1500"/>
      <c r="G140" s="1378" t="s">
        <v>148</v>
      </c>
      <c r="H140" s="1996">
        <v>112.6</v>
      </c>
      <c r="I140" s="1421">
        <f>J140+L140</f>
        <v>112.6</v>
      </c>
      <c r="J140" s="1450"/>
      <c r="K140" s="1299"/>
      <c r="L140" s="1164">
        <v>112.6</v>
      </c>
      <c r="M140" s="1381"/>
      <c r="N140" s="282"/>
      <c r="O140" s="2883" t="s">
        <v>279</v>
      </c>
      <c r="P140" s="1771">
        <v>1</v>
      </c>
      <c r="Q140" s="1772"/>
      <c r="R140" s="1773"/>
    </row>
    <row r="141" spans="1:21" x14ac:dyDescent="0.2">
      <c r="A141" s="3455"/>
      <c r="B141" s="3457"/>
      <c r="C141" s="3619"/>
      <c r="D141" s="3366"/>
      <c r="E141" s="1894"/>
      <c r="F141" s="1500"/>
      <c r="G141" s="604" t="s">
        <v>27</v>
      </c>
      <c r="H141" s="1128"/>
      <c r="I141" s="1359"/>
      <c r="J141" s="1119"/>
      <c r="K141" s="1294"/>
      <c r="L141" s="57"/>
      <c r="M141" s="1128">
        <v>431.4</v>
      </c>
      <c r="N141" s="1120">
        <v>647.20000000000005</v>
      </c>
      <c r="O141" s="2851"/>
      <c r="P141" s="1790"/>
      <c r="Q141" s="1791"/>
      <c r="R141" s="1792"/>
      <c r="U141" s="1435"/>
    </row>
    <row r="142" spans="1:21" x14ac:dyDescent="0.2">
      <c r="A142" s="3455"/>
      <c r="B142" s="3457"/>
      <c r="C142" s="3619"/>
      <c r="D142" s="3366"/>
      <c r="E142" s="1894"/>
      <c r="F142" s="1500"/>
      <c r="G142" s="1378" t="s">
        <v>41</v>
      </c>
      <c r="H142" s="1381"/>
      <c r="I142" s="1421"/>
      <c r="J142" s="1450"/>
      <c r="K142" s="1299"/>
      <c r="L142" s="1164"/>
      <c r="M142" s="1381">
        <v>2444.8000000000002</v>
      </c>
      <c r="N142" s="282">
        <v>3667.2</v>
      </c>
      <c r="O142" s="2010" t="s">
        <v>280</v>
      </c>
      <c r="P142" s="1771"/>
      <c r="Q142" s="1772">
        <v>30</v>
      </c>
      <c r="R142" s="1773">
        <v>80</v>
      </c>
      <c r="T142" s="1435"/>
    </row>
    <row r="143" spans="1:21" x14ac:dyDescent="0.2">
      <c r="A143" s="3455"/>
      <c r="B143" s="3457"/>
      <c r="C143" s="3619"/>
      <c r="D143" s="3366"/>
      <c r="E143" s="1896"/>
      <c r="F143" s="1769"/>
      <c r="G143" s="1788" t="s">
        <v>18</v>
      </c>
      <c r="H143" s="1897">
        <f>SUM(H140:H142)</f>
        <v>112.6</v>
      </c>
      <c r="I143" s="1372">
        <f>SUM(I140:I142)</f>
        <v>112.6</v>
      </c>
      <c r="J143" s="1443"/>
      <c r="K143" s="1789"/>
      <c r="L143" s="1444">
        <f>SUM(L140:L142)</f>
        <v>112.6</v>
      </c>
      <c r="M143" s="1897">
        <f>SUM(M140:M142)</f>
        <v>2876.2000000000003</v>
      </c>
      <c r="N143" s="1445">
        <f>SUM(N140:N142)</f>
        <v>4314.3999999999996</v>
      </c>
      <c r="O143" s="3610"/>
      <c r="P143" s="2027"/>
      <c r="Q143" s="288"/>
      <c r="R143" s="289"/>
    </row>
    <row r="144" spans="1:21" ht="12.75" thickBot="1" x14ac:dyDescent="0.25">
      <c r="A144" s="2038"/>
      <c r="B144" s="2039"/>
      <c r="C144" s="2071"/>
      <c r="D144" s="3367"/>
      <c r="E144" s="3612" t="s">
        <v>227</v>
      </c>
      <c r="F144" s="3612"/>
      <c r="G144" s="3613"/>
      <c r="H144" s="1982">
        <f>H143+H139+H135</f>
        <v>566.29999999999995</v>
      </c>
      <c r="I144" s="360">
        <f t="shared" ref="I144:N144" si="11">I143+I139+I135</f>
        <v>566.29999999999995</v>
      </c>
      <c r="J144" s="363">
        <f t="shared" si="11"/>
        <v>0</v>
      </c>
      <c r="K144" s="363">
        <f t="shared" si="11"/>
        <v>0</v>
      </c>
      <c r="L144" s="433">
        <f t="shared" si="11"/>
        <v>566.29999999999995</v>
      </c>
      <c r="M144" s="367">
        <f t="shared" si="11"/>
        <v>5450.1</v>
      </c>
      <c r="N144" s="382">
        <f t="shared" si="11"/>
        <v>8175.1999999999989</v>
      </c>
      <c r="O144" s="3611"/>
      <c r="P144" s="1890"/>
      <c r="Q144" s="1891"/>
      <c r="R144" s="1892"/>
    </row>
    <row r="145" spans="1:22" ht="39" customHeight="1" x14ac:dyDescent="0.2">
      <c r="A145" s="1344" t="s">
        <v>13</v>
      </c>
      <c r="B145" s="2044" t="s">
        <v>24</v>
      </c>
      <c r="C145" s="1602" t="s">
        <v>19</v>
      </c>
      <c r="D145" s="1753" t="s">
        <v>97</v>
      </c>
      <c r="E145" s="1686" t="s">
        <v>274</v>
      </c>
      <c r="F145" s="2070" t="s">
        <v>26</v>
      </c>
      <c r="G145" s="767"/>
      <c r="H145" s="263"/>
      <c r="I145" s="1937"/>
      <c r="J145" s="1901"/>
      <c r="K145" s="1901"/>
      <c r="L145" s="1902"/>
      <c r="M145" s="692"/>
      <c r="N145" s="693"/>
      <c r="O145" s="1193"/>
      <c r="P145" s="2022"/>
      <c r="Q145" s="2020"/>
      <c r="R145" s="2021"/>
    </row>
    <row r="146" spans="1:22" ht="24" x14ac:dyDescent="0.2">
      <c r="A146" s="1352"/>
      <c r="B146" s="2039"/>
      <c r="C146" s="2033"/>
      <c r="D146" s="2034" t="s">
        <v>73</v>
      </c>
      <c r="E146" s="1686"/>
      <c r="F146" s="2035"/>
      <c r="G146" s="253" t="s">
        <v>32</v>
      </c>
      <c r="H146" s="1777">
        <v>2900</v>
      </c>
      <c r="I146" s="1367">
        <f>J146+L146</f>
        <v>2900</v>
      </c>
      <c r="J146" s="1903">
        <v>2700</v>
      </c>
      <c r="K146" s="1903"/>
      <c r="L146" s="1904">
        <v>200</v>
      </c>
      <c r="M146" s="66">
        <v>2900</v>
      </c>
      <c r="N146" s="66">
        <v>2900</v>
      </c>
      <c r="O146" s="1905" t="s">
        <v>220</v>
      </c>
      <c r="P146" s="560">
        <v>30</v>
      </c>
      <c r="Q146" s="2016">
        <v>25</v>
      </c>
      <c r="R146" s="2018">
        <v>20</v>
      </c>
      <c r="S146" s="338"/>
      <c r="T146" s="338"/>
      <c r="U146" s="338"/>
      <c r="V146" s="338"/>
    </row>
    <row r="147" spans="1:22" ht="24" x14ac:dyDescent="0.2">
      <c r="A147" s="1352"/>
      <c r="B147" s="2039"/>
      <c r="C147" s="2033"/>
      <c r="D147" s="2034" t="s">
        <v>74</v>
      </c>
      <c r="E147" s="1906"/>
      <c r="F147" s="2035"/>
      <c r="G147" s="253"/>
      <c r="H147" s="1777"/>
      <c r="I147" s="1367"/>
      <c r="J147" s="1903"/>
      <c r="K147" s="1903"/>
      <c r="L147" s="1904"/>
      <c r="M147" s="66"/>
      <c r="N147" s="66"/>
      <c r="O147" s="1905" t="s">
        <v>79</v>
      </c>
      <c r="P147" s="560">
        <v>40</v>
      </c>
      <c r="Q147" s="2016">
        <v>40</v>
      </c>
      <c r="R147" s="2018">
        <v>39</v>
      </c>
    </row>
    <row r="148" spans="1:22" ht="48" x14ac:dyDescent="0.2">
      <c r="A148" s="1352"/>
      <c r="B148" s="2039"/>
      <c r="C148" s="2033"/>
      <c r="D148" s="2034" t="s">
        <v>75</v>
      </c>
      <c r="E148" s="1686"/>
      <c r="F148" s="2035"/>
      <c r="G148" s="253"/>
      <c r="H148" s="1777"/>
      <c r="I148" s="1938"/>
      <c r="J148" s="1907"/>
      <c r="K148" s="1907"/>
      <c r="L148" s="1908"/>
      <c r="M148" s="66"/>
      <c r="N148" s="66"/>
      <c r="O148" s="1905" t="s">
        <v>170</v>
      </c>
      <c r="P148" s="560">
        <v>100</v>
      </c>
      <c r="Q148" s="2016">
        <v>110</v>
      </c>
      <c r="R148" s="2018">
        <v>115</v>
      </c>
    </row>
    <row r="149" spans="1:22" ht="36" x14ac:dyDescent="0.2">
      <c r="A149" s="1352"/>
      <c r="B149" s="2039"/>
      <c r="C149" s="2033"/>
      <c r="D149" s="2034" t="s">
        <v>76</v>
      </c>
      <c r="E149" s="1453"/>
      <c r="F149" s="2035"/>
      <c r="G149" s="253"/>
      <c r="H149" s="1777"/>
      <c r="I149" s="1367"/>
      <c r="J149" s="1903"/>
      <c r="K149" s="1903"/>
      <c r="L149" s="1904"/>
      <c r="M149" s="66"/>
      <c r="N149" s="66"/>
      <c r="O149" s="1905" t="s">
        <v>171</v>
      </c>
      <c r="P149" s="560">
        <v>60</v>
      </c>
      <c r="Q149" s="2016">
        <v>50</v>
      </c>
      <c r="R149" s="2018">
        <v>40</v>
      </c>
    </row>
    <row r="150" spans="1:22" ht="24" x14ac:dyDescent="0.2">
      <c r="A150" s="1352"/>
      <c r="B150" s="2039"/>
      <c r="C150" s="3443"/>
      <c r="D150" s="2075" t="s">
        <v>77</v>
      </c>
      <c r="E150" s="1453"/>
      <c r="F150" s="2035"/>
      <c r="G150" s="203"/>
      <c r="H150" s="1556"/>
      <c r="I150" s="1660"/>
      <c r="J150" s="1524"/>
      <c r="K150" s="1524"/>
      <c r="L150" s="1525"/>
      <c r="M150" s="72"/>
      <c r="N150" s="72"/>
      <c r="O150" s="1752" t="s">
        <v>125</v>
      </c>
      <c r="P150" s="1939">
        <v>84</v>
      </c>
      <c r="Q150" s="2008">
        <v>85</v>
      </c>
      <c r="R150" s="2005">
        <v>86</v>
      </c>
    </row>
    <row r="151" spans="1:22" x14ac:dyDescent="0.2">
      <c r="A151" s="1352"/>
      <c r="B151" s="2039"/>
      <c r="C151" s="3443"/>
      <c r="D151" s="3345" t="s">
        <v>78</v>
      </c>
      <c r="E151" s="1453"/>
      <c r="F151" s="3446"/>
      <c r="G151" s="283" t="s">
        <v>21</v>
      </c>
      <c r="H151" s="1776">
        <v>19</v>
      </c>
      <c r="I151" s="385">
        <v>19</v>
      </c>
      <c r="J151" s="167">
        <v>19</v>
      </c>
      <c r="K151" s="2007"/>
      <c r="L151" s="295"/>
      <c r="M151" s="1547">
        <v>19</v>
      </c>
      <c r="N151" s="1547">
        <v>19</v>
      </c>
      <c r="O151" s="3344" t="s">
        <v>149</v>
      </c>
      <c r="P151" s="1682">
        <v>12</v>
      </c>
      <c r="Q151" s="2009">
        <v>12</v>
      </c>
      <c r="R151" s="2006">
        <v>12</v>
      </c>
    </row>
    <row r="152" spans="1:22" x14ac:dyDescent="0.2">
      <c r="A152" s="1455"/>
      <c r="B152" s="2039"/>
      <c r="C152" s="3443"/>
      <c r="D152" s="3296"/>
      <c r="E152" s="1453"/>
      <c r="F152" s="3446"/>
      <c r="G152" s="253"/>
      <c r="H152" s="1777"/>
      <c r="I152" s="357"/>
      <c r="J152" s="150"/>
      <c r="K152" s="158"/>
      <c r="L152" s="331"/>
      <c r="M152" s="262"/>
      <c r="N152" s="262"/>
      <c r="O152" s="2809"/>
      <c r="P152" s="1184"/>
      <c r="Q152" s="1185"/>
      <c r="R152" s="1186"/>
    </row>
    <row r="153" spans="1:22" x14ac:dyDescent="0.2">
      <c r="A153" s="1949"/>
      <c r="B153" s="1735"/>
      <c r="C153" s="3614"/>
      <c r="D153" s="3615"/>
      <c r="E153" s="1950"/>
      <c r="F153" s="3616"/>
      <c r="G153" s="1636" t="s">
        <v>18</v>
      </c>
      <c r="H153" s="1642">
        <f>SUM(H146:H152)</f>
        <v>2919</v>
      </c>
      <c r="I153" s="1638">
        <f>SUM(I146:I152)</f>
        <v>2919</v>
      </c>
      <c r="J153" s="1639">
        <f>SUM(J146:J152)</f>
        <v>2719</v>
      </c>
      <c r="K153" s="1639">
        <f t="shared" ref="K153" si="12">SUM(K146:K152)</f>
        <v>0</v>
      </c>
      <c r="L153" s="1640">
        <f>SUM(L146:L152)</f>
        <v>200</v>
      </c>
      <c r="M153" s="1648">
        <f>SUM(M146:M152)</f>
        <v>2919</v>
      </c>
      <c r="N153" s="1639">
        <f>SUM(N146:N152)</f>
        <v>2919</v>
      </c>
      <c r="O153" s="3617"/>
      <c r="P153" s="1951"/>
      <c r="Q153" s="1952"/>
      <c r="R153" s="1953"/>
      <c r="T153" s="1435"/>
    </row>
    <row r="154" spans="1:22" ht="36" x14ac:dyDescent="0.2">
      <c r="A154" s="1352" t="s">
        <v>13</v>
      </c>
      <c r="B154" s="2039" t="s">
        <v>24</v>
      </c>
      <c r="C154" s="3449" t="s">
        <v>22</v>
      </c>
      <c r="D154" s="1947" t="s">
        <v>80</v>
      </c>
      <c r="E154" s="1686"/>
      <c r="F154" s="2025"/>
      <c r="G154" s="203"/>
      <c r="H154" s="1556"/>
      <c r="I154" s="1660"/>
      <c r="J154" s="1524"/>
      <c r="K154" s="1524"/>
      <c r="L154" s="1948"/>
      <c r="M154" s="72"/>
      <c r="N154" s="72"/>
      <c r="O154" s="1752"/>
      <c r="P154" s="1939"/>
      <c r="Q154" s="2008"/>
      <c r="R154" s="2005"/>
    </row>
    <row r="155" spans="1:22" x14ac:dyDescent="0.2">
      <c r="A155" s="1455"/>
      <c r="B155" s="2039"/>
      <c r="C155" s="3449"/>
      <c r="D155" s="3289" t="s">
        <v>81</v>
      </c>
      <c r="E155" s="1686"/>
      <c r="F155" s="325" t="s">
        <v>53</v>
      </c>
      <c r="G155" s="283" t="s">
        <v>21</v>
      </c>
      <c r="H155" s="1776">
        <v>619</v>
      </c>
      <c r="I155" s="385">
        <f>J155+L155</f>
        <v>619</v>
      </c>
      <c r="J155" s="153">
        <v>19</v>
      </c>
      <c r="K155" s="208"/>
      <c r="L155" s="1390">
        <v>600</v>
      </c>
      <c r="M155" s="262"/>
      <c r="N155" s="262"/>
      <c r="O155" s="503"/>
      <c r="P155" s="1588"/>
      <c r="Q155" s="1589"/>
      <c r="R155" s="1590"/>
    </row>
    <row r="156" spans="1:22" ht="12.75" thickBot="1" x14ac:dyDescent="0.25">
      <c r="A156" s="1457"/>
      <c r="B156" s="2060"/>
      <c r="C156" s="3450"/>
      <c r="D156" s="3290"/>
      <c r="E156" s="1687"/>
      <c r="F156" s="1458"/>
      <c r="G156" s="1214" t="s">
        <v>18</v>
      </c>
      <c r="H156" s="367">
        <f>SUM(H155)</f>
        <v>619</v>
      </c>
      <c r="I156" s="367">
        <f t="shared" ref="I156:L156" si="13">SUM(I155:I155)</f>
        <v>619</v>
      </c>
      <c r="J156" s="362">
        <f t="shared" si="13"/>
        <v>19</v>
      </c>
      <c r="K156" s="361">
        <f t="shared" si="13"/>
        <v>0</v>
      </c>
      <c r="L156" s="362">
        <f t="shared" si="13"/>
        <v>600</v>
      </c>
      <c r="M156" s="360"/>
      <c r="N156" s="360"/>
      <c r="O156" s="42"/>
      <c r="P156" s="296"/>
      <c r="Q156" s="297"/>
      <c r="R156" s="298"/>
    </row>
    <row r="157" spans="1:22" s="1187" customFormat="1" ht="12.75" thickBot="1" x14ac:dyDescent="0.3">
      <c r="A157" s="1190" t="s">
        <v>13</v>
      </c>
      <c r="B157" s="1191" t="s">
        <v>24</v>
      </c>
      <c r="C157" s="3358" t="s">
        <v>30</v>
      </c>
      <c r="D157" s="3358"/>
      <c r="E157" s="3358"/>
      <c r="F157" s="3358"/>
      <c r="G157" s="3358"/>
      <c r="H157" s="1555">
        <f>H156+H153+H144</f>
        <v>4104.3</v>
      </c>
      <c r="I157" s="121">
        <f t="shared" ref="I157:N157" si="14">I156+I153+I144</f>
        <v>4104.3</v>
      </c>
      <c r="J157" s="123">
        <f t="shared" si="14"/>
        <v>2738</v>
      </c>
      <c r="K157" s="122">
        <f t="shared" si="14"/>
        <v>0</v>
      </c>
      <c r="L157" s="1535">
        <f t="shared" si="14"/>
        <v>1366.3</v>
      </c>
      <c r="M157" s="121">
        <f t="shared" si="14"/>
        <v>8369.1</v>
      </c>
      <c r="N157" s="121">
        <f t="shared" si="14"/>
        <v>11094.199999999999</v>
      </c>
      <c r="O157" s="3438"/>
      <c r="P157" s="3439"/>
      <c r="Q157" s="3439"/>
      <c r="R157" s="3440"/>
    </row>
    <row r="158" spans="1:22" ht="12.75" thickBot="1" x14ac:dyDescent="0.25">
      <c r="A158" s="2059" t="s">
        <v>13</v>
      </c>
      <c r="B158" s="1459"/>
      <c r="C158" s="3430" t="s">
        <v>44</v>
      </c>
      <c r="D158" s="3430"/>
      <c r="E158" s="3430"/>
      <c r="F158" s="3430"/>
      <c r="G158" s="3430"/>
      <c r="H158" s="2078" t="e">
        <f t="shared" ref="H158:N158" si="15">H157+H130+H98+H33</f>
        <v>#REF!</v>
      </c>
      <c r="I158" s="1460">
        <f t="shared" si="15"/>
        <v>105331.81</v>
      </c>
      <c r="J158" s="1461">
        <f t="shared" si="15"/>
        <v>101377.12</v>
      </c>
      <c r="K158" s="1462">
        <f t="shared" si="15"/>
        <v>10462.48</v>
      </c>
      <c r="L158" s="1536">
        <f t="shared" si="15"/>
        <v>3535.89</v>
      </c>
      <c r="M158" s="1460">
        <f t="shared" si="15"/>
        <v>106928.40000000001</v>
      </c>
      <c r="N158" s="1460">
        <f t="shared" si="15"/>
        <v>108571.00000000001</v>
      </c>
      <c r="O158" s="3431"/>
      <c r="P158" s="3432"/>
      <c r="Q158" s="3432"/>
      <c r="R158" s="3433"/>
    </row>
    <row r="159" spans="1:22" s="1187" customFormat="1" ht="12.75" thickBot="1" x14ac:dyDescent="0.3">
      <c r="A159" s="1464" t="s">
        <v>45</v>
      </c>
      <c r="B159" s="3434" t="s">
        <v>46</v>
      </c>
      <c r="C159" s="3435"/>
      <c r="D159" s="3435"/>
      <c r="E159" s="3435"/>
      <c r="F159" s="3435"/>
      <c r="G159" s="3435"/>
      <c r="H159" s="2079" t="e">
        <f>H158</f>
        <v>#REF!</v>
      </c>
      <c r="I159" s="130">
        <f t="shared" ref="I159:N159" si="16">I158</f>
        <v>105331.81</v>
      </c>
      <c r="J159" s="132">
        <f t="shared" si="16"/>
        <v>101377.12</v>
      </c>
      <c r="K159" s="131">
        <f t="shared" si="16"/>
        <v>10462.48</v>
      </c>
      <c r="L159" s="1537">
        <f t="shared" si="16"/>
        <v>3535.89</v>
      </c>
      <c r="M159" s="130">
        <f t="shared" si="16"/>
        <v>106928.40000000001</v>
      </c>
      <c r="N159" s="130">
        <f t="shared" si="16"/>
        <v>108571.00000000001</v>
      </c>
      <c r="O159" s="2793"/>
      <c r="P159" s="2794"/>
      <c r="Q159" s="2794"/>
      <c r="R159" s="2795"/>
      <c r="S159" s="1208"/>
    </row>
    <row r="160" spans="1:22" s="2276" customFormat="1" x14ac:dyDescent="0.25">
      <c r="A160" s="2270"/>
      <c r="B160" s="2271"/>
      <c r="C160" s="2271"/>
      <c r="D160" s="2271"/>
      <c r="E160" s="2271"/>
      <c r="F160" s="2271"/>
      <c r="G160" s="2271"/>
      <c r="H160" s="2272"/>
      <c r="I160" s="2273"/>
      <c r="J160" s="2273"/>
      <c r="K160" s="2273"/>
      <c r="L160" s="2273"/>
      <c r="M160" s="2273"/>
      <c r="N160" s="2273"/>
      <c r="O160" s="2274"/>
      <c r="P160" s="2274"/>
      <c r="Q160" s="2274"/>
      <c r="R160" s="2274"/>
      <c r="S160" s="2275"/>
    </row>
    <row r="161" spans="1:18" s="1435" customFormat="1" ht="12.75" thickBot="1" x14ac:dyDescent="0.25">
      <c r="B161" s="2032"/>
      <c r="C161" s="246"/>
      <c r="D161" s="3420" t="s">
        <v>47</v>
      </c>
      <c r="E161" s="3420"/>
      <c r="F161" s="3420"/>
      <c r="G161" s="3420"/>
      <c r="H161" s="3420"/>
      <c r="I161" s="3420"/>
      <c r="J161" s="3420"/>
      <c r="K161" s="3420"/>
      <c r="L161" s="3420"/>
      <c r="M161" s="3420"/>
      <c r="N161" s="3420"/>
      <c r="O161" s="246"/>
      <c r="P161" s="246"/>
      <c r="Q161" s="246"/>
      <c r="R161" s="246"/>
    </row>
    <row r="162" spans="1:18" s="1187" customFormat="1" ht="36.75" thickBot="1" x14ac:dyDescent="0.3">
      <c r="A162" s="1468"/>
      <c r="B162" s="1898"/>
      <c r="C162" s="3421" t="s">
        <v>48</v>
      </c>
      <c r="D162" s="3422"/>
      <c r="E162" s="3422"/>
      <c r="F162" s="3422"/>
      <c r="G162" s="3423"/>
      <c r="H162" s="1992" t="s">
        <v>312</v>
      </c>
      <c r="I162" s="3607" t="s">
        <v>312</v>
      </c>
      <c r="J162" s="3608"/>
      <c r="K162" s="3608"/>
      <c r="L162" s="3609"/>
      <c r="M162" s="1983" t="s">
        <v>313</v>
      </c>
      <c r="N162" s="1983" t="s">
        <v>316</v>
      </c>
      <c r="O162" s="1997"/>
      <c r="P162" s="2786"/>
      <c r="Q162" s="2786"/>
      <c r="R162" s="2786"/>
    </row>
    <row r="163" spans="1:18" s="1187" customFormat="1" ht="12.75" thickBot="1" x14ac:dyDescent="0.3">
      <c r="A163" s="1468"/>
      <c r="B163" s="1899"/>
      <c r="C163" s="3375" t="s">
        <v>49</v>
      </c>
      <c r="D163" s="3376"/>
      <c r="E163" s="3376"/>
      <c r="F163" s="3376"/>
      <c r="G163" s="3377"/>
      <c r="H163" s="1987"/>
      <c r="I163" s="3378">
        <f>SUM(I164:L168)</f>
        <v>54471</v>
      </c>
      <c r="J163" s="3379"/>
      <c r="K163" s="3379"/>
      <c r="L163" s="3380"/>
      <c r="M163" s="1592">
        <f>SUM(M164:M167)</f>
        <v>54949.499999999993</v>
      </c>
      <c r="N163" s="1592">
        <f>SUM(N164:N167)</f>
        <v>54301.499999999993</v>
      </c>
      <c r="O163" s="1999"/>
      <c r="P163" s="2830"/>
      <c r="Q163" s="2830"/>
      <c r="R163" s="2830"/>
    </row>
    <row r="164" spans="1:18" s="1187" customFormat="1" x14ac:dyDescent="0.25">
      <c r="A164" s="1468"/>
      <c r="B164" s="1900"/>
      <c r="C164" s="3405" t="s">
        <v>260</v>
      </c>
      <c r="D164" s="3406"/>
      <c r="E164" s="3406"/>
      <c r="F164" s="3406"/>
      <c r="G164" s="3407"/>
      <c r="H164" s="1988"/>
      <c r="I164" s="3417">
        <f>SUMIF(G12:G155,"sb",I12:I155)</f>
        <v>36274.199999999997</v>
      </c>
      <c r="J164" s="3418"/>
      <c r="K164" s="3418"/>
      <c r="L164" s="3419"/>
      <c r="M164" s="1593">
        <f>SUMIF(G12:G155,"sb",M12:M155)</f>
        <v>37286.199999999997</v>
      </c>
      <c r="N164" s="1593">
        <f>SUMIF(G12:G155,"sb",N12:N155)</f>
        <v>36628.199999999997</v>
      </c>
      <c r="O164" s="2000"/>
      <c r="P164" s="2833"/>
      <c r="Q164" s="2833"/>
      <c r="R164" s="2833"/>
    </row>
    <row r="165" spans="1:18" s="1187" customFormat="1" x14ac:dyDescent="0.25">
      <c r="A165" s="1468"/>
      <c r="B165" s="1900"/>
      <c r="C165" s="3393" t="s">
        <v>261</v>
      </c>
      <c r="D165" s="3394"/>
      <c r="E165" s="3394"/>
      <c r="F165" s="3394"/>
      <c r="G165" s="3395"/>
      <c r="H165" s="1989"/>
      <c r="I165" s="3396">
        <f>SUMIF(G12:G153,"sb(sp)",I12:I153)</f>
        <v>4589.5</v>
      </c>
      <c r="J165" s="3397"/>
      <c r="K165" s="3397"/>
      <c r="L165" s="3398"/>
      <c r="M165" s="1594">
        <f>SUMIF(G12:G153,"sb(sp)",M12:M153)</f>
        <v>4720.2</v>
      </c>
      <c r="N165" s="1594">
        <f>SUMIF(G12:G155,"sb(sp)",N12:N155)</f>
        <v>4730.2</v>
      </c>
      <c r="O165" s="2000"/>
      <c r="P165" s="2833"/>
      <c r="Q165" s="2833"/>
      <c r="R165" s="2833"/>
    </row>
    <row r="166" spans="1:18" s="1187" customFormat="1" x14ac:dyDescent="0.25">
      <c r="A166" s="1468"/>
      <c r="B166" s="1900"/>
      <c r="C166" s="3393" t="s">
        <v>262</v>
      </c>
      <c r="D166" s="3394"/>
      <c r="E166" s="3394"/>
      <c r="F166" s="3394"/>
      <c r="G166" s="3395"/>
      <c r="H166" s="1989"/>
      <c r="I166" s="3396">
        <f>SUMIF(G12:G155,"sb(vb)",I12:I155)</f>
        <v>13303.6</v>
      </c>
      <c r="J166" s="3397"/>
      <c r="K166" s="3397"/>
      <c r="L166" s="3398"/>
      <c r="M166" s="1594">
        <f>SUMIF(G12:G155,G12,M12:M155)</f>
        <v>12943.1</v>
      </c>
      <c r="N166" s="1594">
        <f>SUMIF(G12:G155,G12,N12:N155)</f>
        <v>12943.1</v>
      </c>
      <c r="O166" s="2000"/>
      <c r="P166" s="2833"/>
      <c r="Q166" s="2833"/>
      <c r="R166" s="2833"/>
    </row>
    <row r="167" spans="1:18" s="1187" customFormat="1" x14ac:dyDescent="0.25">
      <c r="A167" s="1468"/>
      <c r="B167" s="1900"/>
      <c r="C167" s="2809" t="s">
        <v>263</v>
      </c>
      <c r="D167" s="3399"/>
      <c r="E167" s="3399"/>
      <c r="F167" s="3399"/>
      <c r="G167" s="3400"/>
      <c r="H167" s="1134"/>
      <c r="I167" s="3401">
        <f>SUMIF(G12:G155,"sb(p)",I12:I155)</f>
        <v>137.4</v>
      </c>
      <c r="J167" s="3402"/>
      <c r="K167" s="3402"/>
      <c r="L167" s="3403"/>
      <c r="M167" s="1596">
        <f>SUMIF(G12:G153,G101,M12:M153)</f>
        <v>0</v>
      </c>
      <c r="N167" s="1596">
        <f>SUMIF(G12:G155,#REF!,N12:N155)</f>
        <v>0</v>
      </c>
      <c r="O167" s="2000"/>
      <c r="P167" s="2833"/>
      <c r="Q167" s="2833"/>
      <c r="R167" s="2833"/>
    </row>
    <row r="168" spans="1:18" s="1187" customFormat="1" ht="12.75" thickBot="1" x14ac:dyDescent="0.3">
      <c r="A168" s="1468"/>
      <c r="B168" s="1900"/>
      <c r="C168" s="3387" t="s">
        <v>264</v>
      </c>
      <c r="D168" s="3388"/>
      <c r="E168" s="3388"/>
      <c r="F168" s="3388"/>
      <c r="G168" s="3389"/>
      <c r="H168" s="1990"/>
      <c r="I168" s="3390">
        <f>SUMIF(G12:G155,"sb(l)",I12:I155)</f>
        <v>166.3</v>
      </c>
      <c r="J168" s="3391"/>
      <c r="K168" s="3391"/>
      <c r="L168" s="3392"/>
      <c r="M168" s="1597"/>
      <c r="N168" s="1597"/>
      <c r="O168" s="2000"/>
      <c r="P168" s="2000"/>
      <c r="Q168" s="2000"/>
      <c r="R168" s="2000"/>
    </row>
    <row r="169" spans="1:18" s="1187" customFormat="1" ht="12.75" thickBot="1" x14ac:dyDescent="0.3">
      <c r="A169" s="1468"/>
      <c r="B169" s="1899"/>
      <c r="C169" s="3375" t="s">
        <v>50</v>
      </c>
      <c r="D169" s="3376"/>
      <c r="E169" s="3376"/>
      <c r="F169" s="3376"/>
      <c r="G169" s="3377"/>
      <c r="H169" s="1987"/>
      <c r="I169" s="3378">
        <f>SUM(I170:L172)</f>
        <v>50860.81</v>
      </c>
      <c r="J169" s="3379"/>
      <c r="K169" s="3379"/>
      <c r="L169" s="3380"/>
      <c r="M169" s="1592">
        <f>SUM(M170:M172)</f>
        <v>51978.899999999994</v>
      </c>
      <c r="N169" s="1592">
        <f>N170+N171+N172</f>
        <v>54269.499999999993</v>
      </c>
      <c r="O169" s="1999"/>
      <c r="P169" s="2830"/>
      <c r="Q169" s="2830"/>
      <c r="R169" s="2830"/>
    </row>
    <row r="170" spans="1:18" s="1187" customFormat="1" x14ac:dyDescent="0.25">
      <c r="A170" s="1468"/>
      <c r="B170" s="1900"/>
      <c r="C170" s="3381" t="s">
        <v>265</v>
      </c>
      <c r="D170" s="3382"/>
      <c r="E170" s="3382"/>
      <c r="F170" s="3382"/>
      <c r="G170" s="3383"/>
      <c r="H170" s="63"/>
      <c r="I170" s="3384">
        <f>SUMIF(G12:G155,"es",I12:I155)</f>
        <v>2431.65</v>
      </c>
      <c r="J170" s="3385"/>
      <c r="K170" s="3385"/>
      <c r="L170" s="3386"/>
      <c r="M170" s="2026">
        <f>SUMIF(G12:G153,"es",M12:M153)</f>
        <v>4677.6000000000004</v>
      </c>
      <c r="N170" s="2026">
        <f>SUMIF(G12:G153,"es",N12:N153)</f>
        <v>6968.2</v>
      </c>
      <c r="O170" s="2000"/>
      <c r="P170" s="2833"/>
      <c r="Q170" s="2833"/>
      <c r="R170" s="2833"/>
    </row>
    <row r="171" spans="1:18" s="1187" customFormat="1" x14ac:dyDescent="0.25">
      <c r="A171" s="1468"/>
      <c r="B171" s="1900"/>
      <c r="C171" s="3393" t="s">
        <v>266</v>
      </c>
      <c r="D171" s="3394"/>
      <c r="E171" s="3394"/>
      <c r="F171" s="3394"/>
      <c r="G171" s="3395"/>
      <c r="H171" s="1989"/>
      <c r="I171" s="3396">
        <f>SUMIF(G12:G155,"lrvb",I12:I155)</f>
        <v>48341.06</v>
      </c>
      <c r="J171" s="3397"/>
      <c r="K171" s="3397"/>
      <c r="L171" s="3398"/>
      <c r="M171" s="1594">
        <f>SUMIF(G12:G153,"lrvb",M12:M153)</f>
        <v>47297.299999999996</v>
      </c>
      <c r="N171" s="2031">
        <f>SUMIF(G12:G153,"lrvb",N12:N153)</f>
        <v>47297.299999999996</v>
      </c>
      <c r="O171" s="56"/>
      <c r="P171" s="2833"/>
      <c r="Q171" s="2833"/>
      <c r="R171" s="2833"/>
    </row>
    <row r="172" spans="1:18" s="1187" customFormat="1" ht="12.75" thickBot="1" x14ac:dyDescent="0.3">
      <c r="A172" s="1468"/>
      <c r="B172" s="1900"/>
      <c r="C172" s="3405" t="s">
        <v>267</v>
      </c>
      <c r="D172" s="3406"/>
      <c r="E172" s="3406"/>
      <c r="F172" s="3406"/>
      <c r="G172" s="3407"/>
      <c r="H172" s="1988"/>
      <c r="I172" s="3408">
        <f>SUMIF(G12:G155,"kt",I12:I155)</f>
        <v>88.1</v>
      </c>
      <c r="J172" s="3409"/>
      <c r="K172" s="3409"/>
      <c r="L172" s="3410"/>
      <c r="M172" s="2026">
        <f>SUMIF(G12:G153,"kt",M12:M153)</f>
        <v>4</v>
      </c>
      <c r="N172" s="2026">
        <f>SUMIF(G12:G153,"kt",N12:N153)</f>
        <v>4</v>
      </c>
      <c r="O172" s="56"/>
      <c r="P172" s="2833"/>
      <c r="Q172" s="2833"/>
      <c r="R172" s="2833"/>
    </row>
    <row r="173" spans="1:18" s="1187" customFormat="1" ht="12.75" thickBot="1" x14ac:dyDescent="0.3">
      <c r="A173" s="1468"/>
      <c r="B173" s="1899"/>
      <c r="C173" s="3411" t="s">
        <v>51</v>
      </c>
      <c r="D173" s="3412"/>
      <c r="E173" s="3412"/>
      <c r="F173" s="3412"/>
      <c r="G173" s="3413"/>
      <c r="H173" s="1991"/>
      <c r="I173" s="3414">
        <f>I169+I163</f>
        <v>105331.81</v>
      </c>
      <c r="J173" s="3415"/>
      <c r="K173" s="3415"/>
      <c r="L173" s="3416"/>
      <c r="M173" s="1599">
        <f>M163+M169</f>
        <v>106928.4</v>
      </c>
      <c r="N173" s="1599">
        <f>N163+N169</f>
        <v>108570.99999999999</v>
      </c>
      <c r="O173" s="250"/>
      <c r="P173" s="2830"/>
      <c r="Q173" s="2830"/>
      <c r="R173" s="2830"/>
    </row>
    <row r="174" spans="1:18" x14ac:dyDescent="0.2">
      <c r="B174" s="1766"/>
      <c r="C174" s="1469"/>
      <c r="D174" s="1469"/>
      <c r="E174" s="1469"/>
      <c r="J174" s="338">
        <f>I173-I159</f>
        <v>0</v>
      </c>
    </row>
    <row r="179" spans="2:18" x14ac:dyDescent="0.2">
      <c r="B179" s="143"/>
      <c r="E179" s="143"/>
      <c r="F179" s="144"/>
      <c r="K179" s="1985"/>
      <c r="O179" s="143"/>
      <c r="P179" s="143"/>
      <c r="Q179" s="143"/>
      <c r="R179" s="143"/>
    </row>
  </sheetData>
  <mergeCells count="215">
    <mergeCell ref="G5:G7"/>
    <mergeCell ref="H5:H7"/>
    <mergeCell ref="I5:L7"/>
    <mergeCell ref="M5:M7"/>
    <mergeCell ref="N5:N7"/>
    <mergeCell ref="O5:R5"/>
    <mergeCell ref="O6:O7"/>
    <mergeCell ref="P6:R6"/>
    <mergeCell ref="A1:R1"/>
    <mergeCell ref="A2:R2"/>
    <mergeCell ref="A3:R3"/>
    <mergeCell ref="A4:R4"/>
    <mergeCell ref="A5:A7"/>
    <mergeCell ref="B5:B7"/>
    <mergeCell ref="C5:C7"/>
    <mergeCell ref="D5:D7"/>
    <mergeCell ref="E5:E7"/>
    <mergeCell ref="F5:F7"/>
    <mergeCell ref="D17:D18"/>
    <mergeCell ref="O19:O20"/>
    <mergeCell ref="D21:D22"/>
    <mergeCell ref="O21:O22"/>
    <mergeCell ref="P21:P22"/>
    <mergeCell ref="Q21:Q22"/>
    <mergeCell ref="A8:R8"/>
    <mergeCell ref="A9:R9"/>
    <mergeCell ref="B10:R10"/>
    <mergeCell ref="C11:R11"/>
    <mergeCell ref="D12:D15"/>
    <mergeCell ref="O13:O14"/>
    <mergeCell ref="A25:A26"/>
    <mergeCell ref="B25:B26"/>
    <mergeCell ref="C25:C26"/>
    <mergeCell ref="D25:D26"/>
    <mergeCell ref="E25:E26"/>
    <mergeCell ref="F25:F26"/>
    <mergeCell ref="R21:R22"/>
    <mergeCell ref="D23:D24"/>
    <mergeCell ref="O23:O24"/>
    <mergeCell ref="P23:P24"/>
    <mergeCell ref="Q23:Q24"/>
    <mergeCell ref="R23:R24"/>
    <mergeCell ref="D27:D28"/>
    <mergeCell ref="O27:O28"/>
    <mergeCell ref="P27:P28"/>
    <mergeCell ref="Q27:Q28"/>
    <mergeCell ref="R27:R28"/>
    <mergeCell ref="A29:A30"/>
    <mergeCell ref="B29:B30"/>
    <mergeCell ref="C29:C30"/>
    <mergeCell ref="O29:O30"/>
    <mergeCell ref="P29:P30"/>
    <mergeCell ref="T35:T41"/>
    <mergeCell ref="D42:D43"/>
    <mergeCell ref="D48:D49"/>
    <mergeCell ref="Q29:Q30"/>
    <mergeCell ref="R29:R30"/>
    <mergeCell ref="A31:A32"/>
    <mergeCell ref="B31:B32"/>
    <mergeCell ref="D31:D32"/>
    <mergeCell ref="C33:G33"/>
    <mergeCell ref="O33:R33"/>
    <mergeCell ref="D50:D51"/>
    <mergeCell ref="D52:D53"/>
    <mergeCell ref="D55:D56"/>
    <mergeCell ref="O55:O56"/>
    <mergeCell ref="P55:P56"/>
    <mergeCell ref="Q55:Q56"/>
    <mergeCell ref="C34:R34"/>
    <mergeCell ref="D35:D36"/>
    <mergeCell ref="O35:O37"/>
    <mergeCell ref="R55:R56"/>
    <mergeCell ref="D57:D59"/>
    <mergeCell ref="O60:O61"/>
    <mergeCell ref="O62:O63"/>
    <mergeCell ref="D64:D65"/>
    <mergeCell ref="O65:O66"/>
    <mergeCell ref="D70:D72"/>
    <mergeCell ref="O70:O71"/>
    <mergeCell ref="A73:A76"/>
    <mergeCell ref="B73:B76"/>
    <mergeCell ref="C73:C76"/>
    <mergeCell ref="E73:E76"/>
    <mergeCell ref="F73:F76"/>
    <mergeCell ref="A62:A63"/>
    <mergeCell ref="B62:B63"/>
    <mergeCell ref="C62:C63"/>
    <mergeCell ref="D62:D63"/>
    <mergeCell ref="E62:E63"/>
    <mergeCell ref="F62:F63"/>
    <mergeCell ref="Q77:Q78"/>
    <mergeCell ref="R77:R78"/>
    <mergeCell ref="A80:A81"/>
    <mergeCell ref="B80:B81"/>
    <mergeCell ref="D80:D83"/>
    <mergeCell ref="O80:O81"/>
    <mergeCell ref="O73:O76"/>
    <mergeCell ref="P73:P76"/>
    <mergeCell ref="Q73:Q76"/>
    <mergeCell ref="R73:R76"/>
    <mergeCell ref="D75:D76"/>
    <mergeCell ref="A77:A78"/>
    <mergeCell ref="B77:B78"/>
    <mergeCell ref="D77:D79"/>
    <mergeCell ref="O77:O78"/>
    <mergeCell ref="P77:P78"/>
    <mergeCell ref="A84:A85"/>
    <mergeCell ref="B84:B85"/>
    <mergeCell ref="D84:D86"/>
    <mergeCell ref="O84:O85"/>
    <mergeCell ref="A87:A88"/>
    <mergeCell ref="B87:B88"/>
    <mergeCell ref="D87:D91"/>
    <mergeCell ref="E87:E91"/>
    <mergeCell ref="F87:F91"/>
    <mergeCell ref="O87:O88"/>
    <mergeCell ref="Q93:Q94"/>
    <mergeCell ref="R93:R94"/>
    <mergeCell ref="D95:D97"/>
    <mergeCell ref="E95:E97"/>
    <mergeCell ref="F95:F97"/>
    <mergeCell ref="O96:O97"/>
    <mergeCell ref="O90:O91"/>
    <mergeCell ref="D92:D94"/>
    <mergeCell ref="E92:E94"/>
    <mergeCell ref="F92:F94"/>
    <mergeCell ref="O93:O94"/>
    <mergeCell ref="P93:P94"/>
    <mergeCell ref="D109:D112"/>
    <mergeCell ref="E112:G112"/>
    <mergeCell ref="D114:D117"/>
    <mergeCell ref="Q114:Q115"/>
    <mergeCell ref="R114:R115"/>
    <mergeCell ref="D118:D120"/>
    <mergeCell ref="O118:O120"/>
    <mergeCell ref="C98:G98"/>
    <mergeCell ref="O98:R98"/>
    <mergeCell ref="C99:R99"/>
    <mergeCell ref="D101:D104"/>
    <mergeCell ref="O101:O104"/>
    <mergeCell ref="D105:D108"/>
    <mergeCell ref="O105:O108"/>
    <mergeCell ref="P127:P129"/>
    <mergeCell ref="Q127:Q129"/>
    <mergeCell ref="R127:R129"/>
    <mergeCell ref="E129:G129"/>
    <mergeCell ref="C130:G130"/>
    <mergeCell ref="O130:R130"/>
    <mergeCell ref="D121:D123"/>
    <mergeCell ref="O121:O123"/>
    <mergeCell ref="D125:D126"/>
    <mergeCell ref="D127:D129"/>
    <mergeCell ref="E127:E128"/>
    <mergeCell ref="F127:F128"/>
    <mergeCell ref="O127:O129"/>
    <mergeCell ref="C131:R131"/>
    <mergeCell ref="A132:A143"/>
    <mergeCell ref="B132:B143"/>
    <mergeCell ref="C132:C143"/>
    <mergeCell ref="O133:O134"/>
    <mergeCell ref="D136:D139"/>
    <mergeCell ref="O136:O137"/>
    <mergeCell ref="E137:E140"/>
    <mergeCell ref="D140:D144"/>
    <mergeCell ref="O140:O141"/>
    <mergeCell ref="C154:C156"/>
    <mergeCell ref="D155:D156"/>
    <mergeCell ref="C157:G157"/>
    <mergeCell ref="O157:R157"/>
    <mergeCell ref="C158:G158"/>
    <mergeCell ref="O158:R158"/>
    <mergeCell ref="O143:O144"/>
    <mergeCell ref="E144:G144"/>
    <mergeCell ref="C150:C153"/>
    <mergeCell ref="D151:D153"/>
    <mergeCell ref="F151:F153"/>
    <mergeCell ref="O151:O153"/>
    <mergeCell ref="C163:G163"/>
    <mergeCell ref="I163:L163"/>
    <mergeCell ref="P163:R163"/>
    <mergeCell ref="C164:G164"/>
    <mergeCell ref="I164:L164"/>
    <mergeCell ref="P164:R164"/>
    <mergeCell ref="B159:G159"/>
    <mergeCell ref="O159:R159"/>
    <mergeCell ref="D161:N161"/>
    <mergeCell ref="C162:G162"/>
    <mergeCell ref="I162:L162"/>
    <mergeCell ref="P162:R162"/>
    <mergeCell ref="C167:G167"/>
    <mergeCell ref="I167:L167"/>
    <mergeCell ref="P167:R167"/>
    <mergeCell ref="C168:G168"/>
    <mergeCell ref="I168:L168"/>
    <mergeCell ref="C169:G169"/>
    <mergeCell ref="I169:L169"/>
    <mergeCell ref="P169:R169"/>
    <mergeCell ref="C165:G165"/>
    <mergeCell ref="I165:L165"/>
    <mergeCell ref="P165:R165"/>
    <mergeCell ref="C166:G166"/>
    <mergeCell ref="I166:L166"/>
    <mergeCell ref="P166:R166"/>
    <mergeCell ref="C172:G172"/>
    <mergeCell ref="I172:L172"/>
    <mergeCell ref="P172:R172"/>
    <mergeCell ref="C173:G173"/>
    <mergeCell ref="I173:L173"/>
    <mergeCell ref="P173:R173"/>
    <mergeCell ref="C170:G170"/>
    <mergeCell ref="I170:L170"/>
    <mergeCell ref="P170:R170"/>
    <mergeCell ref="C171:G171"/>
    <mergeCell ref="I171:L171"/>
    <mergeCell ref="P171:R171"/>
  </mergeCells>
  <printOptions horizontalCentered="1"/>
  <pageMargins left="0.78740157480314965" right="0.19685039370078741" top="0" bottom="0" header="0.31496062992125984" footer="0.31496062992125984"/>
  <pageSetup paperSize="9" scale="80" orientation="portrait" r:id="rId1"/>
  <rowBreaks count="1" manualBreakCount="1">
    <brk id="63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8</vt:i4>
      </vt:variant>
    </vt:vector>
  </HeadingPairs>
  <TitlesOfParts>
    <vt:vector size="14" baseType="lpstr">
      <vt:lpstr>SVP 2014-2016</vt:lpstr>
      <vt:lpstr>Asignavimų valdytojai</vt:lpstr>
      <vt:lpstr>Lyginamasis</vt:lpstr>
      <vt:lpstr>12 programa</vt:lpstr>
      <vt:lpstr>Aiškinamoji lentelė</vt:lpstr>
      <vt:lpstr>12 pr. Lt</vt:lpstr>
      <vt:lpstr>'12 pr. Lt'!Print_Area</vt:lpstr>
      <vt:lpstr>'12 programa'!Print_Area</vt:lpstr>
      <vt:lpstr>'Aiškinamoji lentelė'!Print_Area</vt:lpstr>
      <vt:lpstr>'SVP 2014-2016'!Print_Area</vt:lpstr>
      <vt:lpstr>'12 pr. Lt'!Print_Titles</vt:lpstr>
      <vt:lpstr>'12 programa'!Print_Titles</vt:lpstr>
      <vt:lpstr>'Aiškinamoji lentelė'!Print_Titles</vt:lpstr>
      <vt:lpstr>'SVP 2014-2016'!Print_Titles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Snieguole Kacerauskaite</dc:creator>
  <cp:lastModifiedBy>Snieguole Kacerauskaite</cp:lastModifiedBy>
  <cp:lastPrinted>2014-12-18T06:41:13Z</cp:lastPrinted>
  <dcterms:created xsi:type="dcterms:W3CDTF">2011-12-01T09:04:40Z</dcterms:created>
  <dcterms:modified xsi:type="dcterms:W3CDTF">2014-12-18T06:42:12Z</dcterms:modified>
</cp:coreProperties>
</file>