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75" windowWidth="15480" windowHeight="11520" firstSheet="1" activeTab="1"/>
  </bookViews>
  <sheets>
    <sheet name="2014-2016 m. SVP" sheetId="11" state="hidden" r:id="rId1"/>
    <sheet name="13 programa " sheetId="12" r:id="rId2"/>
    <sheet name="Aiškinamoji lentelė" sheetId="10" state="hidden" r:id="rId3"/>
    <sheet name="Lyginamasis" sheetId="9" state="hidden" r:id="rId4"/>
    <sheet name="Asignavimų valdytojų kodai" sheetId="8" state="hidden" r:id="rId5"/>
    <sheet name="13 pr. Lt" sheetId="13" state="hidden" r:id="rId6"/>
  </sheets>
  <definedNames>
    <definedName name="_xlnm.Print_Area" localSheetId="1">'13 programa '!$A$1:$Z$82</definedName>
    <definedName name="_xlnm.Print_Area" localSheetId="0">'2014-2016 m. SVP'!$A$1:$R$57</definedName>
    <definedName name="_xlnm.Print_Area" localSheetId="2">'Aiškinamoji lentelė'!$A$1:$AA$88</definedName>
    <definedName name="_xlnm.Print_Titles" localSheetId="1">'13 programa '!$5:$7</definedName>
    <definedName name="_xlnm.Print_Titles" localSheetId="0">'2014-2016 m. SVP'!$5:$7</definedName>
    <definedName name="_xlnm.Print_Titles" localSheetId="2">'Aiškinamoji lentelė'!$5:$7</definedName>
    <definedName name="_xlnm.Print_Titles" localSheetId="3">Lyginamasis!$5:$7</definedName>
  </definedNames>
  <calcPr calcId="145621"/>
</workbook>
</file>

<file path=xl/calcChain.xml><?xml version="1.0" encoding="utf-8"?>
<calcChain xmlns="http://schemas.openxmlformats.org/spreadsheetml/2006/main">
  <c r="L53" i="12" l="1"/>
  <c r="V13" i="12" l="1"/>
  <c r="V57" i="12"/>
  <c r="U57" i="12"/>
  <c r="V55" i="12"/>
  <c r="U55" i="12"/>
  <c r="V49" i="12"/>
  <c r="U49" i="12"/>
  <c r="U47" i="12"/>
  <c r="U48" i="12" s="1"/>
  <c r="V39" i="12"/>
  <c r="U39" i="12"/>
  <c r="V37" i="12"/>
  <c r="U37" i="12"/>
  <c r="V35" i="12"/>
  <c r="U35" i="12"/>
  <c r="V33" i="12"/>
  <c r="U33" i="12"/>
  <c r="V29" i="12"/>
  <c r="U29" i="12"/>
  <c r="V20" i="12"/>
  <c r="U20" i="12"/>
  <c r="V17" i="12"/>
  <c r="U17" i="12"/>
  <c r="U13" i="12"/>
  <c r="V12" i="12"/>
  <c r="U12" i="12"/>
  <c r="L48" i="12"/>
  <c r="L63" i="12"/>
  <c r="L61" i="12"/>
  <c r="L57" i="12"/>
  <c r="L55" i="12"/>
  <c r="L49" i="12"/>
  <c r="L47" i="12"/>
  <c r="L46" i="12"/>
  <c r="L44" i="12"/>
  <c r="L35" i="12"/>
  <c r="L33" i="12"/>
  <c r="L29" i="12"/>
  <c r="L24" i="12"/>
  <c r="L20" i="12"/>
  <c r="L17" i="12"/>
  <c r="L13" i="12"/>
  <c r="L12" i="12"/>
  <c r="L80" i="12"/>
  <c r="L79" i="12"/>
  <c r="L78" i="12"/>
  <c r="L76" i="12"/>
  <c r="L75" i="12"/>
  <c r="L74" i="12"/>
  <c r="L73" i="12"/>
  <c r="L72" i="12"/>
  <c r="L64" i="12"/>
  <c r="L62" i="12"/>
  <c r="L60" i="12"/>
  <c r="L56" i="12"/>
  <c r="L54" i="12"/>
  <c r="L52" i="12"/>
  <c r="L45" i="12"/>
  <c r="L36" i="12"/>
  <c r="L34" i="12"/>
  <c r="L26" i="12"/>
  <c r="L23" i="12"/>
  <c r="L19" i="12"/>
  <c r="L16" i="12"/>
  <c r="U82" i="13"/>
  <c r="T82" i="13"/>
  <c r="U81" i="13"/>
  <c r="T81" i="13"/>
  <c r="L80" i="13"/>
  <c r="U79" i="13"/>
  <c r="T79" i="13"/>
  <c r="T78" i="13"/>
  <c r="P78" i="13"/>
  <c r="L78" i="13"/>
  <c r="H78" i="13"/>
  <c r="U77" i="13"/>
  <c r="T77" i="13"/>
  <c r="U76" i="13"/>
  <c r="T76" i="13"/>
  <c r="P76" i="13"/>
  <c r="L76" i="13"/>
  <c r="H76" i="13"/>
  <c r="L75" i="13"/>
  <c r="H75" i="13"/>
  <c r="U74" i="13"/>
  <c r="T74" i="13"/>
  <c r="L74" i="13"/>
  <c r="U73" i="13"/>
  <c r="T73" i="13"/>
  <c r="U72" i="13"/>
  <c r="U71" i="13" s="1"/>
  <c r="T72" i="13"/>
  <c r="T71" i="13" s="1"/>
  <c r="T83" i="13" s="1"/>
  <c r="S64" i="13"/>
  <c r="R64" i="13"/>
  <c r="R65" i="13" s="1"/>
  <c r="Q64" i="13"/>
  <c r="Q65" i="13" s="1"/>
  <c r="P64" i="13"/>
  <c r="O64" i="13"/>
  <c r="N64" i="13"/>
  <c r="N65" i="13" s="1"/>
  <c r="M64" i="13"/>
  <c r="M65" i="13" s="1"/>
  <c r="L64" i="13"/>
  <c r="S62" i="13"/>
  <c r="R62" i="13"/>
  <c r="Q62" i="13"/>
  <c r="P62" i="13"/>
  <c r="O62" i="13"/>
  <c r="N62" i="13"/>
  <c r="M62" i="13"/>
  <c r="L62" i="13"/>
  <c r="U60" i="13"/>
  <c r="U65" i="13" s="1"/>
  <c r="T60" i="13"/>
  <c r="T65" i="13" s="1"/>
  <c r="S60" i="13"/>
  <c r="S65" i="13" s="1"/>
  <c r="R60" i="13"/>
  <c r="Q60" i="13"/>
  <c r="P60" i="13"/>
  <c r="P65" i="13" s="1"/>
  <c r="O60" i="13"/>
  <c r="O65" i="13" s="1"/>
  <c r="N60" i="13"/>
  <c r="M60" i="13"/>
  <c r="L60" i="13"/>
  <c r="U56" i="13"/>
  <c r="T56" i="13"/>
  <c r="S56" i="13"/>
  <c r="R56" i="13"/>
  <c r="Q56" i="13"/>
  <c r="P56" i="13"/>
  <c r="O56" i="13"/>
  <c r="N56" i="13"/>
  <c r="M56" i="13"/>
  <c r="L55" i="13"/>
  <c r="L56" i="13" s="1"/>
  <c r="S54" i="13"/>
  <c r="R54" i="13"/>
  <c r="Q54" i="13"/>
  <c r="P54" i="13"/>
  <c r="O54" i="13"/>
  <c r="N54" i="13"/>
  <c r="M54" i="13"/>
  <c r="L54" i="13"/>
  <c r="U52" i="13"/>
  <c r="T52" i="13"/>
  <c r="S52" i="13"/>
  <c r="Q52" i="13"/>
  <c r="P52" i="13"/>
  <c r="O52" i="13"/>
  <c r="L52" i="13" s="1"/>
  <c r="K52" i="13"/>
  <c r="H52" i="13"/>
  <c r="P49" i="13"/>
  <c r="P81" i="13" s="1"/>
  <c r="P79" i="13" s="1"/>
  <c r="H49" i="13"/>
  <c r="T48" i="13"/>
  <c r="S48" i="13"/>
  <c r="P48" i="13"/>
  <c r="O48" i="13"/>
  <c r="K48" i="13"/>
  <c r="H48" i="13"/>
  <c r="P46" i="13"/>
  <c r="L46" i="13"/>
  <c r="L82" i="13" s="1"/>
  <c r="H46" i="13"/>
  <c r="S45" i="13"/>
  <c r="P45" i="13" s="1"/>
  <c r="O45" i="13"/>
  <c r="L45" i="13"/>
  <c r="K45" i="13"/>
  <c r="K65" i="13" s="1"/>
  <c r="K66" i="13" s="1"/>
  <c r="K67" i="13" s="1"/>
  <c r="P44" i="13"/>
  <c r="L44" i="13"/>
  <c r="H44" i="13"/>
  <c r="P43" i="13"/>
  <c r="P82" i="13" s="1"/>
  <c r="H43" i="13"/>
  <c r="H82" i="13" s="1"/>
  <c r="U40" i="13"/>
  <c r="T40" i="13"/>
  <c r="S40" i="13"/>
  <c r="R40" i="13"/>
  <c r="Q40" i="13"/>
  <c r="P40" i="13"/>
  <c r="O40" i="13"/>
  <c r="N40" i="13"/>
  <c r="M40" i="13"/>
  <c r="L40" i="13"/>
  <c r="K40" i="13"/>
  <c r="H40" i="13" s="1"/>
  <c r="J40" i="13"/>
  <c r="I40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U36" i="13"/>
  <c r="T36" i="13"/>
  <c r="S36" i="13"/>
  <c r="R36" i="13"/>
  <c r="Q36" i="13"/>
  <c r="P36" i="13"/>
  <c r="O36" i="13"/>
  <c r="N36" i="13"/>
  <c r="M36" i="13"/>
  <c r="L36" i="13"/>
  <c r="K36" i="13"/>
  <c r="H36" i="13" s="1"/>
  <c r="J36" i="13"/>
  <c r="I36" i="13"/>
  <c r="U34" i="13"/>
  <c r="U41" i="13" s="1"/>
  <c r="T34" i="13"/>
  <c r="T41" i="13" s="1"/>
  <c r="S34" i="13"/>
  <c r="S41" i="13" s="1"/>
  <c r="R34" i="13"/>
  <c r="R41" i="13" s="1"/>
  <c r="Q34" i="13"/>
  <c r="Q41" i="13" s="1"/>
  <c r="P34" i="13"/>
  <c r="P41" i="13" s="1"/>
  <c r="O34" i="13"/>
  <c r="O41" i="13" s="1"/>
  <c r="N34" i="13"/>
  <c r="N41" i="13" s="1"/>
  <c r="M34" i="13"/>
  <c r="M41" i="13" s="1"/>
  <c r="L34" i="13"/>
  <c r="L41" i="13" s="1"/>
  <c r="K34" i="13"/>
  <c r="K41" i="13" s="1"/>
  <c r="J34" i="13"/>
  <c r="J41" i="13" s="1"/>
  <c r="I34" i="13"/>
  <c r="I41" i="13" s="1"/>
  <c r="H34" i="13"/>
  <c r="H41" i="13" s="1"/>
  <c r="P29" i="13"/>
  <c r="L29" i="13"/>
  <c r="H29" i="13"/>
  <c r="O27" i="13"/>
  <c r="M27" i="13"/>
  <c r="U26" i="13"/>
  <c r="T26" i="13"/>
  <c r="S26" i="13"/>
  <c r="R26" i="13"/>
  <c r="Q26" i="13"/>
  <c r="P26" i="13"/>
  <c r="N26" i="13"/>
  <c r="N27" i="13" s="1"/>
  <c r="M26" i="13"/>
  <c r="J26" i="13"/>
  <c r="J27" i="13" s="1"/>
  <c r="I26" i="13"/>
  <c r="I27" i="13" s="1"/>
  <c r="L24" i="13"/>
  <c r="L81" i="13" s="1"/>
  <c r="L79" i="13" s="1"/>
  <c r="H24" i="13"/>
  <c r="H26" i="13" s="1"/>
  <c r="U23" i="13"/>
  <c r="U27" i="13" s="1"/>
  <c r="T23" i="13"/>
  <c r="T27" i="13" s="1"/>
  <c r="S23" i="13"/>
  <c r="S27" i="13" s="1"/>
  <c r="R23" i="13"/>
  <c r="R27" i="13" s="1"/>
  <c r="Q23" i="13"/>
  <c r="Q27" i="13" s="1"/>
  <c r="N23" i="13"/>
  <c r="M23" i="13"/>
  <c r="L23" i="13"/>
  <c r="K23" i="13"/>
  <c r="K27" i="13" s="1"/>
  <c r="J23" i="13"/>
  <c r="I23" i="13"/>
  <c r="H23" i="13"/>
  <c r="P20" i="13"/>
  <c r="P23" i="13" s="1"/>
  <c r="L20" i="13"/>
  <c r="H20" i="13"/>
  <c r="H77" i="13" s="1"/>
  <c r="U19" i="13"/>
  <c r="T19" i="13"/>
  <c r="S19" i="13"/>
  <c r="R19" i="13"/>
  <c r="Q19" i="13"/>
  <c r="P19" i="13" s="1"/>
  <c r="N19" i="13"/>
  <c r="M19" i="13"/>
  <c r="L19" i="13"/>
  <c r="K19" i="13"/>
  <c r="J19" i="13"/>
  <c r="I19" i="13"/>
  <c r="H19" i="13"/>
  <c r="P17" i="13"/>
  <c r="P77" i="13" s="1"/>
  <c r="L17" i="13"/>
  <c r="L77" i="13" s="1"/>
  <c r="U16" i="13"/>
  <c r="T16" i="13"/>
  <c r="Q16" i="13"/>
  <c r="P16" i="13" s="1"/>
  <c r="M16" i="13"/>
  <c r="L16" i="13"/>
  <c r="I16" i="13"/>
  <c r="H16" i="13" s="1"/>
  <c r="P14" i="13"/>
  <c r="P74" i="13" s="1"/>
  <c r="H14" i="13"/>
  <c r="H74" i="13" s="1"/>
  <c r="P13" i="13"/>
  <c r="P73" i="13" s="1"/>
  <c r="L13" i="13"/>
  <c r="L73" i="13" s="1"/>
  <c r="H13" i="13"/>
  <c r="H73" i="13" s="1"/>
  <c r="P12" i="13"/>
  <c r="P72" i="13" s="1"/>
  <c r="P71" i="13" s="1"/>
  <c r="P83" i="13" s="1"/>
  <c r="L12" i="13"/>
  <c r="L72" i="13" s="1"/>
  <c r="H12" i="13"/>
  <c r="H72" i="13" s="1"/>
  <c r="H71" i="13" s="1"/>
  <c r="L41" i="12" l="1"/>
  <c r="L71" i="12"/>
  <c r="L77" i="12"/>
  <c r="L27" i="12"/>
  <c r="L65" i="12"/>
  <c r="L71" i="13"/>
  <c r="L83" i="13" s="1"/>
  <c r="I66" i="13"/>
  <c r="U66" i="13"/>
  <c r="U67" i="13" s="1"/>
  <c r="P27" i="13"/>
  <c r="J66" i="13"/>
  <c r="J67" i="13" s="1"/>
  <c r="P80" i="13"/>
  <c r="H27" i="13"/>
  <c r="L27" i="13"/>
  <c r="O66" i="13"/>
  <c r="O67" i="13" s="1"/>
  <c r="S66" i="13"/>
  <c r="S67" i="13" s="1"/>
  <c r="M66" i="13"/>
  <c r="M67" i="13" s="1"/>
  <c r="Q66" i="13"/>
  <c r="U83" i="13"/>
  <c r="T66" i="13"/>
  <c r="T67" i="13" s="1"/>
  <c r="N66" i="13"/>
  <c r="N67" i="13" s="1"/>
  <c r="R66" i="13"/>
  <c r="R67" i="13" s="1"/>
  <c r="L26" i="13"/>
  <c r="L48" i="13"/>
  <c r="L65" i="13" s="1"/>
  <c r="L66" i="13" s="1"/>
  <c r="L67" i="13" s="1"/>
  <c r="H81" i="13"/>
  <c r="H79" i="13" s="1"/>
  <c r="H83" i="13" s="1"/>
  <c r="H45" i="13"/>
  <c r="H65" i="13" s="1"/>
  <c r="L81" i="12" l="1"/>
  <c r="L66" i="12"/>
  <c r="L67" i="12" s="1"/>
  <c r="P66" i="13"/>
  <c r="Q67" i="13"/>
  <c r="P67" i="13" s="1"/>
  <c r="H66" i="13"/>
  <c r="I67" i="13"/>
  <c r="H67" i="13" s="1"/>
  <c r="V80" i="12" l="1"/>
  <c r="U80" i="12"/>
  <c r="V79" i="12"/>
  <c r="U79" i="12"/>
  <c r="M78" i="12"/>
  <c r="U76" i="12"/>
  <c r="Q76" i="12"/>
  <c r="M76" i="12"/>
  <c r="V75" i="12"/>
  <c r="U75" i="12"/>
  <c r="V74" i="12"/>
  <c r="U74" i="12"/>
  <c r="Q74" i="12"/>
  <c r="M74" i="12"/>
  <c r="H74" i="12"/>
  <c r="V73" i="12"/>
  <c r="U73" i="12"/>
  <c r="V72" i="12"/>
  <c r="U72" i="12"/>
  <c r="H76" i="12"/>
  <c r="T64" i="12"/>
  <c r="S64" i="12"/>
  <c r="R64" i="12"/>
  <c r="Q64" i="12"/>
  <c r="P64" i="12"/>
  <c r="O64" i="12"/>
  <c r="N64" i="12"/>
  <c r="M64" i="12"/>
  <c r="T62" i="12"/>
  <c r="S62" i="12"/>
  <c r="R62" i="12"/>
  <c r="Q62" i="12"/>
  <c r="P62" i="12"/>
  <c r="O62" i="12"/>
  <c r="N62" i="12"/>
  <c r="M62" i="12"/>
  <c r="V60" i="12"/>
  <c r="U60" i="12"/>
  <c r="T60" i="12"/>
  <c r="S60" i="12"/>
  <c r="R60" i="12"/>
  <c r="Q60" i="12"/>
  <c r="P60" i="12"/>
  <c r="O60" i="12"/>
  <c r="N60" i="12"/>
  <c r="M60" i="12"/>
  <c r="V56" i="12"/>
  <c r="U56" i="12"/>
  <c r="T56" i="12"/>
  <c r="S56" i="12"/>
  <c r="R56" i="12"/>
  <c r="Q56" i="12"/>
  <c r="P56" i="12"/>
  <c r="O56" i="12"/>
  <c r="N56" i="12"/>
  <c r="M55" i="12"/>
  <c r="M56" i="12" s="1"/>
  <c r="T54" i="12"/>
  <c r="S54" i="12"/>
  <c r="R54" i="12"/>
  <c r="Q54" i="12"/>
  <c r="P54" i="12"/>
  <c r="O54" i="12"/>
  <c r="N54" i="12"/>
  <c r="M54" i="12"/>
  <c r="V52" i="12"/>
  <c r="U52" i="12"/>
  <c r="T52" i="12"/>
  <c r="R52" i="12"/>
  <c r="P52" i="12"/>
  <c r="M52" i="12" s="1"/>
  <c r="K52" i="12"/>
  <c r="H52" i="12" s="1"/>
  <c r="Q49" i="12"/>
  <c r="Q79" i="12" s="1"/>
  <c r="H49" i="12"/>
  <c r="T48" i="12"/>
  <c r="Q48" i="12"/>
  <c r="P48" i="12"/>
  <c r="K48" i="12"/>
  <c r="H48" i="12" s="1"/>
  <c r="Q46" i="12"/>
  <c r="M46" i="12"/>
  <c r="M80" i="12" s="1"/>
  <c r="H46" i="12"/>
  <c r="T45" i="12"/>
  <c r="Q45" i="12" s="1"/>
  <c r="P45" i="12"/>
  <c r="M45" i="12" s="1"/>
  <c r="K45" i="12"/>
  <c r="H45" i="12" s="1"/>
  <c r="Q44" i="12"/>
  <c r="M44" i="12"/>
  <c r="H44" i="12"/>
  <c r="Q43" i="12"/>
  <c r="H43" i="12"/>
  <c r="H80" i="12" s="1"/>
  <c r="V40" i="12"/>
  <c r="U40" i="12"/>
  <c r="T40" i="12"/>
  <c r="S40" i="12"/>
  <c r="R40" i="12"/>
  <c r="Q40" i="12"/>
  <c r="P40" i="12"/>
  <c r="O40" i="12"/>
  <c r="N40" i="12"/>
  <c r="M40" i="12"/>
  <c r="K40" i="12"/>
  <c r="J40" i="12"/>
  <c r="I40" i="12"/>
  <c r="V38" i="12"/>
  <c r="U38" i="12"/>
  <c r="T38" i="12"/>
  <c r="S38" i="12"/>
  <c r="R38" i="12"/>
  <c r="Q38" i="12"/>
  <c r="P38" i="12"/>
  <c r="O38" i="12"/>
  <c r="N38" i="12"/>
  <c r="M38" i="12"/>
  <c r="K38" i="12"/>
  <c r="J38" i="12"/>
  <c r="I38" i="12"/>
  <c r="V36" i="12"/>
  <c r="U36" i="12"/>
  <c r="T36" i="12"/>
  <c r="S36" i="12"/>
  <c r="R36" i="12"/>
  <c r="Q36" i="12"/>
  <c r="P36" i="12"/>
  <c r="O36" i="12"/>
  <c r="N36" i="12"/>
  <c r="M36" i="12"/>
  <c r="K36" i="12"/>
  <c r="J36" i="12"/>
  <c r="I36" i="12"/>
  <c r="V34" i="12"/>
  <c r="U34" i="12"/>
  <c r="T34" i="12"/>
  <c r="T41" i="12" s="1"/>
  <c r="S34" i="12"/>
  <c r="S41" i="12" s="1"/>
  <c r="R34" i="12"/>
  <c r="R41" i="12" s="1"/>
  <c r="P34" i="12"/>
  <c r="P41" i="12" s="1"/>
  <c r="O34" i="12"/>
  <c r="O41" i="12" s="1"/>
  <c r="N34" i="12"/>
  <c r="K34" i="12"/>
  <c r="K41" i="12" s="1"/>
  <c r="J34" i="12"/>
  <c r="J41" i="12" s="1"/>
  <c r="I34" i="12"/>
  <c r="I41" i="12" s="1"/>
  <c r="Q29" i="12"/>
  <c r="M29" i="12"/>
  <c r="H29" i="12"/>
  <c r="P27" i="12"/>
  <c r="T26" i="12"/>
  <c r="S26" i="12"/>
  <c r="R26" i="12"/>
  <c r="Q26" i="12"/>
  <c r="O26" i="12"/>
  <c r="N26" i="12"/>
  <c r="J26" i="12"/>
  <c r="I26" i="12"/>
  <c r="M24" i="12"/>
  <c r="M79" i="12" s="1"/>
  <c r="H24" i="12"/>
  <c r="H79" i="12" s="1"/>
  <c r="V23" i="12"/>
  <c r="U23" i="12"/>
  <c r="T23" i="12"/>
  <c r="S23" i="12"/>
  <c r="R23" i="12"/>
  <c r="O23" i="12"/>
  <c r="N23" i="12"/>
  <c r="K23" i="12"/>
  <c r="J23" i="12"/>
  <c r="I23" i="12"/>
  <c r="Q20" i="12"/>
  <c r="Q23" i="12" s="1"/>
  <c r="M20" i="12"/>
  <c r="M23" i="12" s="1"/>
  <c r="H20" i="12"/>
  <c r="H75" i="12" s="1"/>
  <c r="V19" i="12"/>
  <c r="U19" i="12"/>
  <c r="T19" i="12"/>
  <c r="S19" i="12"/>
  <c r="R19" i="12"/>
  <c r="O19" i="12"/>
  <c r="N19" i="12"/>
  <c r="M19" i="12" s="1"/>
  <c r="K19" i="12"/>
  <c r="J19" i="12"/>
  <c r="I19" i="12"/>
  <c r="Q17" i="12"/>
  <c r="M17" i="12"/>
  <c r="V16" i="12"/>
  <c r="U16" i="12"/>
  <c r="R16" i="12"/>
  <c r="Q16" i="12" s="1"/>
  <c r="N16" i="12"/>
  <c r="M16" i="12" s="1"/>
  <c r="I16" i="12"/>
  <c r="H16" i="12" s="1"/>
  <c r="Q14" i="12"/>
  <c r="H14" i="12"/>
  <c r="Q13" i="12"/>
  <c r="Q73" i="12" s="1"/>
  <c r="M13" i="12"/>
  <c r="M73" i="12" s="1"/>
  <c r="H13" i="12"/>
  <c r="H73" i="12" s="1"/>
  <c r="Q12" i="12"/>
  <c r="Q72" i="12" s="1"/>
  <c r="M12" i="12"/>
  <c r="M72" i="12" s="1"/>
  <c r="H12" i="12"/>
  <c r="H72" i="12" s="1"/>
  <c r="Q19" i="12" l="1"/>
  <c r="T27" i="12"/>
  <c r="M77" i="12"/>
  <c r="U71" i="12"/>
  <c r="O65" i="12"/>
  <c r="S65" i="12"/>
  <c r="P65" i="12"/>
  <c r="T65" i="12"/>
  <c r="T66" i="12" s="1"/>
  <c r="T67" i="12" s="1"/>
  <c r="H38" i="12"/>
  <c r="U65" i="12"/>
  <c r="V71" i="12"/>
  <c r="V77" i="12"/>
  <c r="N65" i="12"/>
  <c r="R65" i="12"/>
  <c r="V65" i="12"/>
  <c r="V41" i="12"/>
  <c r="U77" i="12"/>
  <c r="V27" i="12"/>
  <c r="Q52" i="12"/>
  <c r="Q65" i="12" s="1"/>
  <c r="M75" i="12"/>
  <c r="M71" i="12" s="1"/>
  <c r="M81" i="12" s="1"/>
  <c r="H26" i="12"/>
  <c r="H40" i="12"/>
  <c r="R27" i="12"/>
  <c r="H19" i="12"/>
  <c r="K27" i="12"/>
  <c r="Q78" i="12" s="1"/>
  <c r="Q75" i="12"/>
  <c r="Q71" i="12" s="1"/>
  <c r="H23" i="12"/>
  <c r="S27" i="12"/>
  <c r="N41" i="12"/>
  <c r="H36" i="12"/>
  <c r="Q80" i="12"/>
  <c r="Q77" i="12" s="1"/>
  <c r="N27" i="12"/>
  <c r="J27" i="12"/>
  <c r="J66" i="12" s="1"/>
  <c r="J67" i="12" s="1"/>
  <c r="O27" i="12"/>
  <c r="O66" i="12" s="1"/>
  <c r="O67" i="12" s="1"/>
  <c r="U27" i="12"/>
  <c r="U41" i="12"/>
  <c r="P66" i="12"/>
  <c r="P67" i="12" s="1"/>
  <c r="H77" i="12"/>
  <c r="Q27" i="12"/>
  <c r="H65" i="12"/>
  <c r="H71" i="12"/>
  <c r="I27" i="12"/>
  <c r="I66" i="12" s="1"/>
  <c r="H34" i="12"/>
  <c r="H41" i="12" s="1"/>
  <c r="Q34" i="12"/>
  <c r="Q41" i="12" s="1"/>
  <c r="K65" i="12"/>
  <c r="M34" i="12"/>
  <c r="M41" i="12" s="1"/>
  <c r="M26" i="12"/>
  <c r="M27" i="12" s="1"/>
  <c r="M48" i="12"/>
  <c r="M65" i="12" s="1"/>
  <c r="N24" i="10"/>
  <c r="V66" i="12" l="1"/>
  <c r="V67" i="12" s="1"/>
  <c r="V81" i="12"/>
  <c r="R66" i="12"/>
  <c r="Q66" i="12" s="1"/>
  <c r="U66" i="12"/>
  <c r="U67" i="12" s="1"/>
  <c r="U81" i="12"/>
  <c r="H27" i="12"/>
  <c r="K66" i="12"/>
  <c r="K67" i="12" s="1"/>
  <c r="N66" i="12"/>
  <c r="N67" i="12" s="1"/>
  <c r="S66" i="12"/>
  <c r="S67" i="12" s="1"/>
  <c r="Q81" i="12"/>
  <c r="H81" i="12"/>
  <c r="H66" i="12"/>
  <c r="I67" i="12"/>
  <c r="M66" i="12"/>
  <c r="M67" i="12" s="1"/>
  <c r="V83" i="10"/>
  <c r="V69" i="10"/>
  <c r="N20" i="10"/>
  <c r="R67" i="12" l="1"/>
  <c r="Q67" i="12" s="1"/>
  <c r="H67" i="12"/>
  <c r="R13" i="10"/>
  <c r="N13" i="10"/>
  <c r="V16" i="10" l="1"/>
  <c r="N69" i="10" l="1"/>
  <c r="M69" i="10"/>
  <c r="O69" i="10"/>
  <c r="Q69" i="10"/>
  <c r="R69" i="10"/>
  <c r="S69" i="10"/>
  <c r="T69" i="10"/>
  <c r="U69" i="10"/>
  <c r="W69" i="10"/>
  <c r="W54" i="10"/>
  <c r="V54" i="10"/>
  <c r="U54" i="10"/>
  <c r="T54" i="10"/>
  <c r="S54" i="10"/>
  <c r="R54" i="10"/>
  <c r="Q54" i="10"/>
  <c r="P54" i="10"/>
  <c r="O54" i="10"/>
  <c r="N54" i="10"/>
  <c r="V48" i="10" l="1"/>
  <c r="N29" i="10" l="1"/>
  <c r="N17" i="10"/>
  <c r="W87" i="10" l="1"/>
  <c r="V87" i="10"/>
  <c r="V86" i="10"/>
  <c r="V82" i="10"/>
  <c r="V81" i="10"/>
  <c r="V79" i="10"/>
  <c r="V78" i="10"/>
  <c r="V77" i="10"/>
  <c r="N83" i="10"/>
  <c r="J83" i="10"/>
  <c r="J81" i="10"/>
  <c r="J80" i="10"/>
  <c r="V76" i="10" l="1"/>
  <c r="N55" i="10"/>
  <c r="N46" i="10" l="1"/>
  <c r="M68" i="10" l="1"/>
  <c r="J67" i="10"/>
  <c r="M66" i="10"/>
  <c r="J66" i="10" s="1"/>
  <c r="J65" i="10"/>
  <c r="J68" i="10" l="1"/>
  <c r="O26" i="10"/>
  <c r="Q48" i="10"/>
  <c r="Q45" i="10"/>
  <c r="O34" i="10"/>
  <c r="P34" i="10"/>
  <c r="O16" i="10"/>
  <c r="W81" i="10"/>
  <c r="W79" i="10"/>
  <c r="W78" i="10"/>
  <c r="W77" i="10"/>
  <c r="N86" i="10"/>
  <c r="N85" i="10"/>
  <c r="N81" i="10"/>
  <c r="N80" i="10"/>
  <c r="N79" i="10"/>
  <c r="V36" i="10"/>
  <c r="Q27" i="10"/>
  <c r="N23" i="10"/>
  <c r="N78" i="10"/>
  <c r="N12" i="10"/>
  <c r="P26" i="10"/>
  <c r="N26" i="10"/>
  <c r="N77" i="10" l="1"/>
  <c r="P19" i="10"/>
  <c r="N16" i="10"/>
  <c r="N27" i="10" s="1"/>
  <c r="W64" i="10" l="1"/>
  <c r="V64" i="10"/>
  <c r="U64" i="10"/>
  <c r="T64" i="10"/>
  <c r="S64" i="10"/>
  <c r="R64" i="10"/>
  <c r="Q64" i="10"/>
  <c r="P64" i="10"/>
  <c r="O64" i="10"/>
  <c r="N64" i="10"/>
  <c r="W62" i="10"/>
  <c r="V62" i="10"/>
  <c r="U62" i="10"/>
  <c r="T62" i="10"/>
  <c r="S62" i="10"/>
  <c r="R62" i="10"/>
  <c r="Q62" i="10"/>
  <c r="P62" i="10"/>
  <c r="O62" i="10"/>
  <c r="N62" i="10"/>
  <c r="W60" i="10"/>
  <c r="V60" i="10"/>
  <c r="U60" i="10"/>
  <c r="T60" i="10"/>
  <c r="S60" i="10"/>
  <c r="R60" i="10"/>
  <c r="Q60" i="10"/>
  <c r="P60" i="10"/>
  <c r="O60" i="10"/>
  <c r="N60" i="10"/>
  <c r="W56" i="10"/>
  <c r="V56" i="10"/>
  <c r="U56" i="10"/>
  <c r="T56" i="10"/>
  <c r="S56" i="10"/>
  <c r="R56" i="10"/>
  <c r="Q56" i="10"/>
  <c r="P56" i="10"/>
  <c r="O56" i="10"/>
  <c r="N56" i="10"/>
  <c r="W52" i="10"/>
  <c r="N48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W36" i="10"/>
  <c r="U36" i="10"/>
  <c r="T36" i="10"/>
  <c r="S36" i="10"/>
  <c r="R36" i="10"/>
  <c r="Q36" i="10"/>
  <c r="P36" i="10"/>
  <c r="P41" i="10" s="1"/>
  <c r="O36" i="10"/>
  <c r="N36" i="10"/>
  <c r="M36" i="10"/>
  <c r="L36" i="10"/>
  <c r="K36" i="10"/>
  <c r="O41" i="10" l="1"/>
  <c r="J40" i="10"/>
  <c r="J36" i="10"/>
  <c r="J38" i="10"/>
  <c r="W26" i="10" l="1"/>
  <c r="V26" i="10"/>
  <c r="U26" i="10"/>
  <c r="T26" i="10"/>
  <c r="S26" i="10"/>
  <c r="R26" i="10"/>
  <c r="L26" i="10"/>
  <c r="K26" i="10"/>
  <c r="J24" i="10"/>
  <c r="J26" i="10" s="1"/>
  <c r="R17" i="10" l="1"/>
  <c r="M52" i="10"/>
  <c r="J49" i="10"/>
  <c r="J86" i="10" s="1"/>
  <c r="M48" i="10"/>
  <c r="J48" i="10" s="1"/>
  <c r="J46" i="10"/>
  <c r="M45" i="10"/>
  <c r="J44" i="10"/>
  <c r="J82" i="10" s="1"/>
  <c r="J43" i="10"/>
  <c r="M34" i="10"/>
  <c r="M41" i="10" s="1"/>
  <c r="L34" i="10"/>
  <c r="L41" i="10" s="1"/>
  <c r="K34" i="10"/>
  <c r="K41" i="10" s="1"/>
  <c r="J29" i="10"/>
  <c r="M23" i="10"/>
  <c r="L23" i="10"/>
  <c r="K23" i="10"/>
  <c r="J20" i="10"/>
  <c r="J23" i="10" s="1"/>
  <c r="M19" i="10"/>
  <c r="L19" i="10"/>
  <c r="K19" i="10"/>
  <c r="K16" i="10"/>
  <c r="J16" i="10" s="1"/>
  <c r="J14" i="10"/>
  <c r="J79" i="10" s="1"/>
  <c r="J13" i="10"/>
  <c r="J78" i="10" s="1"/>
  <c r="J12" i="10"/>
  <c r="J77" i="10" s="1"/>
  <c r="K27" i="10" l="1"/>
  <c r="L27" i="10"/>
  <c r="L70" i="10" s="1"/>
  <c r="L71" i="10" s="1"/>
  <c r="M27" i="10"/>
  <c r="R85" i="10" s="1"/>
  <c r="J52" i="10"/>
  <c r="J69" i="10" s="1"/>
  <c r="J19" i="10"/>
  <c r="J27" i="10" s="1"/>
  <c r="J34" i="10"/>
  <c r="J41" i="10" s="1"/>
  <c r="J45" i="10"/>
  <c r="J16" i="11"/>
  <c r="J76" i="10" l="1"/>
  <c r="M70" i="10"/>
  <c r="M71" i="10" s="1"/>
  <c r="K70" i="10"/>
  <c r="J70" i="10" s="1"/>
  <c r="R29" i="10"/>
  <c r="L20" i="11"/>
  <c r="U19" i="10"/>
  <c r="J22" i="11"/>
  <c r="J20" i="11"/>
  <c r="J23" i="11" s="1"/>
  <c r="I25" i="11"/>
  <c r="I21" i="11"/>
  <c r="W23" i="10"/>
  <c r="V23" i="10"/>
  <c r="U23" i="10"/>
  <c r="T23" i="10"/>
  <c r="S23" i="10"/>
  <c r="P23" i="10"/>
  <c r="P27" i="10" s="1"/>
  <c r="O23" i="10"/>
  <c r="R20" i="10"/>
  <c r="R23" i="10" s="1"/>
  <c r="N16" i="11"/>
  <c r="M16" i="11"/>
  <c r="I14" i="11"/>
  <c r="I13" i="11"/>
  <c r="I12" i="11"/>
  <c r="R14" i="10"/>
  <c r="R12" i="10"/>
  <c r="S16" i="10"/>
  <c r="R16" i="10" s="1"/>
  <c r="W16" i="10"/>
  <c r="K71" i="10" l="1"/>
  <c r="J71" i="10" s="1"/>
  <c r="P70" i="10"/>
  <c r="U27" i="10"/>
  <c r="J28" i="11"/>
  <c r="K28" i="11"/>
  <c r="L28" i="11"/>
  <c r="L29" i="11" s="1"/>
  <c r="L22" i="11"/>
  <c r="L23" i="11" s="1"/>
  <c r="K22" i="11"/>
  <c r="I22" i="11"/>
  <c r="K20" i="11"/>
  <c r="I20" i="11"/>
  <c r="I16" i="11"/>
  <c r="S34" i="10"/>
  <c r="S41" i="10" s="1"/>
  <c r="T34" i="10"/>
  <c r="T41" i="10" s="1"/>
  <c r="U34" i="10"/>
  <c r="U41" i="10" s="1"/>
  <c r="S19" i="10"/>
  <c r="S27" i="10" s="1"/>
  <c r="T19" i="10"/>
  <c r="T27" i="10" s="1"/>
  <c r="I23" i="11" l="1"/>
  <c r="K23" i="11"/>
  <c r="I28" i="11"/>
  <c r="R34" i="10"/>
  <c r="R41" i="10" s="1"/>
  <c r="N55" i="11"/>
  <c r="M55" i="11"/>
  <c r="N54" i="11"/>
  <c r="M54" i="11"/>
  <c r="N51" i="11"/>
  <c r="M51" i="11"/>
  <c r="N50" i="11"/>
  <c r="M50" i="11"/>
  <c r="N49" i="11"/>
  <c r="M49" i="11"/>
  <c r="N48" i="11"/>
  <c r="M48" i="11"/>
  <c r="N42" i="11"/>
  <c r="K42" i="11"/>
  <c r="M41" i="11"/>
  <c r="L41" i="11"/>
  <c r="J41" i="11"/>
  <c r="I40" i="11"/>
  <c r="I54" i="11" s="1"/>
  <c r="M39" i="11"/>
  <c r="L39" i="11"/>
  <c r="I39" i="11" s="1"/>
  <c r="I38" i="11"/>
  <c r="L37" i="11"/>
  <c r="I36" i="11"/>
  <c r="I35" i="11"/>
  <c r="M34" i="11"/>
  <c r="L34" i="11"/>
  <c r="J34" i="11"/>
  <c r="J42" i="11" s="1"/>
  <c r="I33" i="11"/>
  <c r="L32" i="11"/>
  <c r="I32" i="11"/>
  <c r="I31" i="11"/>
  <c r="N28" i="11"/>
  <c r="N29" i="11" s="1"/>
  <c r="M28" i="11"/>
  <c r="M29" i="11" s="1"/>
  <c r="K29" i="11"/>
  <c r="J29" i="11"/>
  <c r="N22" i="11"/>
  <c r="M22" i="11"/>
  <c r="N20" i="11"/>
  <c r="M20" i="11"/>
  <c r="I51" i="11"/>
  <c r="I50" i="11"/>
  <c r="I49" i="11"/>
  <c r="I48" i="11"/>
  <c r="I55" i="11" l="1"/>
  <c r="I53" i="11" s="1"/>
  <c r="J43" i="11"/>
  <c r="K43" i="11"/>
  <c r="K44" i="11" s="1"/>
  <c r="M23" i="11"/>
  <c r="I37" i="11"/>
  <c r="L42" i="11"/>
  <c r="L43" i="11" s="1"/>
  <c r="L44" i="11" s="1"/>
  <c r="N23" i="11"/>
  <c r="N43" i="11" s="1"/>
  <c r="N44" i="11" s="1"/>
  <c r="M42" i="11"/>
  <c r="I41" i="11"/>
  <c r="M47" i="11"/>
  <c r="M53" i="11"/>
  <c r="N53" i="11"/>
  <c r="I29" i="11"/>
  <c r="I52" i="11"/>
  <c r="I47" i="11" s="1"/>
  <c r="N47" i="11"/>
  <c r="I34" i="11"/>
  <c r="U52" i="10"/>
  <c r="U48" i="10"/>
  <c r="M43" i="11" l="1"/>
  <c r="M44" i="11" s="1"/>
  <c r="I43" i="11"/>
  <c r="I42" i="11"/>
  <c r="N56" i="11"/>
  <c r="M56" i="11"/>
  <c r="J44" i="11"/>
  <c r="I44" i="11" s="1"/>
  <c r="I56" i="11"/>
  <c r="V34" i="10" l="1"/>
  <c r="V41" i="10" s="1"/>
  <c r="V19" i="10"/>
  <c r="V27" i="10" s="1"/>
  <c r="O19" i="10" l="1"/>
  <c r="O27" i="10" s="1"/>
  <c r="N19" i="10" l="1"/>
  <c r="N45" i="10"/>
  <c r="W86" i="10" l="1"/>
  <c r="V52" i="10"/>
  <c r="S52" i="10"/>
  <c r="Q52" i="10"/>
  <c r="R49" i="10"/>
  <c r="R86" i="10" s="1"/>
  <c r="N87" i="10"/>
  <c r="N84" i="10" s="1"/>
  <c r="R48" i="10"/>
  <c r="R46" i="10"/>
  <c r="W19" i="10"/>
  <c r="W27" i="10" s="1"/>
  <c r="J87" i="10"/>
  <c r="N23" i="9"/>
  <c r="W34" i="10"/>
  <c r="W41" i="10" s="1"/>
  <c r="Q34" i="10"/>
  <c r="R19" i="10"/>
  <c r="R27" i="10" s="1"/>
  <c r="R79" i="10"/>
  <c r="W82" i="10"/>
  <c r="U45" i="10"/>
  <c r="R44" i="10"/>
  <c r="N44" i="10"/>
  <c r="R43" i="10"/>
  <c r="R87" i="10" s="1"/>
  <c r="R81" i="10"/>
  <c r="R78" i="10"/>
  <c r="I60" i="9"/>
  <c r="Q34" i="9"/>
  <c r="R34" i="9"/>
  <c r="R31" i="9"/>
  <c r="Q29" i="9"/>
  <c r="R29" i="9"/>
  <c r="M35" i="9"/>
  <c r="N35" i="9"/>
  <c r="M30" i="9"/>
  <c r="N30" i="9"/>
  <c r="O23" i="9"/>
  <c r="O19" i="9"/>
  <c r="N16" i="9"/>
  <c r="R16" i="9" s="1"/>
  <c r="M34" i="9"/>
  <c r="M31" i="9"/>
  <c r="Q31" i="9" s="1"/>
  <c r="M29" i="9"/>
  <c r="M22" i="9"/>
  <c r="R22" i="9"/>
  <c r="R14" i="9"/>
  <c r="S14" i="9"/>
  <c r="T14" i="9"/>
  <c r="M14" i="9"/>
  <c r="M60" i="9" s="1"/>
  <c r="R45" i="9"/>
  <c r="S45" i="9"/>
  <c r="T45" i="9"/>
  <c r="P46" i="9"/>
  <c r="M45" i="9"/>
  <c r="M44" i="9"/>
  <c r="Q44" i="9" s="1"/>
  <c r="L46" i="9"/>
  <c r="I45" i="9"/>
  <c r="Q45" i="9" s="1"/>
  <c r="I44" i="9"/>
  <c r="S49" i="9"/>
  <c r="R49" i="9"/>
  <c r="P49" i="9"/>
  <c r="M49" i="9" s="1"/>
  <c r="L49" i="9"/>
  <c r="I49" i="9" s="1"/>
  <c r="T47" i="9"/>
  <c r="S47" i="9"/>
  <c r="R47" i="9"/>
  <c r="M47" i="9"/>
  <c r="Q47" i="9"/>
  <c r="M64" i="9"/>
  <c r="M46" i="9"/>
  <c r="T49" i="9"/>
  <c r="S41" i="9"/>
  <c r="S42" i="9"/>
  <c r="S43" i="9"/>
  <c r="S44" i="9"/>
  <c r="S46" i="9"/>
  <c r="T41" i="9"/>
  <c r="T42" i="9"/>
  <c r="T43" i="9"/>
  <c r="T44" i="9"/>
  <c r="S40" i="9"/>
  <c r="T40" i="9"/>
  <c r="S32" i="9"/>
  <c r="S33" i="9"/>
  <c r="S36" i="9"/>
  <c r="S37" i="9"/>
  <c r="T30" i="9"/>
  <c r="T32" i="9"/>
  <c r="T33" i="9"/>
  <c r="T36" i="9"/>
  <c r="T37" i="9"/>
  <c r="S28" i="9"/>
  <c r="T28" i="9"/>
  <c r="S13" i="9"/>
  <c r="S15" i="9"/>
  <c r="S16" i="9"/>
  <c r="S17" i="9"/>
  <c r="S18" i="9"/>
  <c r="S20" i="9"/>
  <c r="S21" i="9"/>
  <c r="S24" i="9"/>
  <c r="S25" i="9"/>
  <c r="T13" i="9"/>
  <c r="T15" i="9"/>
  <c r="T16" i="9"/>
  <c r="T17" i="9"/>
  <c r="T18" i="9"/>
  <c r="T19" i="9"/>
  <c r="T20" i="9"/>
  <c r="T21" i="9"/>
  <c r="T24" i="9"/>
  <c r="T25" i="9"/>
  <c r="S12" i="9"/>
  <c r="T12" i="9"/>
  <c r="Q28" i="9"/>
  <c r="R28" i="9"/>
  <c r="Q24" i="9"/>
  <c r="Q33" i="9"/>
  <c r="Q37" i="9"/>
  <c r="R13" i="9"/>
  <c r="R15" i="9"/>
  <c r="R17" i="9"/>
  <c r="R18" i="9"/>
  <c r="R20" i="9"/>
  <c r="R21" i="9"/>
  <c r="R24" i="9"/>
  <c r="R32" i="9"/>
  <c r="R33" i="9"/>
  <c r="R37" i="9"/>
  <c r="R40" i="9"/>
  <c r="R42" i="9"/>
  <c r="R44" i="9"/>
  <c r="R46" i="9"/>
  <c r="R12" i="9"/>
  <c r="M21" i="9"/>
  <c r="Q21" i="9" s="1"/>
  <c r="M20" i="9"/>
  <c r="N19" i="9"/>
  <c r="M19" i="9" s="1"/>
  <c r="M18" i="9"/>
  <c r="Q18" i="9" s="1"/>
  <c r="O50" i="9"/>
  <c r="N43" i="9"/>
  <c r="M42" i="9"/>
  <c r="N41" i="9"/>
  <c r="M41" i="9"/>
  <c r="M40" i="9"/>
  <c r="P35" i="9"/>
  <c r="O35" i="9"/>
  <c r="M32" i="9"/>
  <c r="M61" i="9"/>
  <c r="O30" i="9"/>
  <c r="N25" i="9"/>
  <c r="M25" i="9" s="1"/>
  <c r="P23" i="9"/>
  <c r="M17" i="9"/>
  <c r="M16" i="9"/>
  <c r="M15" i="9"/>
  <c r="M13" i="9"/>
  <c r="M59" i="9" s="1"/>
  <c r="M12" i="9"/>
  <c r="M58" i="9" s="1"/>
  <c r="I64" i="9"/>
  <c r="Q64" i="9"/>
  <c r="K50" i="9"/>
  <c r="S50" i="9"/>
  <c r="I62" i="9"/>
  <c r="I66" i="9"/>
  <c r="J43" i="9"/>
  <c r="I43" i="9" s="1"/>
  <c r="I42" i="9"/>
  <c r="J41" i="9"/>
  <c r="I41" i="9"/>
  <c r="I40" i="9"/>
  <c r="L35" i="9"/>
  <c r="L38" i="9" s="1"/>
  <c r="K35" i="9"/>
  <c r="S35" i="9" s="1"/>
  <c r="J35" i="9"/>
  <c r="I32" i="9"/>
  <c r="I61" i="9" s="1"/>
  <c r="K30" i="9"/>
  <c r="J30" i="9"/>
  <c r="I30" i="9"/>
  <c r="J25" i="9"/>
  <c r="L23" i="9"/>
  <c r="L26" i="9" s="1"/>
  <c r="K23" i="9"/>
  <c r="J23" i="9"/>
  <c r="I20" i="9"/>
  <c r="I23" i="9" s="1"/>
  <c r="K19" i="9"/>
  <c r="J19" i="9"/>
  <c r="I19" i="9"/>
  <c r="I17" i="9"/>
  <c r="J16" i="9"/>
  <c r="I16" i="9" s="1"/>
  <c r="I65" i="9"/>
  <c r="I63" i="9" s="1"/>
  <c r="I13" i="9"/>
  <c r="I59" i="9"/>
  <c r="I12" i="9"/>
  <c r="I58" i="9"/>
  <c r="Q58" i="9" s="1"/>
  <c r="Q61" i="9"/>
  <c r="Q13" i="9"/>
  <c r="Q16" i="9"/>
  <c r="Q41" i="9"/>
  <c r="R19" i="9"/>
  <c r="Q12" i="9"/>
  <c r="Q15" i="9"/>
  <c r="Q17" i="9"/>
  <c r="R23" i="9"/>
  <c r="Q30" i="9"/>
  <c r="Q40" i="9"/>
  <c r="Q42" i="9"/>
  <c r="Q19" i="9"/>
  <c r="O26" i="9"/>
  <c r="S23" i="9"/>
  <c r="S30" i="9"/>
  <c r="M38" i="9"/>
  <c r="Q38" i="9" s="1"/>
  <c r="P38" i="9"/>
  <c r="T38" i="9"/>
  <c r="T35" i="9"/>
  <c r="R41" i="9"/>
  <c r="R35" i="9"/>
  <c r="P26" i="9"/>
  <c r="T26" i="9" s="1"/>
  <c r="T23" i="9"/>
  <c r="S19" i="9"/>
  <c r="R30" i="9"/>
  <c r="R25" i="9"/>
  <c r="O38" i="9"/>
  <c r="N50" i="9"/>
  <c r="N51" i="9" s="1"/>
  <c r="N38" i="9"/>
  <c r="R38" i="9" s="1"/>
  <c r="M43" i="9"/>
  <c r="Q43" i="9"/>
  <c r="N26" i="9"/>
  <c r="O51" i="9"/>
  <c r="O52" i="9"/>
  <c r="J26" i="9"/>
  <c r="J38" i="9"/>
  <c r="K26" i="9"/>
  <c r="S26" i="9" s="1"/>
  <c r="I25" i="9"/>
  <c r="I26" i="9"/>
  <c r="I35" i="9"/>
  <c r="I38" i="9"/>
  <c r="J50" i="9"/>
  <c r="R50" i="9"/>
  <c r="Q35" i="9"/>
  <c r="R26" i="9"/>
  <c r="Q25" i="9"/>
  <c r="J51" i="9"/>
  <c r="J52" i="9" s="1"/>
  <c r="N52" i="10" l="1"/>
  <c r="R52" i="10"/>
  <c r="Q41" i="10"/>
  <c r="N34" i="10"/>
  <c r="N41" i="10" s="1"/>
  <c r="N82" i="10"/>
  <c r="O70" i="10"/>
  <c r="T70" i="10"/>
  <c r="T71" i="10" s="1"/>
  <c r="R83" i="10"/>
  <c r="V70" i="10"/>
  <c r="V71" i="10" s="1"/>
  <c r="R82" i="10"/>
  <c r="W84" i="10"/>
  <c r="U70" i="10"/>
  <c r="U71" i="10" s="1"/>
  <c r="R77" i="10"/>
  <c r="R84" i="10"/>
  <c r="W76" i="10"/>
  <c r="R45" i="10"/>
  <c r="P71" i="10"/>
  <c r="V84" i="10"/>
  <c r="J84" i="10"/>
  <c r="N52" i="9"/>
  <c r="R51" i="9"/>
  <c r="M62" i="9"/>
  <c r="K38" i="9"/>
  <c r="I57" i="9"/>
  <c r="I67" i="9" s="1"/>
  <c r="Q32" i="9"/>
  <c r="Q20" i="9"/>
  <c r="R43" i="9"/>
  <c r="M65" i="9"/>
  <c r="M23" i="9"/>
  <c r="M50" i="9"/>
  <c r="Q49" i="9"/>
  <c r="P50" i="9"/>
  <c r="T46" i="9"/>
  <c r="Q59" i="9"/>
  <c r="I46" i="9"/>
  <c r="L50" i="9"/>
  <c r="L51" i="9" s="1"/>
  <c r="Q22" i="9"/>
  <c r="M66" i="9"/>
  <c r="Q66" i="9" s="1"/>
  <c r="Q14" i="9"/>
  <c r="Q60" i="9" s="1"/>
  <c r="Q70" i="10" l="1"/>
  <c r="Q71" i="10" s="1"/>
  <c r="N70" i="10"/>
  <c r="N71" i="10" s="1"/>
  <c r="N76" i="10"/>
  <c r="N88" i="10" s="1"/>
  <c r="R76" i="10"/>
  <c r="R88" i="10" s="1"/>
  <c r="W88" i="10"/>
  <c r="W70" i="10"/>
  <c r="W71" i="10" s="1"/>
  <c r="S70" i="10"/>
  <c r="S71" i="10" s="1"/>
  <c r="R71" i="10" s="1"/>
  <c r="J88" i="10"/>
  <c r="V88" i="10"/>
  <c r="I50" i="9"/>
  <c r="Q46" i="9"/>
  <c r="O71" i="10"/>
  <c r="T50" i="9"/>
  <c r="P51" i="9"/>
  <c r="Q50" i="9"/>
  <c r="Q62" i="9"/>
  <c r="M57" i="9"/>
  <c r="M63" i="9"/>
  <c r="Q63" i="9" s="1"/>
  <c r="Q65" i="9"/>
  <c r="L52" i="9"/>
  <c r="I52" i="9" s="1"/>
  <c r="I51" i="9"/>
  <c r="Q23" i="9"/>
  <c r="M26" i="9"/>
  <c r="Q26" i="9" s="1"/>
  <c r="K51" i="9"/>
  <c r="S38" i="9"/>
  <c r="R52" i="9"/>
  <c r="R70" i="10" l="1"/>
  <c r="T51" i="9"/>
  <c r="P52" i="9"/>
  <c r="M51" i="9"/>
  <c r="Q51" i="9" s="1"/>
  <c r="K52" i="9"/>
  <c r="S52" i="9" s="1"/>
  <c r="S51" i="9"/>
  <c r="Q57" i="9"/>
  <c r="M67" i="9"/>
  <c r="Q67" i="9" s="1"/>
  <c r="T52" i="9" l="1"/>
  <c r="M52" i="9"/>
  <c r="Q52" i="9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D42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įtraukta pagal STR3-15 protokolą</t>
        </r>
      </text>
    </comment>
  </commentList>
</comments>
</file>

<file path=xl/comments3.xml><?xml version="1.0" encoding="utf-8"?>
<comments xmlns="http://schemas.openxmlformats.org/spreadsheetml/2006/main">
  <authors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</commentList>
</comments>
</file>

<file path=xl/sharedStrings.xml><?xml version="1.0" encoding="utf-8"?>
<sst xmlns="http://schemas.openxmlformats.org/spreadsheetml/2006/main" count="1175" uniqueCount="213">
  <si>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</si>
  <si>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</si>
  <si>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</si>
  <si>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</si>
  <si>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</si>
  <si>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</si>
  <si>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</si>
  <si>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</si>
  <si>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</si>
  <si>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</si>
  <si>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</si>
  <si>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</si>
  <si>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</si>
  <si>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</si>
  <si>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</si>
  <si>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</si>
  <si>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</si>
  <si>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</si>
  <si>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</si>
  <si>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</si>
  <si>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</si>
  <si>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</si>
  <si>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</si>
  <si>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</si>
  <si>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</si>
  <si>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</si>
  <si>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</si>
  <si>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PSDF</t>
  </si>
  <si>
    <t>Klaipėdos miesto gyventojų sveikatos priežiūros paslaugų rėmimas</t>
  </si>
  <si>
    <t>03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</si>
  <si>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</si>
  <si>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</si>
  <si>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</si>
  <si>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</si>
  <si>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</si>
  <si>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</si>
  <si>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</si>
  <si>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</si>
  <si>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</si>
  <si>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</si>
  <si>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</si>
  <si>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</si>
  <si>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</si>
  <si>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3</t>
  </si>
  <si>
    <t>5</t>
  </si>
  <si>
    <r>
      <t xml:space="preserve">Privalomojo sveikatos draudimo fondo lėšos </t>
    </r>
    <r>
      <rPr>
        <b/>
        <sz val="10"/>
        <rFont val="Times New Roman"/>
        <family val="1"/>
      </rPr>
      <t>PSDF</t>
    </r>
  </si>
  <si>
    <t>VšĮ Klaipėdos universitetinės ligoninės centrinio korpuso operacinių rekonstrukcija</t>
  </si>
  <si>
    <t>Stiprinti ir kryptingai plėtoti asmens ir visuomenės sveikatos priežiūros paslaugas</t>
  </si>
  <si>
    <r>
      <t xml:space="preserve">Specialiosios tikslinės dotacijos iš apkričių perduotoms įstaigoms išlaikyti lėšos </t>
    </r>
    <r>
      <rPr>
        <b/>
        <sz val="10"/>
        <rFont val="Times New Roman"/>
        <family val="1"/>
      </rPr>
      <t>SB(VB)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</si>
  <si>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</si>
  <si>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</si>
  <si>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</si>
  <si>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Užtikrinti asmens sveikatos priežiūros paslaugų teikimą</t>
  </si>
  <si>
    <t>6</t>
  </si>
  <si>
    <r>
      <t xml:space="preserve"> </t>
    </r>
    <r>
      <rPr>
        <sz val="10"/>
        <rFont val="Times New Roman"/>
        <family val="1"/>
        <charset val="186"/>
      </rPr>
      <t>TIKSLŲ,</t>
    </r>
    <r>
      <rPr>
        <sz val="10"/>
        <rFont val="Times New Roman"/>
        <family val="1"/>
      </rPr>
      <t xml:space="preserve"> UŽDAVINIŲ, PRIEMONIŲ IR PRIEMONIŲ IŠLAIDŲ SUVESTINĖ</t>
    </r>
  </si>
  <si>
    <t>13 Sveikatos apsaugos programa</t>
  </si>
  <si>
    <t>Ugdymo įstaigų, kuriose vykdoma vaikų sveikatos priežiūra, skaičius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</si>
  <si>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</si>
  <si>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</si>
  <si>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</si>
  <si>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</si>
  <si>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65</t>
  </si>
  <si>
    <t>66</t>
  </si>
  <si>
    <t>100</t>
  </si>
  <si>
    <t>2014 m.</t>
  </si>
  <si>
    <t>2015 m.</t>
  </si>
  <si>
    <t>BĮ Klaipėdos priklausomybės ligų centro patalpų remontas (Taikos pr. 46, Klaipėda)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</si>
  <si>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</si>
  <si>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2013-ųjų metų  asignavimų planas</t>
  </si>
  <si>
    <t>04</t>
  </si>
  <si>
    <t>Programos „Sveikas miestas“ priemonių įgyvendinimas</t>
  </si>
  <si>
    <t xml:space="preserve"> 2013–2015 M. KLAIPĖDOS MIESTO SAVIVALDYBĖS</t>
  </si>
  <si>
    <t>SVEIKATOS APSAUGOS PROGRAMOS (NR. 13)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</si>
  <si>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</si>
  <si>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</si>
  <si>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</si>
  <si>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</si>
  <si>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</si>
  <si>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</si>
  <si>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</si>
  <si>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</si>
  <si>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</si>
  <si>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</si>
  <si>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BĮ Klaipėdos miesto visuomenės sveikatos biuro veiklos organizavimas</t>
  </si>
  <si>
    <t xml:space="preserve">Sveikatos priežiūros stiprinimo, ugdymo ir profilaktinės veiklos įgyvendinimas  Klaipėdos miesto savivaldybės mokyklose-darželiuose, nevalstybinėse (privačiai įsteigtose) ir profesinėse mokyklose 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</si>
  <si>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</si>
  <si>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VšĮ Klaipėdos vaikų ligoninės lifto keitimas (K. Donelaičio g. 7)</t>
  </si>
  <si>
    <t>Pastato Pievų tako g. 38 renovacija su lifto įrengimu</t>
  </si>
  <si>
    <t>Skirtumas</t>
  </si>
  <si>
    <t>1.2.2.3</t>
  </si>
  <si>
    <t>Siūlomas keisti 2013-ųjų metų maksimalių asignavimų plana</t>
  </si>
  <si>
    <t xml:space="preserve">Asmenų, dalyvavusių sveikatinimo priemonėse, skaičius tūkst.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</si>
  <si>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</si>
  <si>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2014-ųjų metų  asignavimų planas</t>
  </si>
  <si>
    <t>2016-ųjų metų lėšų poreikis</t>
  </si>
  <si>
    <t>2016 m.</t>
  </si>
  <si>
    <t>20075</t>
  </si>
  <si>
    <t>Lovadienių skaičius</t>
  </si>
  <si>
    <t>Lėšos biudžetiniams 2014-iesiems metams</t>
  </si>
  <si>
    <t>2016 m. poreikis</t>
  </si>
  <si>
    <t>Parengtas techninis projektas</t>
  </si>
  <si>
    <t>05</t>
  </si>
  <si>
    <t>Pastato Taikos pr. 76 modernizavimas (šilumos centro renovacija, pastato lauko sienų apšiltinimas, laiptinių remontas)</t>
  </si>
  <si>
    <t>ES</t>
  </si>
  <si>
    <t xml:space="preserve">VšĮ Klaipėdos sveikatos priežiūros centro vaikų baseino vandens valymo ir dezifekavimo įrangos sumontavimo ir kapitalinio remonto darbai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</si>
  <si>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</si>
  <si>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 xml:space="preserve"> 1.2.2.5</t>
  </si>
  <si>
    <t xml:space="preserve"> 1.2.2.4</t>
  </si>
  <si>
    <t>PF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</si>
  <si>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</si>
  <si>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Pakeistas liftas, vnt.</t>
  </si>
  <si>
    <t>Vykdytojas (skyrius / asmuo)</t>
  </si>
  <si>
    <t>Atlikta modernizavimo darbų, proc.</t>
  </si>
  <si>
    <t>Įrengtas liftas, vnt.</t>
  </si>
  <si>
    <t>Pakeista įranga, atlikti kapitalinio remonto darbai, proc.</t>
  </si>
  <si>
    <t xml:space="preserve"> 2014–2016 M. KLAIPĖDOS MIESTO SAVIVALDYBĖS</t>
  </si>
  <si>
    <t xml:space="preserve">Mokinių visuomenės sveikatos priežiūros įgyvendinimas savivaldybės teritorijoje esančiose ikimokyklinio ugdymo, bendrojo ugdymo mokyklose ir profesinio mokymo įstaigose </t>
  </si>
  <si>
    <t>BĮ Klaipėdos miesto visuomenės sveikatos biuro veiklos organizavimas, vykdant visuomenės sveikatos stiprinimą ir stebėseną</t>
  </si>
  <si>
    <t>Visuomenės informavimo sveikatos klausimais organizuotų priemonių sk.</t>
  </si>
  <si>
    <t>Keleivinio lifto įrengimas Klaipėdos sveikatos priežiūros centro 1-ajame padalinyje (Pievų Tako g. 38)</t>
  </si>
  <si>
    <t>Atlikta operacinių rekonstrukcija (III statybos darbų etapo užbaigimas).
Užbaigtumas, proc.</t>
  </si>
  <si>
    <t xml:space="preserve">Paskiepyta vaikų, proc.                          </t>
  </si>
  <si>
    <t>Visuomenės sveikatos rėmimo specialiosios programos įgyvendinimas,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</si>
  <si>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</si>
  <si>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</si>
  <si>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</si>
  <si>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</si>
  <si>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</si>
  <si>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</si>
  <si>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</si>
  <si>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Funkcinės klasifikacijos kodas</t>
  </si>
  <si>
    <t xml:space="preserve"> 2014–2017 M. KLAIPĖDOS MIESTO SAVIVALDYBĖS</t>
  </si>
  <si>
    <t>Asignavimai 2014-iesiems metams**</t>
  </si>
  <si>
    <t>Lėšų poreikis biudžetiniams 2015-iesiems metams</t>
  </si>
  <si>
    <t>2015-ųjų metų  asignavimų planas</t>
  </si>
  <si>
    <t>2017-ųjų metų lėšų poreikis</t>
  </si>
  <si>
    <t>2017 m.</t>
  </si>
  <si>
    <t>** pagal Klaipėdos miesto savivaldybės tarybos 2014 m. sausio 30 d. sprendimą Nr. T2-16</t>
  </si>
  <si>
    <t>Lėšos biudžetiniams 2015-iesiems metams</t>
  </si>
  <si>
    <t>2017 m. poreikis</t>
  </si>
  <si>
    <t>URBACT projekto „Sveikas senėjimas“  įgyvendinimas</t>
  </si>
  <si>
    <t>Išleistas metodinis leidinys</t>
  </si>
  <si>
    <t>Parengtas GIS pagrindu gyventojų amžiaus žemėlapis</t>
  </si>
  <si>
    <t>Vaikų skaičius, gavęs ankstyvosios reabilitacijos paslaugas</t>
  </si>
  <si>
    <t>30</t>
  </si>
  <si>
    <t>50</t>
  </si>
  <si>
    <t>Vaikų skaičius</t>
  </si>
  <si>
    <t>12</t>
  </si>
  <si>
    <t xml:space="preserve">Paslaugos teikimas likusiai be tėvų globos nepilnametei mamai su vaiku (BĮ Klaipėdos sutrikusio vystymosi kūdikių namuose) </t>
  </si>
  <si>
    <t>2</t>
  </si>
  <si>
    <t>Klaipėdos miesto gyventojų sveikatos priežūros paslaugų rėmimas</t>
  </si>
  <si>
    <t>Asmenų, kuriems dalinai finansuotas dantų protezavimas, skaičius per metus</t>
  </si>
  <si>
    <t>92</t>
  </si>
  <si>
    <t>Parengtas renovacijos projektas, vnt.</t>
  </si>
  <si>
    <t>Šilumos centrų (mazgų) įrengimo užbaigtumas, proc.</t>
  </si>
  <si>
    <t>Pastato lauko sienų apšiltinimo darbų užbaigtumas, proc.</t>
  </si>
  <si>
    <t>Laiptinių įrengimo darbų užbaigtumas, proc.</t>
  </si>
  <si>
    <t>06</t>
  </si>
  <si>
    <t>VšĮ Klaipėdos universitetinės ligoninės (Liepojos g. 41) I korpuso renovacija</t>
  </si>
  <si>
    <t>Konsultacinės poliklinikos pastato statyba adresu Donelaičio g. 7A, Klaipėda</t>
  </si>
  <si>
    <t>Statybos užbaigtumas, proc.</t>
  </si>
  <si>
    <t>08</t>
  </si>
  <si>
    <t>Paliatyvios pagalbos korpuso pritaikymas neįgaliųjų poreikiams Klaipėdos medicininės slaugos ligoninėje</t>
  </si>
  <si>
    <t>09</t>
  </si>
  <si>
    <t>Pastato Psichikos sveikatos centro skyriaus (Galinio pylimo g. 3, Klaipėda) paprastasis remontas</t>
  </si>
  <si>
    <t>Paprastojo remonto darbų užbaigtumas, proc.</t>
  </si>
  <si>
    <t>SB(L)</t>
  </si>
  <si>
    <r>
      <t xml:space="preserve">Funkcinės klasifikacijos kodas* </t>
    </r>
    <r>
      <rPr>
        <b/>
        <sz val="9"/>
        <rFont val="Times New Roman"/>
        <family val="1"/>
      </rPr>
      <t xml:space="preserve"> </t>
    </r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</si>
  <si>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</si>
  <si>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</si>
  <si>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Savivaldybės aplinkos apsaugos rėmimo specialiosios programos lėšų likutis </t>
    </r>
    <r>
      <rPr>
        <b/>
        <sz val="9"/>
        <rFont val="Times New Roman"/>
        <family val="1"/>
        <charset val="186"/>
      </rPr>
      <t>SB(AAL)</t>
    </r>
  </si>
  <si>
    <r>
      <t xml:space="preserve">Programų lėšų likučių laikinai laisvos lėšos </t>
    </r>
    <r>
      <rPr>
        <b/>
        <sz val="9"/>
        <rFont val="Times New Roman"/>
        <family val="1"/>
        <charset val="186"/>
      </rPr>
      <t xml:space="preserve">SB(L) </t>
    </r>
  </si>
  <si>
    <r>
      <t xml:space="preserve">Pajamų įmokų už paslaugas lėšos </t>
    </r>
    <r>
      <rPr>
        <b/>
        <sz val="9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</si>
  <si>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9"/>
        <rFont val="Times New Roman"/>
        <family val="1"/>
        <charset val="186"/>
      </rPr>
      <t>SB(VB)</t>
    </r>
  </si>
  <si>
    <r>
      <t xml:space="preserve">Savivaldybės privatizavimo fondo lėšos </t>
    </r>
    <r>
      <rPr>
        <b/>
        <sz val="9"/>
        <rFont val="Times New Roman"/>
        <family val="1"/>
        <charset val="186"/>
      </rPr>
      <t>PF</t>
    </r>
  </si>
  <si>
    <r>
      <t xml:space="preserve">Europos Sąjungos paramos lėšos </t>
    </r>
    <r>
      <rPr>
        <b/>
        <sz val="9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</si>
  <si>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</si>
  <si>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r>
      <rPr>
        <sz val="9"/>
        <rFont val="Times New Roman"/>
        <family val="1"/>
        <charset val="186"/>
      </rPr>
      <t>Privalomojo sveikatos draudimo fondo lėšos</t>
    </r>
    <r>
      <rPr>
        <b/>
        <sz val="9"/>
        <rFont val="Times New Roman"/>
        <family val="1"/>
      </rPr>
      <t xml:space="preserve"> PSDF</t>
    </r>
  </si>
  <si>
    <t>Įsigyta kompiuterių, vnt.</t>
  </si>
  <si>
    <t>Įsigyta baldų, vnt.</t>
  </si>
  <si>
    <t>Įrengta lifto šachta, vnt.</t>
  </si>
  <si>
    <t>Įsigyta įrangos, vnt.</t>
  </si>
  <si>
    <t xml:space="preserve">VšĮ Klaipėdos sveikatos priežiūros centro vaikų baseino vandens valymo ir dezinfekavimo įrangos sumontavimo ir kapitalinio remonto darbai </t>
  </si>
  <si>
    <t>Parengtas techn. projektas, vnt.</t>
  </si>
  <si>
    <t>Operacinių rekonstrukcija (III statybos darbų etapo užbaigimas)
Užbaigtumas, proc.</t>
  </si>
  <si>
    <t>Parengtas projektas, vnt.</t>
  </si>
  <si>
    <t>Įrengtas liftas</t>
  </si>
  <si>
    <t>10</t>
  </si>
  <si>
    <r>
      <t xml:space="preserve">Pastato Taikos pr. 76 modernizavimas </t>
    </r>
    <r>
      <rPr>
        <sz val="9"/>
        <rFont val="Times New Roman"/>
        <family val="1"/>
      </rPr>
      <t>(šilumos centro renovacija, pastato lauko sienų apšiltinimas, laiptinių remontas)</t>
    </r>
  </si>
  <si>
    <t>Pastato stogo Klaipėdos miesto stomatologijos poliklinikoje  (Pievų tako g. 38, Klaipėda) remontas</t>
  </si>
  <si>
    <t>Keleivinio lifto įrengimas pastate Pievų Tako g. 38</t>
  </si>
  <si>
    <t xml:space="preserve">„Atokvėpio“ paslaugos teikimas šeimoms, auginančioms vaiką su negalia (BĮ Klaipėdos sutrikusio vystymosi kūdikių namuose) </t>
  </si>
  <si>
    <r>
      <t>Suremontuotas pastato stogas, m</t>
    </r>
    <r>
      <rPr>
        <vertAlign val="superscript"/>
        <sz val="9"/>
        <rFont val="Times New Roman"/>
        <family val="1"/>
        <charset val="186"/>
      </rPr>
      <t>2</t>
    </r>
  </si>
  <si>
    <t>2015-ųjų metų asignavimų planas</t>
  </si>
  <si>
    <t>2016 m. projektas</t>
  </si>
  <si>
    <t>2017 m. projektas</t>
  </si>
  <si>
    <t>2015 m. asignavimų planas</t>
  </si>
  <si>
    <t>2/2</t>
  </si>
  <si>
    <t>Eur</t>
  </si>
  <si>
    <t>1.2.2.3, 1.2.2.4, 1.2.2.5</t>
  </si>
  <si>
    <t>Nepilnamečių mamų / vaikų skaičius</t>
  </si>
  <si>
    <t>Asmenų, kuriems iš dalies finansuotas dantų protezavimas, skaičius per metus</t>
  </si>
  <si>
    <t>Konsultacinės poliklinikos pastato statyba, adresu: K. Donelaičio g. 7A, Klaipėda</t>
  </si>
  <si>
    <t>Paliatyviosios pagalbos korpuso pritaikymas neįgaliųjų poreikiams Klaipėdos medicininės slaugos ligoninėje</t>
  </si>
  <si>
    <t>Pastato Psichikos sveikatos centro skyriaus (Galinio Pylimo g. 3, Klaipėda) paprastasis remontas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</si>
  <si>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</si>
  <si>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>Suremontuotas pastato stogas, kv. m</t>
  </si>
  <si>
    <t>Sveikatos apsaugos skyrius</t>
  </si>
  <si>
    <t>Statybos ir infrastruktūros plėtros skyrius</t>
  </si>
  <si>
    <t>Planas</t>
  </si>
  <si>
    <r>
      <t xml:space="preserve">Pastato Taikos pr. 76 modernizavimas </t>
    </r>
    <r>
      <rPr>
        <sz val="10"/>
        <rFont val="Times New Roman"/>
        <family val="1"/>
      </rPr>
      <t>(šilumos centro renovacija, pastato lauko sienų apšiltinimas, laiptinių remontas)</t>
    </r>
  </si>
  <si>
    <r>
      <t>Suremontuotas pastato stogas, m</t>
    </r>
    <r>
      <rPr>
        <vertAlign val="superscript"/>
        <sz val="10"/>
        <rFont val="Times New Roman"/>
        <family val="1"/>
        <charset val="186"/>
      </rPr>
      <t>2</t>
    </r>
  </si>
  <si>
    <t>Pastato stogo Klaipėdos miesto stomatologijos poliklinikoje  (Pievų Tako g. 38, Klaipėda)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</si>
</sst>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8"/>
      <name val="Times New Roman"/>
      <family val="1"/>
    </font>
    <font>
      <b/>
      <sz val="9"/>
      <color indexed="81"/>
      <name val="Tahoma"/>
      <family val="2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10"/>
      <name val="Times New Roman"/>
      <family val="1"/>
    </font>
    <font>
      <sz val="9"/>
      <color indexed="10"/>
      <name val="Times New Roman"/>
      <family val="1"/>
      <charset val="186"/>
    </font>
    <font>
      <sz val="10"/>
      <color indexed="10"/>
      <name val="Times New Roman"/>
      <family val="1"/>
    </font>
    <font>
      <sz val="10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Arial"/>
      <family val="2"/>
      <charset val="186"/>
    </font>
    <font>
      <b/>
      <u/>
      <sz val="9"/>
      <name val="Times New Roman"/>
      <family val="1"/>
    </font>
    <font>
      <sz val="11"/>
      <color indexed="8"/>
      <name val="Calibri"/>
      <family val="2"/>
      <charset val="186"/>
    </font>
    <font>
      <sz val="10"/>
      <name val="TimesLT"/>
      <charset val="186"/>
    </font>
    <font>
      <vertAlign val="superscript"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8" fillId="0" borderId="0"/>
    <xf numFmtId="0" fontId="27" fillId="0" borderId="0"/>
  </cellStyleXfs>
  <cellXfs count="184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2" borderId="3" xfId="0" applyNumberFormat="1" applyFont="1" applyFill="1" applyBorder="1" applyAlignment="1">
      <alignment horizontal="center" vertical="top"/>
    </xf>
    <xf numFmtId="164" fontId="5" fillId="4" borderId="3" xfId="0" applyNumberFormat="1" applyFont="1" applyFill="1" applyBorder="1" applyAlignment="1">
      <alignment horizontal="center" vertical="top"/>
    </xf>
    <xf numFmtId="164" fontId="5" fillId="4" borderId="15" xfId="0" applyNumberFormat="1" applyFont="1" applyFill="1" applyBorder="1" applyAlignment="1">
      <alignment horizontal="center" vertical="top"/>
    </xf>
    <xf numFmtId="164" fontId="5" fillId="2" borderId="17" xfId="0" applyNumberFormat="1" applyFont="1" applyFill="1" applyBorder="1" applyAlignment="1">
      <alignment horizontal="center" vertical="top"/>
    </xf>
    <xf numFmtId="164" fontId="5" fillId="4" borderId="17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3" borderId="18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2" fillId="5" borderId="10" xfId="0" applyNumberFormat="1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164" fontId="2" fillId="6" borderId="22" xfId="0" applyNumberFormat="1" applyFont="1" applyFill="1" applyBorder="1" applyAlignment="1">
      <alignment horizontal="center" vertical="top" wrapText="1"/>
    </xf>
    <xf numFmtId="164" fontId="2" fillId="6" borderId="23" xfId="0" applyNumberFormat="1" applyFont="1" applyFill="1" applyBorder="1" applyAlignment="1">
      <alignment horizontal="center" vertical="top" wrapText="1"/>
    </xf>
    <xf numFmtId="164" fontId="2" fillId="6" borderId="21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 wrapText="1"/>
    </xf>
    <xf numFmtId="164" fontId="5" fillId="3" borderId="27" xfId="0" applyNumberFormat="1" applyFont="1" applyFill="1" applyBorder="1" applyAlignment="1">
      <alignment horizontal="center" vertical="top"/>
    </xf>
    <xf numFmtId="164" fontId="2" fillId="6" borderId="19" xfId="0" applyNumberFormat="1" applyFont="1" applyFill="1" applyBorder="1" applyAlignment="1">
      <alignment horizontal="center" vertical="top" wrapText="1"/>
    </xf>
    <xf numFmtId="164" fontId="2" fillId="6" borderId="28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0" fontId="9" fillId="6" borderId="0" xfId="0" applyFont="1" applyFill="1" applyBorder="1" applyAlignment="1">
      <alignment vertical="top"/>
    </xf>
    <xf numFmtId="164" fontId="2" fillId="6" borderId="31" xfId="0" applyNumberFormat="1" applyFont="1" applyFill="1" applyBorder="1" applyAlignment="1">
      <alignment horizontal="center" vertical="top" wrapText="1"/>
    </xf>
    <xf numFmtId="164" fontId="2" fillId="6" borderId="32" xfId="0" applyNumberFormat="1" applyFont="1" applyFill="1" applyBorder="1" applyAlignment="1">
      <alignment horizontal="center" vertical="top" wrapText="1"/>
    </xf>
    <xf numFmtId="164" fontId="2" fillId="6" borderId="33" xfId="0" applyNumberFormat="1" applyFont="1" applyFill="1" applyBorder="1" applyAlignment="1">
      <alignment horizontal="center" vertical="top" wrapText="1"/>
    </xf>
    <xf numFmtId="164" fontId="2" fillId="5" borderId="31" xfId="0" applyNumberFormat="1" applyFont="1" applyFill="1" applyBorder="1" applyAlignment="1">
      <alignment horizontal="center" vertical="top" wrapText="1"/>
    </xf>
    <xf numFmtId="164" fontId="2" fillId="5" borderId="32" xfId="0" applyNumberFormat="1" applyFont="1" applyFill="1" applyBorder="1" applyAlignment="1">
      <alignment horizontal="center" vertical="top" wrapText="1"/>
    </xf>
    <xf numFmtId="164" fontId="2" fillId="5" borderId="33" xfId="0" applyNumberFormat="1" applyFont="1" applyFill="1" applyBorder="1" applyAlignment="1">
      <alignment horizontal="center" vertical="top" wrapText="1"/>
    </xf>
    <xf numFmtId="164" fontId="6" fillId="5" borderId="34" xfId="0" applyNumberFormat="1" applyFont="1" applyFill="1" applyBorder="1" applyAlignment="1">
      <alignment horizontal="center" vertical="top"/>
    </xf>
    <xf numFmtId="164" fontId="6" fillId="5" borderId="35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164" fontId="6" fillId="5" borderId="11" xfId="0" applyNumberFormat="1" applyFont="1" applyFill="1" applyBorder="1" applyAlignment="1">
      <alignment horizontal="center" vertical="top"/>
    </xf>
    <xf numFmtId="164" fontId="6" fillId="5" borderId="12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164" fontId="6" fillId="5" borderId="32" xfId="0" applyNumberFormat="1" applyFont="1" applyFill="1" applyBorder="1" applyAlignment="1">
      <alignment horizontal="center" vertical="top"/>
    </xf>
    <xf numFmtId="164" fontId="6" fillId="5" borderId="33" xfId="0" applyNumberFormat="1" applyFont="1" applyFill="1" applyBorder="1" applyAlignment="1">
      <alignment horizontal="center" vertical="top"/>
    </xf>
    <xf numFmtId="164" fontId="6" fillId="5" borderId="38" xfId="0" applyNumberFormat="1" applyFont="1" applyFill="1" applyBorder="1" applyAlignment="1">
      <alignment horizontal="center" vertical="top"/>
    </xf>
    <xf numFmtId="164" fontId="6" fillId="5" borderId="39" xfId="0" applyNumberFormat="1" applyFont="1" applyFill="1" applyBorder="1" applyAlignment="1">
      <alignment horizontal="center" vertical="top"/>
    </xf>
    <xf numFmtId="164" fontId="6" fillId="5" borderId="40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64" fontId="5" fillId="5" borderId="34" xfId="0" applyNumberFormat="1" applyFont="1" applyFill="1" applyBorder="1" applyAlignment="1">
      <alignment horizontal="center" vertical="top"/>
    </xf>
    <xf numFmtId="164" fontId="5" fillId="5" borderId="35" xfId="0" applyNumberFormat="1" applyFont="1" applyFill="1" applyBorder="1" applyAlignment="1">
      <alignment horizontal="center" vertical="top"/>
    </xf>
    <xf numFmtId="164" fontId="5" fillId="5" borderId="42" xfId="0" applyNumberFormat="1" applyFont="1" applyFill="1" applyBorder="1" applyAlignment="1">
      <alignment horizontal="center" vertical="top"/>
    </xf>
    <xf numFmtId="1" fontId="2" fillId="0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6" borderId="45" xfId="0" applyNumberFormat="1" applyFont="1" applyFill="1" applyBorder="1" applyAlignment="1">
      <alignment horizontal="center" vertical="top" wrapText="1"/>
    </xf>
    <xf numFmtId="164" fontId="2" fillId="6" borderId="46" xfId="0" applyNumberFormat="1" applyFont="1" applyFill="1" applyBorder="1" applyAlignment="1">
      <alignment horizontal="center" vertical="top" wrapText="1"/>
    </xf>
    <xf numFmtId="0" fontId="3" fillId="5" borderId="29" xfId="0" applyFont="1" applyFill="1" applyBorder="1" applyAlignment="1">
      <alignment horizontal="right" vertical="top" wrapText="1"/>
    </xf>
    <xf numFmtId="164" fontId="5" fillId="5" borderId="47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48" xfId="0" applyNumberFormat="1" applyFont="1" applyFill="1" applyBorder="1" applyAlignment="1">
      <alignment horizontal="center" vertical="top"/>
    </xf>
    <xf numFmtId="0" fontId="3" fillId="5" borderId="50" xfId="0" applyFont="1" applyFill="1" applyBorder="1" applyAlignment="1">
      <alignment horizontal="right" vertical="top" wrapText="1"/>
    </xf>
    <xf numFmtId="164" fontId="3" fillId="5" borderId="38" xfId="0" applyNumberFormat="1" applyFont="1" applyFill="1" applyBorder="1" applyAlignment="1">
      <alignment horizontal="center" vertical="top" wrapText="1"/>
    </xf>
    <xf numFmtId="164" fontId="3" fillId="5" borderId="39" xfId="0" applyNumberFormat="1" applyFont="1" applyFill="1" applyBorder="1" applyAlignment="1">
      <alignment horizontal="center" vertical="top" wrapText="1"/>
    </xf>
    <xf numFmtId="164" fontId="3" fillId="5" borderId="40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vertical="top" wrapText="1"/>
    </xf>
    <xf numFmtId="164" fontId="9" fillId="0" borderId="0" xfId="0" applyNumberFormat="1" applyFont="1" applyFill="1" applyBorder="1" applyAlignment="1">
      <alignment vertical="top"/>
    </xf>
    <xf numFmtId="0" fontId="2" fillId="0" borderId="52" xfId="0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164" fontId="5" fillId="6" borderId="50" xfId="0" applyNumberFormat="1" applyFont="1" applyFill="1" applyBorder="1" applyAlignment="1">
      <alignment horizontal="center" vertical="top"/>
    </xf>
    <xf numFmtId="164" fontId="6" fillId="6" borderId="32" xfId="0" applyNumberFormat="1" applyFont="1" applyFill="1" applyBorder="1" applyAlignment="1">
      <alignment horizontal="center" vertical="top"/>
    </xf>
    <xf numFmtId="49" fontId="3" fillId="2" borderId="53" xfId="0" applyNumberFormat="1" applyFont="1" applyFill="1" applyBorder="1" applyAlignment="1">
      <alignment vertical="top"/>
    </xf>
    <xf numFmtId="0" fontId="2" fillId="6" borderId="21" xfId="0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right" vertical="top" wrapText="1"/>
    </xf>
    <xf numFmtId="49" fontId="10" fillId="0" borderId="45" xfId="0" applyNumberFormat="1" applyFont="1" applyBorder="1" applyAlignment="1">
      <alignment vertical="top"/>
    </xf>
    <xf numFmtId="49" fontId="10" fillId="0" borderId="54" xfId="0" applyNumberFormat="1" applyFont="1" applyBorder="1" applyAlignment="1">
      <alignment vertical="top"/>
    </xf>
    <xf numFmtId="164" fontId="7" fillId="5" borderId="32" xfId="0" applyNumberFormat="1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vertical="top"/>
    </xf>
    <xf numFmtId="164" fontId="3" fillId="5" borderId="47" xfId="0" applyNumberFormat="1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/>
    </xf>
    <xf numFmtId="164" fontId="5" fillId="5" borderId="55" xfId="0" applyNumberFormat="1" applyFont="1" applyFill="1" applyBorder="1" applyAlignment="1">
      <alignment horizontal="center" vertical="top"/>
    </xf>
    <xf numFmtId="164" fontId="5" fillId="5" borderId="29" xfId="0" applyNumberFormat="1" applyFont="1" applyFill="1" applyBorder="1" applyAlignment="1">
      <alignment horizontal="center" vertical="top"/>
    </xf>
    <xf numFmtId="164" fontId="3" fillId="5" borderId="56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vertical="top"/>
    </xf>
    <xf numFmtId="49" fontId="3" fillId="6" borderId="20" xfId="0" applyNumberFormat="1" applyFont="1" applyFill="1" applyBorder="1" applyAlignment="1">
      <alignment vertical="top"/>
    </xf>
    <xf numFmtId="49" fontId="2" fillId="0" borderId="57" xfId="0" applyNumberFormat="1" applyFont="1" applyBorder="1" applyAlignment="1">
      <alignment vertical="top" wrapText="1"/>
    </xf>
    <xf numFmtId="49" fontId="2" fillId="0" borderId="58" xfId="0" applyNumberFormat="1" applyFont="1" applyBorder="1" applyAlignment="1">
      <alignment vertical="top" wrapText="1"/>
    </xf>
    <xf numFmtId="164" fontId="3" fillId="5" borderId="49" xfId="0" applyNumberFormat="1" applyFont="1" applyFill="1" applyBorder="1" applyAlignment="1">
      <alignment horizontal="center" vertical="top"/>
    </xf>
    <xf numFmtId="164" fontId="5" fillId="5" borderId="59" xfId="0" applyNumberFormat="1" applyFont="1" applyFill="1" applyBorder="1" applyAlignment="1">
      <alignment horizontal="center" vertical="top"/>
    </xf>
    <xf numFmtId="49" fontId="3" fillId="6" borderId="18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 wrapText="1"/>
    </xf>
    <xf numFmtId="164" fontId="5" fillId="5" borderId="36" xfId="0" applyNumberFormat="1" applyFont="1" applyFill="1" applyBorder="1" applyAlignment="1">
      <alignment horizontal="center" vertical="top"/>
    </xf>
    <xf numFmtId="164" fontId="5" fillId="5" borderId="38" xfId="0" applyNumberFormat="1" applyFont="1" applyFill="1" applyBorder="1" applyAlignment="1">
      <alignment horizontal="center" vertical="top"/>
    </xf>
    <xf numFmtId="164" fontId="5" fillId="5" borderId="39" xfId="0" applyNumberFormat="1" applyFont="1" applyFill="1" applyBorder="1" applyAlignment="1">
      <alignment horizontal="center" vertical="top"/>
    </xf>
    <xf numFmtId="164" fontId="5" fillId="5" borderId="40" xfId="0" applyNumberFormat="1" applyFont="1" applyFill="1" applyBorder="1" applyAlignment="1">
      <alignment horizontal="center" vertical="top"/>
    </xf>
    <xf numFmtId="164" fontId="6" fillId="5" borderId="18" xfId="0" applyNumberFormat="1" applyFont="1" applyFill="1" applyBorder="1" applyAlignment="1">
      <alignment horizontal="center" vertical="top"/>
    </xf>
    <xf numFmtId="0" fontId="1" fillId="0" borderId="0" xfId="0" applyFont="1"/>
    <xf numFmtId="164" fontId="7" fillId="5" borderId="34" xfId="0" applyNumberFormat="1" applyFont="1" applyFill="1" applyBorder="1" applyAlignment="1">
      <alignment horizontal="center" vertical="top"/>
    </xf>
    <xf numFmtId="164" fontId="7" fillId="5" borderId="35" xfId="0" applyNumberFormat="1" applyFont="1" applyFill="1" applyBorder="1" applyAlignment="1">
      <alignment horizontal="center" vertical="top"/>
    </xf>
    <xf numFmtId="0" fontId="1" fillId="0" borderId="0" xfId="0" applyFont="1" applyBorder="1"/>
    <xf numFmtId="0" fontId="1" fillId="0" borderId="37" xfId="0" applyFont="1" applyBorder="1"/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17" xfId="0" applyNumberFormat="1" applyFont="1" applyFill="1" applyBorder="1" applyAlignment="1">
      <alignment horizontal="center" vertical="top" wrapText="1"/>
    </xf>
    <xf numFmtId="164" fontId="2" fillId="0" borderId="41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1" fontId="2" fillId="0" borderId="12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32" xfId="0" applyFont="1" applyBorder="1" applyAlignment="1">
      <alignment horizontal="center" vertical="top" wrapText="1"/>
    </xf>
    <xf numFmtId="0" fontId="16" fillId="0" borderId="32" xfId="0" applyFont="1" applyBorder="1" applyAlignment="1">
      <alignment vertical="top" wrapText="1"/>
    </xf>
    <xf numFmtId="164" fontId="7" fillId="5" borderId="25" xfId="0" applyNumberFormat="1" applyFont="1" applyFill="1" applyBorder="1" applyAlignment="1">
      <alignment horizontal="center" vertical="top"/>
    </xf>
    <xf numFmtId="164" fontId="7" fillId="5" borderId="23" xfId="0" applyNumberFormat="1" applyFont="1" applyFill="1" applyBorder="1" applyAlignment="1">
      <alignment horizontal="center" vertical="top"/>
    </xf>
    <xf numFmtId="164" fontId="7" fillId="5" borderId="36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15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164" fontId="7" fillId="5" borderId="9" xfId="0" applyNumberFormat="1" applyFont="1" applyFill="1" applyBorder="1" applyAlignment="1">
      <alignment horizontal="center" vertical="top"/>
    </xf>
    <xf numFmtId="164" fontId="7" fillId="5" borderId="10" xfId="0" applyNumberFormat="1" applyFont="1" applyFill="1" applyBorder="1" applyAlignment="1">
      <alignment horizontal="center" vertical="top"/>
    </xf>
    <xf numFmtId="164" fontId="6" fillId="5" borderId="31" xfId="0" applyNumberFormat="1" applyFont="1" applyFill="1" applyBorder="1" applyAlignment="1">
      <alignment horizontal="center" vertical="center"/>
    </xf>
    <xf numFmtId="164" fontId="6" fillId="5" borderId="32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164" fontId="6" fillId="6" borderId="38" xfId="0" applyNumberFormat="1" applyFont="1" applyFill="1" applyBorder="1" applyAlignment="1">
      <alignment horizontal="center" vertical="top"/>
    </xf>
    <xf numFmtId="164" fontId="6" fillId="6" borderId="39" xfId="0" applyNumberFormat="1" applyFont="1" applyFill="1" applyBorder="1" applyAlignment="1">
      <alignment horizontal="center" vertical="top"/>
    </xf>
    <xf numFmtId="164" fontId="2" fillId="5" borderId="9" xfId="0" applyNumberFormat="1" applyFont="1" applyFill="1" applyBorder="1" applyAlignment="1">
      <alignment horizontal="center" vertical="top" wrapText="1"/>
    </xf>
    <xf numFmtId="164" fontId="2" fillId="5" borderId="22" xfId="0" applyNumberFormat="1" applyFont="1" applyFill="1" applyBorder="1" applyAlignment="1">
      <alignment horizontal="center" vertical="top" wrapText="1"/>
    </xf>
    <xf numFmtId="164" fontId="5" fillId="3" borderId="15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center" vertical="top"/>
    </xf>
    <xf numFmtId="164" fontId="6" fillId="6" borderId="34" xfId="0" applyNumberFormat="1" applyFont="1" applyFill="1" applyBorder="1" applyAlignment="1">
      <alignment horizontal="center" vertical="top"/>
    </xf>
    <xf numFmtId="164" fontId="6" fillId="6" borderId="35" xfId="0" applyNumberFormat="1" applyFont="1" applyFill="1" applyBorder="1" applyAlignment="1">
      <alignment horizontal="center" vertical="top"/>
    </xf>
    <xf numFmtId="164" fontId="6" fillId="6" borderId="11" xfId="0" applyNumberFormat="1" applyFont="1" applyFill="1" applyBorder="1" applyAlignment="1">
      <alignment horizontal="center" vertical="top"/>
    </xf>
    <xf numFmtId="164" fontId="6" fillId="6" borderId="12" xfId="0" applyNumberFormat="1" applyFont="1" applyFill="1" applyBorder="1" applyAlignment="1">
      <alignment horizontal="center" vertical="top"/>
    </xf>
    <xf numFmtId="164" fontId="7" fillId="6" borderId="35" xfId="0" applyNumberFormat="1" applyFont="1" applyFill="1" applyBorder="1" applyAlignment="1">
      <alignment horizontal="center" vertical="top"/>
    </xf>
    <xf numFmtId="164" fontId="7" fillId="6" borderId="25" xfId="0" applyNumberFormat="1" applyFont="1" applyFill="1" applyBorder="1" applyAlignment="1">
      <alignment horizontal="center" vertical="top"/>
    </xf>
    <xf numFmtId="164" fontId="7" fillId="6" borderId="23" xfId="0" applyNumberFormat="1" applyFont="1" applyFill="1" applyBorder="1" applyAlignment="1">
      <alignment horizontal="center" vertical="top"/>
    </xf>
    <xf numFmtId="164" fontId="6" fillId="6" borderId="43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center"/>
    </xf>
    <xf numFmtId="164" fontId="6" fillId="6" borderId="32" xfId="0" applyNumberFormat="1" applyFont="1" applyFill="1" applyBorder="1" applyAlignment="1">
      <alignment horizontal="center" vertical="center"/>
    </xf>
    <xf numFmtId="164" fontId="5" fillId="6" borderId="34" xfId="0" applyNumberFormat="1" applyFont="1" applyFill="1" applyBorder="1" applyAlignment="1">
      <alignment horizontal="center" vertical="top"/>
    </xf>
    <xf numFmtId="164" fontId="5" fillId="6" borderId="35" xfId="0" applyNumberFormat="1" applyFont="1" applyFill="1" applyBorder="1" applyAlignment="1">
      <alignment horizontal="center" vertical="top"/>
    </xf>
    <xf numFmtId="164" fontId="5" fillId="6" borderId="42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164" fontId="6" fillId="6" borderId="42" xfId="0" applyNumberFormat="1" applyFont="1" applyFill="1" applyBorder="1" applyAlignment="1">
      <alignment horizontal="center" vertical="top"/>
    </xf>
    <xf numFmtId="164" fontId="6" fillId="6" borderId="61" xfId="0" applyNumberFormat="1" applyFont="1" applyFill="1" applyBorder="1" applyAlignment="1">
      <alignment horizontal="center" vertical="top"/>
    </xf>
    <xf numFmtId="164" fontId="6" fillId="6" borderId="62" xfId="0" applyNumberFormat="1" applyFont="1" applyFill="1" applyBorder="1" applyAlignment="1">
      <alignment horizontal="center" vertical="top"/>
    </xf>
    <xf numFmtId="164" fontId="3" fillId="5" borderId="48" xfId="0" applyNumberFormat="1" applyFont="1" applyFill="1" applyBorder="1" applyAlignment="1">
      <alignment horizontal="center" vertical="top"/>
    </xf>
    <xf numFmtId="164" fontId="5" fillId="6" borderId="62" xfId="0" applyNumberFormat="1" applyFont="1" applyFill="1" applyBorder="1" applyAlignment="1">
      <alignment horizontal="center" vertical="top"/>
    </xf>
    <xf numFmtId="164" fontId="7" fillId="6" borderId="42" xfId="0" applyNumberFormat="1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 wrapText="1"/>
    </xf>
    <xf numFmtId="164" fontId="2" fillId="6" borderId="61" xfId="0" applyNumberFormat="1" applyFont="1" applyFill="1" applyBorder="1" applyAlignment="1">
      <alignment horizontal="center" vertical="top" wrapText="1"/>
    </xf>
    <xf numFmtId="164" fontId="3" fillId="5" borderId="62" xfId="0" applyNumberFormat="1" applyFont="1" applyFill="1" applyBorder="1" applyAlignment="1">
      <alignment horizontal="center" vertical="top" wrapText="1"/>
    </xf>
    <xf numFmtId="164" fontId="5" fillId="3" borderId="24" xfId="0" applyNumberFormat="1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0" fontId="2" fillId="0" borderId="63" xfId="0" applyFont="1" applyBorder="1" applyAlignment="1">
      <alignment horizontal="center" vertical="top"/>
    </xf>
    <xf numFmtId="164" fontId="6" fillId="5" borderId="64" xfId="0" applyNumberFormat="1" applyFont="1" applyFill="1" applyBorder="1" applyAlignment="1">
      <alignment horizontal="center" vertical="top"/>
    </xf>
    <xf numFmtId="164" fontId="6" fillId="5" borderId="65" xfId="0" applyNumberFormat="1" applyFont="1" applyFill="1" applyBorder="1" applyAlignment="1">
      <alignment horizontal="center" vertical="top"/>
    </xf>
    <xf numFmtId="164" fontId="6" fillId="5" borderId="66" xfId="0" applyNumberFormat="1" applyFont="1" applyFill="1" applyBorder="1" applyAlignment="1">
      <alignment horizontal="center" vertical="top"/>
    </xf>
    <xf numFmtId="164" fontId="6" fillId="6" borderId="64" xfId="0" applyNumberFormat="1" applyFont="1" applyFill="1" applyBorder="1" applyAlignment="1">
      <alignment horizontal="center" vertical="top"/>
    </xf>
    <xf numFmtId="164" fontId="6" fillId="6" borderId="65" xfId="0" applyNumberFormat="1" applyFont="1" applyFill="1" applyBorder="1" applyAlignment="1">
      <alignment horizontal="center" vertical="top"/>
    </xf>
    <xf numFmtId="164" fontId="6" fillId="6" borderId="67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horizontal="center" vertical="top"/>
    </xf>
    <xf numFmtId="49" fontId="3" fillId="3" borderId="68" xfId="0" applyNumberFormat="1" applyFont="1" applyFill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164" fontId="5" fillId="5" borderId="65" xfId="0" applyNumberFormat="1" applyFont="1" applyFill="1" applyBorder="1" applyAlignment="1">
      <alignment horizontal="center" vertical="top"/>
    </xf>
    <xf numFmtId="164" fontId="5" fillId="5" borderId="67" xfId="0" applyNumberFormat="1" applyFont="1" applyFill="1" applyBorder="1" applyAlignment="1">
      <alignment horizontal="center" vertical="top"/>
    </xf>
    <xf numFmtId="164" fontId="5" fillId="6" borderId="64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5" fillId="6" borderId="67" xfId="0" applyNumberFormat="1" applyFont="1" applyFill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9" fillId="0" borderId="37" xfId="0" applyNumberFormat="1" applyFont="1" applyBorder="1" applyAlignment="1">
      <alignment horizontal="center"/>
    </xf>
    <xf numFmtId="164" fontId="10" fillId="5" borderId="11" xfId="0" applyNumberFormat="1" applyFont="1" applyFill="1" applyBorder="1" applyAlignment="1">
      <alignment horizontal="center"/>
    </xf>
    <xf numFmtId="164" fontId="10" fillId="5" borderId="12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4" fontId="10" fillId="5" borderId="14" xfId="0" applyNumberFormat="1" applyFont="1" applyFill="1" applyBorder="1" applyAlignment="1">
      <alignment horizontal="center"/>
    </xf>
    <xf numFmtId="164" fontId="10" fillId="5" borderId="47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164" fontId="10" fillId="5" borderId="59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9" fillId="0" borderId="31" xfId="0" applyNumberFormat="1" applyFont="1" applyBorder="1" applyAlignment="1">
      <alignment horizontal="center" vertical="top"/>
    </xf>
    <xf numFmtId="164" fontId="9" fillId="0" borderId="32" xfId="0" applyNumberFormat="1" applyFont="1" applyBorder="1" applyAlignment="1">
      <alignment horizontal="center" vertical="top"/>
    </xf>
    <xf numFmtId="164" fontId="9" fillId="0" borderId="33" xfId="0" applyNumberFormat="1" applyFont="1" applyBorder="1" applyAlignment="1">
      <alignment horizontal="center" vertical="top"/>
    </xf>
    <xf numFmtId="164" fontId="9" fillId="0" borderId="11" xfId="0" applyNumberFormat="1" applyFont="1" applyBorder="1" applyAlignment="1">
      <alignment horizontal="center" vertical="top"/>
    </xf>
    <xf numFmtId="164" fontId="9" fillId="0" borderId="12" xfId="0" applyNumberFormat="1" applyFont="1" applyBorder="1" applyAlignment="1">
      <alignment horizontal="center" vertical="top"/>
    </xf>
    <xf numFmtId="164" fontId="9" fillId="0" borderId="37" xfId="0" applyNumberFormat="1" applyFont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12" xfId="0" applyNumberFormat="1" applyFont="1" applyFill="1" applyBorder="1" applyAlignment="1">
      <alignment horizontal="center" vertical="top"/>
    </xf>
    <xf numFmtId="164" fontId="10" fillId="5" borderId="65" xfId="0" applyNumberFormat="1" applyFont="1" applyFill="1" applyBorder="1" applyAlignment="1">
      <alignment horizontal="center" vertical="top"/>
    </xf>
    <xf numFmtId="164" fontId="10" fillId="5" borderId="66" xfId="0" applyNumberFormat="1" applyFont="1" applyFill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164" fontId="9" fillId="0" borderId="22" xfId="0" applyNumberFormat="1" applyFont="1" applyBorder="1" applyAlignment="1">
      <alignment horizontal="center" vertical="top"/>
    </xf>
    <xf numFmtId="164" fontId="10" fillId="5" borderId="13" xfId="0" applyNumberFormat="1" applyFont="1" applyFill="1" applyBorder="1" applyAlignment="1">
      <alignment horizontal="center" vertical="top"/>
    </xf>
    <xf numFmtId="164" fontId="10" fillId="5" borderId="14" xfId="0" applyNumberFormat="1" applyFont="1" applyFill="1" applyBorder="1" applyAlignment="1">
      <alignment horizontal="center" vertical="top"/>
    </xf>
    <xf numFmtId="164" fontId="10" fillId="5" borderId="47" xfId="0" applyNumberFormat="1" applyFont="1" applyFill="1" applyBorder="1" applyAlignment="1">
      <alignment horizontal="center" vertical="top"/>
    </xf>
    <xf numFmtId="164" fontId="10" fillId="5" borderId="1" xfId="0" applyNumberFormat="1" applyFont="1" applyFill="1" applyBorder="1" applyAlignment="1">
      <alignment horizontal="center" vertical="top"/>
    </xf>
    <xf numFmtId="164" fontId="10" fillId="5" borderId="59" xfId="0" applyNumberFormat="1" applyFont="1" applyFill="1" applyBorder="1" applyAlignment="1">
      <alignment horizontal="center" vertical="top"/>
    </xf>
    <xf numFmtId="164" fontId="10" fillId="3" borderId="2" xfId="0" applyNumberFormat="1" applyFont="1" applyFill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164" fontId="10" fillId="3" borderId="35" xfId="0" applyNumberFormat="1" applyFont="1" applyFill="1" applyBorder="1" applyAlignment="1">
      <alignment horizontal="center" vertical="top"/>
    </xf>
    <xf numFmtId="164" fontId="10" fillId="3" borderId="36" xfId="0" applyNumberFormat="1" applyFont="1" applyFill="1" applyBorder="1" applyAlignment="1">
      <alignment horizontal="center" vertical="top"/>
    </xf>
    <xf numFmtId="164" fontId="21" fillId="0" borderId="31" xfId="0" applyNumberFormat="1" applyFont="1" applyBorder="1" applyAlignment="1">
      <alignment horizontal="center" vertical="top"/>
    </xf>
    <xf numFmtId="164" fontId="21" fillId="0" borderId="32" xfId="0" applyNumberFormat="1" applyFont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/>
    </xf>
    <xf numFmtId="164" fontId="10" fillId="3" borderId="17" xfId="0" applyNumberFormat="1" applyFont="1" applyFill="1" applyBorder="1" applyAlignment="1">
      <alignment horizontal="center"/>
    </xf>
    <xf numFmtId="164" fontId="10" fillId="7" borderId="2" xfId="0" applyNumberFormat="1" applyFont="1" applyFill="1" applyBorder="1" applyAlignment="1">
      <alignment horizontal="center"/>
    </xf>
    <xf numFmtId="164" fontId="10" fillId="7" borderId="3" xfId="0" applyNumberFormat="1" applyFont="1" applyFill="1" applyBorder="1" applyAlignment="1">
      <alignment horizontal="center"/>
    </xf>
    <xf numFmtId="164" fontId="10" fillId="7" borderId="17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164" fontId="9" fillId="0" borderId="39" xfId="0" applyNumberFormat="1" applyFont="1" applyBorder="1" applyAlignment="1">
      <alignment horizontal="center" vertical="top"/>
    </xf>
    <xf numFmtId="164" fontId="9" fillId="0" borderId="40" xfId="0" applyNumberFormat="1" applyFont="1" applyBorder="1" applyAlignment="1">
      <alignment horizontal="center" vertical="top"/>
    </xf>
    <xf numFmtId="164" fontId="10" fillId="5" borderId="48" xfId="0" applyNumberFormat="1" applyFont="1" applyFill="1" applyBorder="1" applyAlignment="1">
      <alignment horizontal="center" vertical="top"/>
    </xf>
    <xf numFmtId="164" fontId="7" fillId="5" borderId="31" xfId="0" applyNumberFormat="1" applyFont="1" applyFill="1" applyBorder="1" applyAlignment="1">
      <alignment horizontal="center" vertical="top"/>
    </xf>
    <xf numFmtId="164" fontId="21" fillId="0" borderId="9" xfId="0" applyNumberFormat="1" applyFont="1" applyBorder="1" applyAlignment="1">
      <alignment horizontal="center"/>
    </xf>
    <xf numFmtId="164" fontId="21" fillId="0" borderId="22" xfId="0" applyNumberFormat="1" applyFont="1" applyBorder="1" applyAlignment="1">
      <alignment horizontal="center"/>
    </xf>
    <xf numFmtId="164" fontId="10" fillId="5" borderId="60" xfId="0" applyNumberFormat="1" applyFont="1" applyFill="1" applyBorder="1" applyAlignment="1">
      <alignment horizontal="center"/>
    </xf>
    <xf numFmtId="164" fontId="7" fillId="6" borderId="9" xfId="0" applyNumberFormat="1" applyFont="1" applyFill="1" applyBorder="1" applyAlignment="1">
      <alignment horizontal="center" vertical="top"/>
    </xf>
    <xf numFmtId="164" fontId="7" fillId="6" borderId="10" xfId="0" applyNumberFormat="1" applyFont="1" applyFill="1" applyBorder="1" applyAlignment="1">
      <alignment horizontal="center" vertical="top"/>
    </xf>
    <xf numFmtId="164" fontId="6" fillId="6" borderId="18" xfId="0" applyNumberFormat="1" applyFont="1" applyFill="1" applyBorder="1" applyAlignment="1">
      <alignment horizontal="center" vertical="top"/>
    </xf>
    <xf numFmtId="164" fontId="10" fillId="3" borderId="13" xfId="0" applyNumberFormat="1" applyFont="1" applyFill="1" applyBorder="1" applyAlignment="1">
      <alignment horizontal="center" vertical="top"/>
    </xf>
    <xf numFmtId="164" fontId="10" fillId="3" borderId="14" xfId="0" applyNumberFormat="1" applyFont="1" applyFill="1" applyBorder="1" applyAlignment="1">
      <alignment horizontal="center" vertical="top"/>
    </xf>
    <xf numFmtId="164" fontId="10" fillId="3" borderId="60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164" fontId="18" fillId="6" borderId="34" xfId="0" applyNumberFormat="1" applyFont="1" applyFill="1" applyBorder="1" applyAlignment="1">
      <alignment horizontal="center" vertical="top"/>
    </xf>
    <xf numFmtId="164" fontId="18" fillId="6" borderId="35" xfId="0" applyNumberFormat="1" applyFont="1" applyFill="1" applyBorder="1" applyAlignment="1">
      <alignment horizontal="center" vertical="top"/>
    </xf>
    <xf numFmtId="164" fontId="20" fillId="0" borderId="9" xfId="0" applyNumberFormat="1" applyFont="1" applyBorder="1" applyAlignment="1">
      <alignment horizontal="center" vertical="top"/>
    </xf>
    <xf numFmtId="164" fontId="20" fillId="0" borderId="10" xfId="0" applyNumberFormat="1" applyFont="1" applyBorder="1" applyAlignment="1">
      <alignment horizontal="center" vertical="top"/>
    </xf>
    <xf numFmtId="164" fontId="21" fillId="0" borderId="9" xfId="0" applyNumberFormat="1" applyFont="1" applyBorder="1" applyAlignment="1">
      <alignment horizontal="center" vertical="top"/>
    </xf>
    <xf numFmtId="164" fontId="21" fillId="0" borderId="10" xfId="0" applyNumberFormat="1" applyFont="1" applyBorder="1" applyAlignment="1">
      <alignment horizontal="center" vertical="top"/>
    </xf>
    <xf numFmtId="164" fontId="18" fillId="6" borderId="38" xfId="0" applyNumberFormat="1" applyFont="1" applyFill="1" applyBorder="1" applyAlignment="1">
      <alignment horizontal="center" vertical="top"/>
    </xf>
    <xf numFmtId="164" fontId="18" fillId="6" borderId="39" xfId="0" applyNumberFormat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 wrapText="1"/>
    </xf>
    <xf numFmtId="164" fontId="18" fillId="5" borderId="31" xfId="0" applyNumberFormat="1" applyFont="1" applyFill="1" applyBorder="1" applyAlignment="1">
      <alignment horizontal="center" vertical="top"/>
    </xf>
    <xf numFmtId="164" fontId="18" fillId="5" borderId="32" xfId="0" applyNumberFormat="1" applyFont="1" applyFill="1" applyBorder="1" applyAlignment="1">
      <alignment horizontal="center" vertical="top"/>
    </xf>
    <xf numFmtId="164" fontId="6" fillId="5" borderId="61" xfId="0" applyNumberFormat="1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/>
    </xf>
    <xf numFmtId="164" fontId="18" fillId="5" borderId="38" xfId="0" applyNumberFormat="1" applyFont="1" applyFill="1" applyBorder="1" applyAlignment="1">
      <alignment horizontal="center" vertical="top"/>
    </xf>
    <xf numFmtId="164" fontId="18" fillId="5" borderId="39" xfId="0" applyNumberFormat="1" applyFont="1" applyFill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164" fontId="6" fillId="6" borderId="33" xfId="0" applyNumberFormat="1" applyFont="1" applyFill="1" applyBorder="1" applyAlignment="1">
      <alignment horizontal="center" vertical="top"/>
    </xf>
    <xf numFmtId="164" fontId="18" fillId="6" borderId="31" xfId="0" applyNumberFormat="1" applyFont="1" applyFill="1" applyBorder="1" applyAlignment="1">
      <alignment horizontal="center" vertical="top"/>
    </xf>
    <xf numFmtId="164" fontId="18" fillId="6" borderId="32" xfId="0" applyNumberFormat="1" applyFont="1" applyFill="1" applyBorder="1" applyAlignment="1">
      <alignment horizontal="center" vertical="top"/>
    </xf>
    <xf numFmtId="164" fontId="18" fillId="6" borderId="11" xfId="0" applyNumberFormat="1" applyFont="1" applyFill="1" applyBorder="1" applyAlignment="1">
      <alignment horizontal="center" vertical="top"/>
    </xf>
    <xf numFmtId="164" fontId="18" fillId="6" borderId="12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164" fontId="5" fillId="5" borderId="50" xfId="0" applyNumberFormat="1" applyFont="1" applyFill="1" applyBorder="1" applyAlignment="1">
      <alignment horizontal="center" vertical="top"/>
    </xf>
    <xf numFmtId="164" fontId="18" fillId="6" borderId="6" xfId="0" applyNumberFormat="1" applyFont="1" applyFill="1" applyBorder="1" applyAlignment="1">
      <alignment horizontal="center" vertical="top"/>
    </xf>
    <xf numFmtId="164" fontId="21" fillId="0" borderId="38" xfId="0" applyNumberFormat="1" applyFont="1" applyBorder="1" applyAlignment="1">
      <alignment horizontal="center" vertical="top"/>
    </xf>
    <xf numFmtId="164" fontId="21" fillId="0" borderId="39" xfId="0" applyNumberFormat="1" applyFont="1" applyBorder="1" applyAlignment="1">
      <alignment horizontal="center" vertical="top"/>
    </xf>
    <xf numFmtId="164" fontId="7" fillId="6" borderId="32" xfId="0" applyNumberFormat="1" applyFont="1" applyFill="1" applyBorder="1" applyAlignment="1">
      <alignment horizontal="center" vertical="top"/>
    </xf>
    <xf numFmtId="164" fontId="19" fillId="6" borderId="31" xfId="0" applyNumberFormat="1" applyFont="1" applyFill="1" applyBorder="1" applyAlignment="1">
      <alignment horizontal="center" vertical="top"/>
    </xf>
    <xf numFmtId="164" fontId="19" fillId="6" borderId="32" xfId="0" applyNumberFormat="1" applyFont="1" applyFill="1" applyBorder="1" applyAlignment="1">
      <alignment horizontal="center" vertical="top"/>
    </xf>
    <xf numFmtId="164" fontId="6" fillId="5" borderId="38" xfId="0" applyNumberFormat="1" applyFont="1" applyFill="1" applyBorder="1" applyAlignment="1">
      <alignment horizontal="center" vertical="center"/>
    </xf>
    <xf numFmtId="164" fontId="6" fillId="5" borderId="39" xfId="0" applyNumberFormat="1" applyFont="1" applyFill="1" applyBorder="1" applyAlignment="1">
      <alignment horizontal="center" vertical="center"/>
    </xf>
    <xf numFmtId="164" fontId="6" fillId="6" borderId="39" xfId="0" applyNumberFormat="1" applyFont="1" applyFill="1" applyBorder="1" applyAlignment="1">
      <alignment horizontal="center" vertical="center"/>
    </xf>
    <xf numFmtId="164" fontId="18" fillId="6" borderId="38" xfId="0" applyNumberFormat="1" applyFont="1" applyFill="1" applyBorder="1" applyAlignment="1">
      <alignment horizontal="center" vertical="center"/>
    </xf>
    <xf numFmtId="164" fontId="18" fillId="6" borderId="39" xfId="0" applyNumberFormat="1" applyFont="1" applyFill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top"/>
    </xf>
    <xf numFmtId="164" fontId="21" fillId="0" borderId="12" xfId="0" applyNumberFormat="1" applyFont="1" applyBorder="1" applyAlignment="1">
      <alignment horizontal="center" vertical="top"/>
    </xf>
    <xf numFmtId="164" fontId="6" fillId="0" borderId="42" xfId="0" applyNumberFormat="1" applyFont="1" applyFill="1" applyBorder="1" applyAlignment="1">
      <alignment horizontal="center" vertical="top"/>
    </xf>
    <xf numFmtId="164" fontId="6" fillId="6" borderId="53" xfId="0" applyNumberFormat="1" applyFont="1" applyFill="1" applyBorder="1" applyAlignment="1">
      <alignment vertical="top"/>
    </xf>
    <xf numFmtId="164" fontId="6" fillId="0" borderId="52" xfId="0" applyNumberFormat="1" applyFont="1" applyFill="1" applyBorder="1" applyAlignment="1">
      <alignment vertical="top"/>
    </xf>
    <xf numFmtId="1" fontId="2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/>
    <xf numFmtId="1" fontId="1" fillId="0" borderId="37" xfId="0" applyNumberFormat="1" applyFont="1" applyBorder="1"/>
    <xf numFmtId="164" fontId="6" fillId="0" borderId="53" xfId="0" applyNumberFormat="1" applyFont="1" applyFill="1" applyBorder="1" applyAlignment="1">
      <alignment horizontal="center" vertical="top"/>
    </xf>
    <xf numFmtId="164" fontId="6" fillId="0" borderId="43" xfId="0" applyNumberFormat="1" applyFont="1" applyFill="1" applyBorder="1" applyAlignment="1">
      <alignment horizontal="center" vertical="top"/>
    </xf>
    <xf numFmtId="164" fontId="6" fillId="0" borderId="52" xfId="0" applyNumberFormat="1" applyFont="1" applyFill="1" applyBorder="1" applyAlignment="1">
      <alignment horizontal="center" vertical="top"/>
    </xf>
    <xf numFmtId="164" fontId="6" fillId="0" borderId="62" xfId="0" applyNumberFormat="1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22" fillId="3" borderId="7" xfId="0" applyNumberFormat="1" applyFont="1" applyFill="1" applyBorder="1" applyAlignment="1">
      <alignment horizontal="center" vertical="center"/>
    </xf>
    <xf numFmtId="164" fontId="6" fillId="10" borderId="34" xfId="0" applyNumberFormat="1" applyFont="1" applyFill="1" applyBorder="1" applyAlignment="1">
      <alignment horizontal="center" vertical="top"/>
    </xf>
    <xf numFmtId="164" fontId="6" fillId="10" borderId="35" xfId="0" applyNumberFormat="1" applyFont="1" applyFill="1" applyBorder="1" applyAlignment="1">
      <alignment horizontal="center" vertical="top"/>
    </xf>
    <xf numFmtId="164" fontId="6" fillId="10" borderId="36" xfId="0" applyNumberFormat="1" applyFont="1" applyFill="1" applyBorder="1" applyAlignment="1">
      <alignment horizontal="center" vertical="top"/>
    </xf>
    <xf numFmtId="164" fontId="6" fillId="10" borderId="11" xfId="0" applyNumberFormat="1" applyFont="1" applyFill="1" applyBorder="1" applyAlignment="1">
      <alignment horizontal="center" vertical="top"/>
    </xf>
    <xf numFmtId="164" fontId="6" fillId="10" borderId="12" xfId="0" applyNumberFormat="1" applyFont="1" applyFill="1" applyBorder="1" applyAlignment="1">
      <alignment horizontal="center" vertical="top"/>
    </xf>
    <xf numFmtId="164" fontId="6" fillId="10" borderId="37" xfId="0" applyNumberFormat="1" applyFont="1" applyFill="1" applyBorder="1" applyAlignment="1">
      <alignment horizontal="center" vertical="top"/>
    </xf>
    <xf numFmtId="164" fontId="6" fillId="10" borderId="38" xfId="0" applyNumberFormat="1" applyFont="1" applyFill="1" applyBorder="1" applyAlignment="1">
      <alignment horizontal="center" vertical="top"/>
    </xf>
    <xf numFmtId="164" fontId="6" fillId="10" borderId="39" xfId="0" applyNumberFormat="1" applyFont="1" applyFill="1" applyBorder="1" applyAlignment="1">
      <alignment horizontal="center" vertical="top"/>
    </xf>
    <xf numFmtId="164" fontId="6" fillId="10" borderId="40" xfId="0" applyNumberFormat="1" applyFont="1" applyFill="1" applyBorder="1" applyAlignment="1">
      <alignment horizontal="center" vertical="top"/>
    </xf>
    <xf numFmtId="164" fontId="5" fillId="10" borderId="47" xfId="0" applyNumberFormat="1" applyFont="1" applyFill="1" applyBorder="1" applyAlignment="1">
      <alignment horizontal="center" vertical="top"/>
    </xf>
    <xf numFmtId="164" fontId="5" fillId="10" borderId="55" xfId="0" applyNumberFormat="1" applyFont="1" applyFill="1" applyBorder="1" applyAlignment="1">
      <alignment horizontal="center" vertical="top"/>
    </xf>
    <xf numFmtId="164" fontId="5" fillId="10" borderId="29" xfId="0" applyNumberFormat="1" applyFont="1" applyFill="1" applyBorder="1" applyAlignment="1">
      <alignment horizontal="center" vertical="top"/>
    </xf>
    <xf numFmtId="164" fontId="6" fillId="10" borderId="43" xfId="0" applyNumberFormat="1" applyFont="1" applyFill="1" applyBorder="1" applyAlignment="1">
      <alignment horizontal="center" vertical="top"/>
    </xf>
    <xf numFmtId="164" fontId="3" fillId="10" borderId="47" xfId="0" applyNumberFormat="1" applyFont="1" applyFill="1" applyBorder="1" applyAlignment="1">
      <alignment horizontal="center" vertical="top"/>
    </xf>
    <xf numFmtId="164" fontId="3" fillId="10" borderId="1" xfId="0" applyNumberFormat="1" applyFont="1" applyFill="1" applyBorder="1" applyAlignment="1">
      <alignment horizontal="center" vertical="top"/>
    </xf>
    <xf numFmtId="164" fontId="3" fillId="10" borderId="48" xfId="0" applyNumberFormat="1" applyFont="1" applyFill="1" applyBorder="1" applyAlignment="1">
      <alignment horizontal="center" vertical="top"/>
    </xf>
    <xf numFmtId="164" fontId="7" fillId="10" borderId="36" xfId="0" applyNumberFormat="1" applyFont="1" applyFill="1" applyBorder="1" applyAlignment="1">
      <alignment horizontal="center" vertical="center"/>
    </xf>
    <xf numFmtId="164" fontId="7" fillId="10" borderId="37" xfId="0" applyNumberFormat="1" applyFont="1" applyFill="1" applyBorder="1" applyAlignment="1">
      <alignment horizontal="center" vertical="center"/>
    </xf>
    <xf numFmtId="164" fontId="3" fillId="10" borderId="49" xfId="0" applyNumberFormat="1" applyFont="1" applyFill="1" applyBorder="1" applyAlignment="1">
      <alignment horizontal="center" vertical="top"/>
    </xf>
    <xf numFmtId="164" fontId="3" fillId="10" borderId="56" xfId="0" applyNumberFormat="1" applyFont="1" applyFill="1" applyBorder="1" applyAlignment="1">
      <alignment horizontal="center" vertical="top"/>
    </xf>
    <xf numFmtId="164" fontId="3" fillId="10" borderId="59" xfId="0" applyNumberFormat="1" applyFont="1" applyFill="1" applyBorder="1" applyAlignment="1">
      <alignment horizontal="center" vertical="top"/>
    </xf>
    <xf numFmtId="164" fontId="5" fillId="10" borderId="56" xfId="0" applyNumberFormat="1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center" vertical="top"/>
    </xf>
    <xf numFmtId="164" fontId="3" fillId="10" borderId="30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48" xfId="0" applyNumberFormat="1" applyFont="1" applyFill="1" applyBorder="1" applyAlignment="1">
      <alignment horizontal="center" vertical="top"/>
    </xf>
    <xf numFmtId="164" fontId="5" fillId="10" borderId="49" xfId="0" applyNumberFormat="1" applyFont="1" applyFill="1" applyBorder="1" applyAlignment="1">
      <alignment horizontal="center" vertical="top"/>
    </xf>
    <xf numFmtId="164" fontId="3" fillId="10" borderId="38" xfId="0" applyNumberFormat="1" applyFont="1" applyFill="1" applyBorder="1" applyAlignment="1">
      <alignment horizontal="center" vertical="top" wrapText="1"/>
    </xf>
    <xf numFmtId="164" fontId="3" fillId="10" borderId="39" xfId="0" applyNumberFormat="1" applyFont="1" applyFill="1" applyBorder="1" applyAlignment="1">
      <alignment horizontal="center" vertical="top" wrapText="1"/>
    </xf>
    <xf numFmtId="164" fontId="3" fillId="10" borderId="40" xfId="0" applyNumberFormat="1" applyFont="1" applyFill="1" applyBorder="1" applyAlignment="1">
      <alignment horizontal="center" vertical="top" wrapText="1"/>
    </xf>
    <xf numFmtId="164" fontId="3" fillId="10" borderId="8" xfId="0" applyNumberFormat="1" applyFont="1" applyFill="1" applyBorder="1" applyAlignment="1">
      <alignment horizontal="center" vertical="top" wrapText="1"/>
    </xf>
    <xf numFmtId="164" fontId="3" fillId="10" borderId="5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0" fontId="9" fillId="0" borderId="4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0" fontId="10" fillId="10" borderId="49" xfId="0" applyFon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52" xfId="0" applyFont="1" applyBorder="1" applyAlignment="1">
      <alignment horizontal="center" vertical="top" wrapText="1"/>
    </xf>
    <xf numFmtId="0" fontId="10" fillId="10" borderId="30" xfId="0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164" fontId="10" fillId="4" borderId="19" xfId="0" applyNumberFormat="1" applyFont="1" applyFill="1" applyBorder="1" applyAlignment="1">
      <alignment horizontal="center" vertical="top" wrapText="1"/>
    </xf>
    <xf numFmtId="164" fontId="9" fillId="0" borderId="19" xfId="0" applyNumberFormat="1" applyFont="1" applyBorder="1" applyAlignment="1">
      <alignment horizontal="center" vertical="top" wrapText="1"/>
    </xf>
    <xf numFmtId="164" fontId="9" fillId="10" borderId="19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164" fontId="2" fillId="10" borderId="9" xfId="0" applyNumberFormat="1" applyFont="1" applyFill="1" applyBorder="1" applyAlignment="1">
      <alignment horizontal="center" vertical="top" wrapText="1"/>
    </xf>
    <xf numFmtId="164" fontId="2" fillId="10" borderId="10" xfId="0" applyNumberFormat="1" applyFont="1" applyFill="1" applyBorder="1" applyAlignment="1">
      <alignment horizontal="center" vertical="top" wrapText="1"/>
    </xf>
    <xf numFmtId="164" fontId="2" fillId="10" borderId="22" xfId="0" applyNumberFormat="1" applyFont="1" applyFill="1" applyBorder="1" applyAlignment="1">
      <alignment horizontal="center" vertical="top" wrapText="1"/>
    </xf>
    <xf numFmtId="164" fontId="2" fillId="10" borderId="31" xfId="0" applyNumberFormat="1" applyFont="1" applyFill="1" applyBorder="1" applyAlignment="1">
      <alignment horizontal="center" vertical="top" wrapText="1"/>
    </xf>
    <xf numFmtId="164" fontId="2" fillId="10" borderId="32" xfId="0" applyNumberFormat="1" applyFont="1" applyFill="1" applyBorder="1" applyAlignment="1">
      <alignment horizontal="center" vertical="top" wrapText="1"/>
    </xf>
    <xf numFmtId="164" fontId="2" fillId="10" borderId="33" xfId="0" applyNumberFormat="1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/>
    </xf>
    <xf numFmtId="0" fontId="9" fillId="6" borderId="22" xfId="0" applyFont="1" applyFill="1" applyBorder="1" applyAlignment="1">
      <alignment horizontal="center" vertical="top"/>
    </xf>
    <xf numFmtId="0" fontId="9" fillId="6" borderId="12" xfId="0" applyFont="1" applyFill="1" applyBorder="1" applyAlignment="1">
      <alignment horizontal="center" vertical="top"/>
    </xf>
    <xf numFmtId="0" fontId="9" fillId="6" borderId="37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37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/>
    </xf>
    <xf numFmtId="0" fontId="9" fillId="0" borderId="60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3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0" fontId="2" fillId="6" borderId="70" xfId="0" applyFont="1" applyFill="1" applyBorder="1" applyAlignment="1">
      <alignment vertical="top" wrapText="1"/>
    </xf>
    <xf numFmtId="49" fontId="2" fillId="6" borderId="32" xfId="0" applyNumberFormat="1" applyFont="1" applyFill="1" applyBorder="1" applyAlignment="1">
      <alignment horizontal="center" vertical="center"/>
    </xf>
    <xf numFmtId="49" fontId="2" fillId="6" borderId="71" xfId="0" applyNumberFormat="1" applyFont="1" applyFill="1" applyBorder="1" applyAlignment="1">
      <alignment horizontal="center" vertical="center"/>
    </xf>
    <xf numFmtId="49" fontId="2" fillId="6" borderId="28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9" fillId="0" borderId="6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59" xfId="0" applyFont="1" applyFill="1" applyBorder="1" applyAlignment="1">
      <alignment horizontal="center" vertical="top" wrapText="1"/>
    </xf>
    <xf numFmtId="164" fontId="2" fillId="10" borderId="34" xfId="0" applyNumberFormat="1" applyFont="1" applyFill="1" applyBorder="1" applyAlignment="1">
      <alignment horizontal="center" vertical="top"/>
    </xf>
    <xf numFmtId="164" fontId="3" fillId="10" borderId="35" xfId="0" applyNumberFormat="1" applyFont="1" applyFill="1" applyBorder="1" applyAlignment="1">
      <alignment horizontal="center" vertical="top"/>
    </xf>
    <xf numFmtId="164" fontId="2" fillId="10" borderId="42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0" fontId="3" fillId="10" borderId="29" xfId="0" applyFont="1" applyFill="1" applyBorder="1" applyAlignment="1">
      <alignment horizontal="right" vertical="top" wrapText="1"/>
    </xf>
    <xf numFmtId="164" fontId="2" fillId="10" borderId="3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0" fontId="3" fillId="10" borderId="50" xfId="0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4" borderId="7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7" fillId="6" borderId="0" xfId="0" applyNumberFormat="1" applyFont="1" applyFill="1" applyBorder="1" applyAlignment="1">
      <alignment horizontal="center" vertical="top" wrapText="1"/>
    </xf>
    <xf numFmtId="164" fontId="9" fillId="0" borderId="28" xfId="0" applyNumberFormat="1" applyFont="1" applyBorder="1" applyAlignment="1">
      <alignment horizontal="center" vertical="top" wrapText="1"/>
    </xf>
    <xf numFmtId="164" fontId="10" fillId="4" borderId="28" xfId="0" applyNumberFormat="1" applyFont="1" applyFill="1" applyBorder="1" applyAlignment="1">
      <alignment horizontal="center" vertical="top" wrapText="1"/>
    </xf>
    <xf numFmtId="164" fontId="9" fillId="10" borderId="28" xfId="0" applyNumberFormat="1" applyFont="1" applyFill="1" applyBorder="1" applyAlignment="1">
      <alignment horizontal="center" vertical="top" wrapText="1"/>
    </xf>
    <xf numFmtId="164" fontId="10" fillId="6" borderId="0" xfId="0" applyNumberFormat="1" applyFont="1" applyFill="1" applyBorder="1" applyAlignment="1">
      <alignment horizontal="center" vertical="top" wrapText="1"/>
    </xf>
    <xf numFmtId="164" fontId="9" fillId="6" borderId="0" xfId="0" applyNumberFormat="1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9" fillId="0" borderId="10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3" fillId="3" borderId="43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1" fontId="13" fillId="0" borderId="0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top"/>
    </xf>
    <xf numFmtId="0" fontId="6" fillId="11" borderId="0" xfId="0" applyFont="1" applyFill="1" applyBorder="1" applyAlignment="1">
      <alignment vertical="top" wrapText="1"/>
    </xf>
    <xf numFmtId="49" fontId="13" fillId="11" borderId="0" xfId="0" applyNumberFormat="1" applyFont="1" applyFill="1" applyBorder="1" applyAlignment="1">
      <alignment horizontal="center" vertical="top" wrapText="1"/>
    </xf>
    <xf numFmtId="164" fontId="22" fillId="3" borderId="17" xfId="0" applyNumberFormat="1" applyFont="1" applyFill="1" applyBorder="1" applyAlignment="1">
      <alignment horizontal="center" vertical="center"/>
    </xf>
    <xf numFmtId="164" fontId="22" fillId="3" borderId="15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6" fillId="10" borderId="9" xfId="0" applyNumberFormat="1" applyFont="1" applyFill="1" applyBorder="1" applyAlignment="1">
      <alignment horizontal="center" vertical="top"/>
    </xf>
    <xf numFmtId="164" fontId="6" fillId="10" borderId="10" xfId="0" applyNumberFormat="1" applyFont="1" applyFill="1" applyBorder="1" applyAlignment="1">
      <alignment horizontal="center" vertical="top"/>
    </xf>
    <xf numFmtId="164" fontId="6" fillId="10" borderId="22" xfId="0" applyNumberFormat="1" applyFont="1" applyFill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 vertical="top" wrapText="1"/>
    </xf>
    <xf numFmtId="0" fontId="13" fillId="0" borderId="39" xfId="0" applyFont="1" applyFill="1" applyBorder="1" applyAlignment="1">
      <alignment horizontal="center" vertical="top" wrapText="1"/>
    </xf>
    <xf numFmtId="0" fontId="13" fillId="0" borderId="40" xfId="0" applyFont="1" applyFill="1" applyBorder="1" applyAlignment="1">
      <alignment horizontal="center" vertical="top" wrapText="1"/>
    </xf>
    <xf numFmtId="164" fontId="7" fillId="10" borderId="32" xfId="0" applyNumberFormat="1" applyFont="1" applyFill="1" applyBorder="1" applyAlignment="1">
      <alignment horizontal="center" vertical="top"/>
    </xf>
    <xf numFmtId="164" fontId="6" fillId="10" borderId="64" xfId="0" applyNumberFormat="1" applyFont="1" applyFill="1" applyBorder="1" applyAlignment="1">
      <alignment horizontal="center" vertical="top"/>
    </xf>
    <xf numFmtId="164" fontId="7" fillId="10" borderId="33" xfId="0" applyNumberFormat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top" wrapText="1"/>
    </xf>
    <xf numFmtId="49" fontId="3" fillId="3" borderId="57" xfId="0" applyNumberFormat="1" applyFont="1" applyFill="1" applyBorder="1" applyAlignment="1">
      <alignment horizontal="center" vertical="top"/>
    </xf>
    <xf numFmtId="49" fontId="3" fillId="6" borderId="10" xfId="0" applyNumberFormat="1" applyFont="1" applyFill="1" applyBorder="1" applyAlignment="1">
      <alignment horizontal="center" vertical="top"/>
    </xf>
    <xf numFmtId="0" fontId="9" fillId="0" borderId="53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164" fontId="6" fillId="0" borderId="25" xfId="0" applyNumberFormat="1" applyFont="1" applyFill="1" applyBorder="1" applyAlignment="1">
      <alignment horizontal="center" vertical="top"/>
    </xf>
    <xf numFmtId="164" fontId="6" fillId="10" borderId="65" xfId="0" applyNumberFormat="1" applyFont="1" applyFill="1" applyBorder="1" applyAlignment="1">
      <alignment horizontal="center" vertical="top"/>
    </xf>
    <xf numFmtId="164" fontId="6" fillId="10" borderId="66" xfId="0" applyNumberFormat="1" applyFont="1" applyFill="1" applyBorder="1" applyAlignment="1">
      <alignment horizontal="center" vertical="top"/>
    </xf>
    <xf numFmtId="164" fontId="6" fillId="0" borderId="74" xfId="0" applyNumberFormat="1" applyFont="1" applyFill="1" applyBorder="1" applyAlignment="1">
      <alignment horizontal="center" vertical="top"/>
    </xf>
    <xf numFmtId="164" fontId="6" fillId="0" borderId="63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164" fontId="7" fillId="10" borderId="9" xfId="0" applyNumberFormat="1" applyFont="1" applyFill="1" applyBorder="1" applyAlignment="1">
      <alignment horizontal="center" vertical="top"/>
    </xf>
    <xf numFmtId="164" fontId="7" fillId="10" borderId="10" xfId="0" applyNumberFormat="1" applyFont="1" applyFill="1" applyBorder="1" applyAlignment="1">
      <alignment horizontal="center" vertical="top"/>
    </xf>
    <xf numFmtId="164" fontId="7" fillId="10" borderId="18" xfId="0" applyNumberFormat="1" applyFont="1" applyFill="1" applyBorder="1" applyAlignment="1">
      <alignment horizontal="center" vertical="top"/>
    </xf>
    <xf numFmtId="164" fontId="10" fillId="10" borderId="29" xfId="0" applyNumberFormat="1" applyFont="1" applyFill="1" applyBorder="1" applyAlignment="1">
      <alignment horizontal="center" vertical="top" wrapText="1"/>
    </xf>
    <xf numFmtId="164" fontId="10" fillId="10" borderId="30" xfId="0" applyNumberFormat="1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center" textRotation="90" wrapText="1"/>
    </xf>
    <xf numFmtId="0" fontId="22" fillId="10" borderId="30" xfId="0" applyFont="1" applyFill="1" applyBorder="1" applyAlignment="1">
      <alignment horizontal="right" vertical="top" wrapText="1"/>
    </xf>
    <xf numFmtId="164" fontId="6" fillId="0" borderId="44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164" fontId="7" fillId="11" borderId="36" xfId="0" applyNumberFormat="1" applyFont="1" applyFill="1" applyBorder="1" applyAlignment="1">
      <alignment horizontal="center" vertical="center"/>
    </xf>
    <xf numFmtId="164" fontId="7" fillId="11" borderId="37" xfId="0" applyNumberFormat="1" applyFont="1" applyFill="1" applyBorder="1" applyAlignment="1">
      <alignment horizontal="center" vertical="center"/>
    </xf>
    <xf numFmtId="164" fontId="7" fillId="11" borderId="32" xfId="0" applyNumberFormat="1" applyFont="1" applyFill="1" applyBorder="1" applyAlignment="1">
      <alignment horizontal="center" vertical="top"/>
    </xf>
    <xf numFmtId="164" fontId="7" fillId="11" borderId="33" xfId="0" applyNumberFormat="1" applyFont="1" applyFill="1" applyBorder="1" applyAlignment="1">
      <alignment horizontal="center" vertical="top"/>
    </xf>
    <xf numFmtId="164" fontId="7" fillId="11" borderId="9" xfId="0" applyNumberFormat="1" applyFont="1" applyFill="1" applyBorder="1" applyAlignment="1">
      <alignment horizontal="center" vertical="top"/>
    </xf>
    <xf numFmtId="164" fontId="7" fillId="11" borderId="10" xfId="0" applyNumberFormat="1" applyFont="1" applyFill="1" applyBorder="1" applyAlignment="1">
      <alignment horizontal="center" vertical="top"/>
    </xf>
    <xf numFmtId="164" fontId="7" fillId="11" borderId="18" xfId="0" applyNumberFormat="1" applyFont="1" applyFill="1" applyBorder="1" applyAlignment="1">
      <alignment horizontal="center" vertical="top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37" xfId="0" applyNumberFormat="1" applyFont="1" applyFill="1" applyBorder="1" applyAlignment="1">
      <alignment horizontal="center" vertical="center"/>
    </xf>
    <xf numFmtId="164" fontId="7" fillId="0" borderId="31" xfId="0" applyNumberFormat="1" applyFont="1" applyFill="1" applyBorder="1" applyAlignment="1">
      <alignment horizontal="center" vertical="top"/>
    </xf>
    <xf numFmtId="164" fontId="7" fillId="0" borderId="32" xfId="0" applyNumberFormat="1" applyFont="1" applyFill="1" applyBorder="1" applyAlignment="1">
      <alignment horizontal="center" vertical="top"/>
    </xf>
    <xf numFmtId="164" fontId="7" fillId="0" borderId="71" xfId="0" applyNumberFormat="1" applyFont="1" applyFill="1" applyBorder="1" applyAlignment="1">
      <alignment horizontal="center" vertical="top"/>
    </xf>
    <xf numFmtId="164" fontId="22" fillId="0" borderId="33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6" fillId="6" borderId="70" xfId="0" applyFont="1" applyFill="1" applyBorder="1" applyAlignment="1">
      <alignment vertical="top" wrapText="1"/>
    </xf>
    <xf numFmtId="0" fontId="6" fillId="0" borderId="70" xfId="0" applyFont="1" applyFill="1" applyBorder="1" applyAlignment="1">
      <alignment vertical="top" wrapText="1"/>
    </xf>
    <xf numFmtId="164" fontId="7" fillId="0" borderId="9" xfId="0" applyNumberFormat="1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center" vertical="top"/>
    </xf>
    <xf numFmtId="164" fontId="7" fillId="0" borderId="18" xfId="0" applyNumberFormat="1" applyFont="1" applyFill="1" applyBorder="1" applyAlignment="1">
      <alignment horizontal="center" vertical="top"/>
    </xf>
    <xf numFmtId="164" fontId="22" fillId="10" borderId="1" xfId="0" applyNumberFormat="1" applyFont="1" applyFill="1" applyBorder="1" applyAlignment="1">
      <alignment horizontal="center" vertical="top"/>
    </xf>
    <xf numFmtId="164" fontId="22" fillId="10" borderId="47" xfId="0" applyNumberFormat="1" applyFont="1" applyFill="1" applyBorder="1" applyAlignment="1">
      <alignment horizontal="center" vertical="top"/>
    </xf>
    <xf numFmtId="164" fontId="22" fillId="10" borderId="48" xfId="0" applyNumberFormat="1" applyFont="1" applyFill="1" applyBorder="1" applyAlignment="1">
      <alignment horizontal="center" vertical="top"/>
    </xf>
    <xf numFmtId="164" fontId="7" fillId="10" borderId="57" xfId="0" applyNumberFormat="1" applyFont="1" applyFill="1" applyBorder="1" applyAlignment="1">
      <alignment horizontal="center" vertical="top"/>
    </xf>
    <xf numFmtId="164" fontId="22" fillId="10" borderId="55" xfId="0" applyNumberFormat="1" applyFont="1" applyFill="1" applyBorder="1" applyAlignment="1">
      <alignment horizontal="center" vertical="top"/>
    </xf>
    <xf numFmtId="164" fontId="22" fillId="10" borderId="59" xfId="0" applyNumberFormat="1" applyFont="1" applyFill="1" applyBorder="1" applyAlignment="1">
      <alignment horizontal="center" vertical="top"/>
    </xf>
    <xf numFmtId="164" fontId="22" fillId="3" borderId="16" xfId="0" applyNumberFormat="1" applyFont="1" applyFill="1" applyBorder="1" applyAlignment="1">
      <alignment horizontal="center" vertical="center"/>
    </xf>
    <xf numFmtId="164" fontId="22" fillId="10" borderId="56" xfId="0" applyNumberFormat="1" applyFont="1" applyFill="1" applyBorder="1" applyAlignment="1">
      <alignment horizontal="center" vertical="top"/>
    </xf>
    <xf numFmtId="164" fontId="7" fillId="6" borderId="21" xfId="0" applyNumberFormat="1" applyFont="1" applyFill="1" applyBorder="1" applyAlignment="1">
      <alignment horizontal="center" vertical="top"/>
    </xf>
    <xf numFmtId="164" fontId="22" fillId="10" borderId="30" xfId="0" applyNumberFormat="1" applyFont="1" applyFill="1" applyBorder="1" applyAlignment="1">
      <alignment horizontal="center" vertical="top"/>
    </xf>
    <xf numFmtId="164" fontId="7" fillId="0" borderId="23" xfId="0" applyNumberFormat="1" applyFont="1" applyFill="1" applyBorder="1" applyAlignment="1">
      <alignment horizontal="center" vertical="top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24" xfId="0" applyNumberFormat="1" applyFont="1" applyFill="1" applyBorder="1" applyAlignment="1">
      <alignment horizontal="center" vertical="center"/>
    </xf>
    <xf numFmtId="164" fontId="22" fillId="3" borderId="68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top" wrapText="1"/>
    </xf>
    <xf numFmtId="0" fontId="6" fillId="0" borderId="34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47" xfId="0" applyFont="1" applyFill="1" applyBorder="1" applyAlignment="1">
      <alignment horizontal="left" vertical="top" wrapText="1"/>
    </xf>
    <xf numFmtId="164" fontId="6" fillId="0" borderId="72" xfId="0" applyNumberFormat="1" applyFont="1" applyFill="1" applyBorder="1" applyAlignment="1">
      <alignment horizontal="center" vertical="top" wrapText="1"/>
    </xf>
    <xf numFmtId="0" fontId="25" fillId="0" borderId="0" xfId="0" applyFont="1"/>
    <xf numFmtId="0" fontId="7" fillId="0" borderId="1" xfId="0" applyFont="1" applyBorder="1" applyAlignment="1">
      <alignment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49" fontId="5" fillId="2" borderId="26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vertical="center" textRotation="90" wrapText="1"/>
    </xf>
    <xf numFmtId="0" fontId="7" fillId="0" borderId="4" xfId="0" applyFont="1" applyBorder="1" applyAlignment="1">
      <alignment horizontal="center" vertical="top"/>
    </xf>
    <xf numFmtId="0" fontId="7" fillId="6" borderId="10" xfId="0" applyFont="1" applyFill="1" applyBorder="1" applyAlignment="1">
      <alignment horizontal="center" vertical="top"/>
    </xf>
    <xf numFmtId="0" fontId="7" fillId="6" borderId="22" xfId="0" applyFont="1" applyFill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7" fillId="6" borderId="12" xfId="0" applyFont="1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/>
    </xf>
    <xf numFmtId="0" fontId="22" fillId="10" borderId="3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/>
    </xf>
    <xf numFmtId="49" fontId="5" fillId="2" borderId="9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49" fontId="5" fillId="2" borderId="1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horizontal="center" vertical="top" wrapText="1"/>
    </xf>
    <xf numFmtId="49" fontId="5" fillId="2" borderId="13" xfId="0" applyNumberFormat="1" applyFont="1" applyFill="1" applyBorder="1" applyAlignment="1">
      <alignment vertical="top"/>
    </xf>
    <xf numFmtId="49" fontId="5" fillId="3" borderId="14" xfId="0" applyNumberFormat="1" applyFont="1" applyFill="1" applyBorder="1" applyAlignment="1">
      <alignment vertical="top"/>
    </xf>
    <xf numFmtId="49" fontId="5" fillId="6" borderId="20" xfId="0" applyNumberFormat="1" applyFont="1" applyFill="1" applyBorder="1" applyAlignment="1">
      <alignment vertical="top"/>
    </xf>
    <xf numFmtId="0" fontId="22" fillId="10" borderId="49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 wrapText="1"/>
    </xf>
    <xf numFmtId="0" fontId="7" fillId="0" borderId="62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60" xfId="0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3" borderId="24" xfId="0" applyNumberFormat="1" applyFont="1" applyFill="1" applyBorder="1" applyAlignment="1">
      <alignment horizontal="center" vertical="top"/>
    </xf>
    <xf numFmtId="49" fontId="5" fillId="2" borderId="9" xfId="0" applyNumberFormat="1" applyFont="1" applyFill="1" applyBorder="1" applyAlignment="1">
      <alignment vertical="top"/>
    </xf>
    <xf numFmtId="49" fontId="5" fillId="3" borderId="10" xfId="0" applyNumberFormat="1" applyFont="1" applyFill="1" applyBorder="1" applyAlignment="1">
      <alignment vertical="top"/>
    </xf>
    <xf numFmtId="49" fontId="5" fillId="6" borderId="18" xfId="0" applyNumberFormat="1" applyFont="1" applyFill="1" applyBorder="1" applyAlignment="1">
      <alignment vertical="top"/>
    </xf>
    <xf numFmtId="0" fontId="7" fillId="0" borderId="21" xfId="0" applyFont="1" applyBorder="1" applyAlignment="1">
      <alignment horizontal="center" vertical="top" wrapText="1"/>
    </xf>
    <xf numFmtId="1" fontId="6" fillId="0" borderId="35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1" fontId="6" fillId="0" borderId="41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6" borderId="43" xfId="0" applyNumberFormat="1" applyFont="1" applyFill="1" applyBorder="1" applyAlignment="1">
      <alignment vertical="top"/>
    </xf>
    <xf numFmtId="49" fontId="6" fillId="6" borderId="32" xfId="0" applyNumberFormat="1" applyFont="1" applyFill="1" applyBorder="1" applyAlignment="1">
      <alignment horizontal="center" vertical="center"/>
    </xf>
    <xf numFmtId="49" fontId="6" fillId="6" borderId="71" xfId="0" applyNumberFormat="1" applyFont="1" applyFill="1" applyBorder="1" applyAlignment="1">
      <alignment horizontal="center" vertical="center"/>
    </xf>
    <xf numFmtId="49" fontId="6" fillId="6" borderId="28" xfId="0" applyNumberFormat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top" wrapText="1"/>
    </xf>
    <xf numFmtId="49" fontId="6" fillId="0" borderId="32" xfId="0" applyNumberFormat="1" applyFont="1" applyFill="1" applyBorder="1" applyAlignment="1">
      <alignment horizontal="center" vertical="top"/>
    </xf>
    <xf numFmtId="49" fontId="6" fillId="0" borderId="28" xfId="0" applyNumberFormat="1" applyFont="1" applyFill="1" applyBorder="1" applyAlignment="1">
      <alignment horizontal="center" vertical="top"/>
    </xf>
    <xf numFmtId="0" fontId="25" fillId="0" borderId="0" xfId="0" applyFont="1" applyBorder="1"/>
    <xf numFmtId="0" fontId="7" fillId="0" borderId="19" xfId="0" applyFont="1" applyBorder="1" applyAlignment="1">
      <alignment horizontal="center" vertical="top" wrapText="1"/>
    </xf>
    <xf numFmtId="49" fontId="6" fillId="0" borderId="39" xfId="0" applyNumberFormat="1" applyFont="1" applyFill="1" applyBorder="1" applyAlignment="1">
      <alignment horizontal="center" vertical="top"/>
    </xf>
    <xf numFmtId="49" fontId="6" fillId="0" borderId="51" xfId="0" applyNumberFormat="1" applyFont="1" applyFill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center" vertical="top"/>
    </xf>
    <xf numFmtId="49" fontId="6" fillId="0" borderId="54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1" fontId="6" fillId="0" borderId="45" xfId="0" applyNumberFormat="1" applyFont="1" applyFill="1" applyBorder="1" applyAlignment="1">
      <alignment horizontal="center" vertical="top"/>
    </xf>
    <xf numFmtId="0" fontId="25" fillId="0" borderId="64" xfId="0" applyFont="1" applyBorder="1" applyAlignment="1">
      <alignment vertical="top" wrapText="1"/>
    </xf>
    <xf numFmtId="49" fontId="6" fillId="0" borderId="65" xfId="0" applyNumberFormat="1" applyFont="1" applyFill="1" applyBorder="1" applyAlignment="1">
      <alignment horizontal="center" vertical="top"/>
    </xf>
    <xf numFmtId="49" fontId="6" fillId="0" borderId="66" xfId="0" applyNumberFormat="1" applyFont="1" applyFill="1" applyBorder="1" applyAlignment="1">
      <alignment horizontal="center" vertical="top"/>
    </xf>
    <xf numFmtId="49" fontId="6" fillId="0" borderId="60" xfId="0" applyNumberFormat="1" applyFont="1" applyFill="1" applyBorder="1" applyAlignment="1">
      <alignment horizontal="center" vertical="top"/>
    </xf>
    <xf numFmtId="164" fontId="6" fillId="0" borderId="41" xfId="0" applyNumberFormat="1" applyFont="1" applyFill="1" applyBorder="1" applyAlignment="1">
      <alignment horizontal="center" vertical="top" wrapText="1"/>
    </xf>
    <xf numFmtId="164" fontId="6" fillId="6" borderId="45" xfId="0" applyNumberFormat="1" applyFont="1" applyFill="1" applyBorder="1" applyAlignment="1">
      <alignment horizontal="center" vertical="top" wrapText="1"/>
    </xf>
    <xf numFmtId="164" fontId="6" fillId="6" borderId="46" xfId="0" applyNumberFormat="1" applyFont="1" applyFill="1" applyBorder="1" applyAlignment="1">
      <alignment horizontal="center" vertical="top" wrapText="1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36" xfId="0" applyNumberFormat="1" applyFont="1" applyFill="1" applyBorder="1" applyAlignment="1">
      <alignment horizontal="center" vertical="top"/>
    </xf>
    <xf numFmtId="164" fontId="7" fillId="0" borderId="53" xfId="0" applyNumberFormat="1" applyFont="1" applyFill="1" applyBorder="1" applyAlignment="1">
      <alignment horizontal="center" vertical="top"/>
    </xf>
    <xf numFmtId="0" fontId="6" fillId="0" borderId="32" xfId="0" applyNumberFormat="1" applyFont="1" applyFill="1" applyBorder="1" applyAlignment="1">
      <alignment horizontal="center" vertical="top"/>
    </xf>
    <xf numFmtId="0" fontId="6" fillId="0" borderId="33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59" xfId="0" applyNumberFormat="1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4" borderId="2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164" fontId="22" fillId="4" borderId="19" xfId="0" applyNumberFormat="1" applyFont="1" applyFill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0" fontId="6" fillId="6" borderId="0" xfId="0" applyFont="1" applyFill="1" applyBorder="1" applyAlignment="1">
      <alignment vertical="top"/>
    </xf>
    <xf numFmtId="164" fontId="22" fillId="10" borderId="30" xfId="0" applyNumberFormat="1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6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6" fillId="11" borderId="0" xfId="0" applyFont="1" applyFill="1" applyAlignment="1">
      <alignment vertical="top"/>
    </xf>
    <xf numFmtId="164" fontId="22" fillId="11" borderId="0" xfId="0" applyNumberFormat="1" applyFont="1" applyFill="1" applyBorder="1" applyAlignment="1">
      <alignment horizontal="center" vertical="top" wrapText="1"/>
    </xf>
    <xf numFmtId="0" fontId="25" fillId="11" borderId="0" xfId="0" applyFont="1" applyFill="1"/>
    <xf numFmtId="164" fontId="7" fillId="11" borderId="0" xfId="0" applyNumberFormat="1" applyFont="1" applyFill="1" applyBorder="1" applyAlignment="1">
      <alignment vertical="top" wrapText="1"/>
    </xf>
    <xf numFmtId="164" fontId="7" fillId="11" borderId="19" xfId="0" applyNumberFormat="1" applyFont="1" applyFill="1" applyBorder="1" applyAlignment="1">
      <alignment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/>
    </xf>
    <xf numFmtId="0" fontId="25" fillId="0" borderId="53" xfId="0" applyFont="1" applyBorder="1"/>
    <xf numFmtId="164" fontId="6" fillId="11" borderId="4" xfId="0" applyNumberFormat="1" applyFont="1" applyFill="1" applyBorder="1" applyAlignment="1">
      <alignment horizontal="center" vertical="top" wrapText="1"/>
    </xf>
    <xf numFmtId="164" fontId="6" fillId="11" borderId="21" xfId="0" applyNumberFormat="1" applyFont="1" applyFill="1" applyBorder="1" applyAlignment="1">
      <alignment horizontal="center" vertical="top" wrapText="1"/>
    </xf>
    <xf numFmtId="164" fontId="22" fillId="10" borderId="49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 wrapText="1"/>
    </xf>
    <xf numFmtId="1" fontId="6" fillId="0" borderId="18" xfId="0" applyNumberFormat="1" applyFont="1" applyFill="1" applyBorder="1" applyAlignment="1">
      <alignment horizontal="center" vertical="top" wrapText="1"/>
    </xf>
    <xf numFmtId="1" fontId="25" fillId="0" borderId="22" xfId="0" applyNumberFormat="1" applyFont="1" applyBorder="1"/>
    <xf numFmtId="1" fontId="6" fillId="0" borderId="12" xfId="0" applyNumberFormat="1" applyFont="1" applyFill="1" applyBorder="1" applyAlignment="1">
      <alignment horizontal="center" vertical="top" wrapText="1"/>
    </xf>
    <xf numFmtId="1" fontId="6" fillId="0" borderId="43" xfId="0" applyNumberFormat="1" applyFont="1" applyFill="1" applyBorder="1" applyAlignment="1">
      <alignment horizontal="center" vertical="top" wrapText="1"/>
    </xf>
    <xf numFmtId="1" fontId="25" fillId="0" borderId="37" xfId="0" applyNumberFormat="1" applyFont="1" applyBorder="1"/>
    <xf numFmtId="0" fontId="6" fillId="0" borderId="25" xfId="0" applyFont="1" applyBorder="1" applyAlignment="1">
      <alignment horizontal="left" vertical="top"/>
    </xf>
    <xf numFmtId="0" fontId="7" fillId="0" borderId="37" xfId="0" applyFont="1" applyFill="1" applyBorder="1" applyAlignment="1">
      <alignment horizontal="center" vertical="top" wrapText="1"/>
    </xf>
    <xf numFmtId="164" fontId="6" fillId="0" borderId="25" xfId="0" applyNumberFormat="1" applyFont="1" applyBorder="1" applyAlignment="1">
      <alignment horizontal="left" vertical="top"/>
    </xf>
    <xf numFmtId="49" fontId="7" fillId="0" borderId="14" xfId="0" applyNumberFormat="1" applyFont="1" applyFill="1" applyBorder="1" applyAlignment="1">
      <alignment horizontal="center" vertical="top" wrapText="1"/>
    </xf>
    <xf numFmtId="49" fontId="5" fillId="0" borderId="20" xfId="0" applyNumberFormat="1" applyFont="1" applyFill="1" applyBorder="1" applyAlignment="1">
      <alignment horizontal="center" vertical="top" wrapText="1"/>
    </xf>
    <xf numFmtId="49" fontId="25" fillId="0" borderId="60" xfId="0" applyNumberFormat="1" applyFont="1" applyBorder="1"/>
    <xf numFmtId="0" fontId="7" fillId="0" borderId="1" xfId="0" applyFont="1" applyBorder="1" applyAlignment="1">
      <alignment horizontal="center" vertical="center" textRotation="90" wrapText="1"/>
    </xf>
    <xf numFmtId="164" fontId="7" fillId="11" borderId="34" xfId="0" applyNumberFormat="1" applyFont="1" applyFill="1" applyBorder="1" applyAlignment="1">
      <alignment horizontal="center" vertical="top"/>
    </xf>
    <xf numFmtId="164" fontId="7" fillId="11" borderId="35" xfId="0" applyNumberFormat="1" applyFont="1" applyFill="1" applyBorder="1" applyAlignment="1">
      <alignment horizontal="center" vertical="top"/>
    </xf>
    <xf numFmtId="164" fontId="7" fillId="11" borderId="36" xfId="0" applyNumberFormat="1" applyFont="1" applyFill="1" applyBorder="1" applyAlignment="1">
      <alignment horizontal="center" vertical="top"/>
    </xf>
    <xf numFmtId="164" fontId="7" fillId="0" borderId="34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center" vertical="top"/>
    </xf>
    <xf numFmtId="164" fontId="7" fillId="0" borderId="36" xfId="0" applyNumberFormat="1" applyFont="1" applyFill="1" applyBorder="1" applyAlignment="1">
      <alignment horizontal="center" vertical="top"/>
    </xf>
    <xf numFmtId="164" fontId="7" fillId="10" borderId="34" xfId="0" applyNumberFormat="1" applyFont="1" applyFill="1" applyBorder="1" applyAlignment="1">
      <alignment horizontal="center" vertical="top"/>
    </xf>
    <xf numFmtId="164" fontId="7" fillId="10" borderId="35" xfId="0" applyNumberFormat="1" applyFont="1" applyFill="1" applyBorder="1" applyAlignment="1">
      <alignment horizontal="center" vertical="top"/>
    </xf>
    <xf numFmtId="164" fontId="7" fillId="10" borderId="36" xfId="0" applyNumberFormat="1" applyFont="1" applyFill="1" applyBorder="1" applyAlignment="1">
      <alignment horizontal="center" vertical="top"/>
    </xf>
    <xf numFmtId="164" fontId="7" fillId="0" borderId="42" xfId="0" applyNumberFormat="1" applyFont="1" applyFill="1" applyBorder="1" applyAlignment="1">
      <alignment horizontal="center" vertical="top"/>
    </xf>
    <xf numFmtId="164" fontId="7" fillId="0" borderId="4" xfId="0" applyNumberFormat="1" applyFont="1" applyFill="1" applyBorder="1" applyAlignment="1">
      <alignment horizontal="center" vertical="top"/>
    </xf>
    <xf numFmtId="164" fontId="7" fillId="11" borderId="11" xfId="0" applyNumberFormat="1" applyFont="1" applyFill="1" applyBorder="1" applyAlignment="1">
      <alignment horizontal="center" vertical="top"/>
    </xf>
    <xf numFmtId="164" fontId="7" fillId="11" borderId="12" xfId="0" applyNumberFormat="1" applyFont="1" applyFill="1" applyBorder="1" applyAlignment="1">
      <alignment horizontal="center" vertical="top"/>
    </xf>
    <xf numFmtId="164" fontId="7" fillId="11" borderId="37" xfId="0" applyNumberFormat="1" applyFont="1" applyFill="1" applyBorder="1" applyAlignment="1">
      <alignment horizontal="center" vertical="top"/>
    </xf>
    <xf numFmtId="164" fontId="7" fillId="0" borderId="11" xfId="0" applyNumberFormat="1" applyFont="1" applyFill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164" fontId="7" fillId="10" borderId="11" xfId="0" applyNumberFormat="1" applyFont="1" applyFill="1" applyBorder="1" applyAlignment="1">
      <alignment horizontal="center" vertical="top"/>
    </xf>
    <xf numFmtId="164" fontId="7" fillId="10" borderId="12" xfId="0" applyNumberFormat="1" applyFont="1" applyFill="1" applyBorder="1" applyAlignment="1">
      <alignment horizontal="center" vertical="top"/>
    </xf>
    <xf numFmtId="164" fontId="7" fillId="0" borderId="43" xfId="0" applyNumberFormat="1" applyFont="1" applyFill="1" applyBorder="1" applyAlignment="1">
      <alignment horizontal="center" vertical="top"/>
    </xf>
    <xf numFmtId="164" fontId="7" fillId="0" borderId="52" xfId="0" applyNumberFormat="1" applyFont="1" applyFill="1" applyBorder="1" applyAlignment="1">
      <alignment horizontal="center" vertical="top"/>
    </xf>
    <xf numFmtId="164" fontId="7" fillId="11" borderId="31" xfId="0" applyNumberFormat="1" applyFont="1" applyFill="1" applyBorder="1" applyAlignment="1">
      <alignment horizontal="center" vertical="top"/>
    </xf>
    <xf numFmtId="164" fontId="7" fillId="0" borderId="33" xfId="0" applyNumberFormat="1" applyFont="1" applyFill="1" applyBorder="1" applyAlignment="1">
      <alignment horizontal="center" vertical="top"/>
    </xf>
    <xf numFmtId="164" fontId="7" fillId="10" borderId="31" xfId="0" applyNumberFormat="1" applyFont="1" applyFill="1" applyBorder="1" applyAlignment="1">
      <alignment horizontal="center" vertical="top"/>
    </xf>
    <xf numFmtId="164" fontId="7" fillId="0" borderId="61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164" fontId="7" fillId="11" borderId="38" xfId="0" applyNumberFormat="1" applyFont="1" applyFill="1" applyBorder="1" applyAlignment="1">
      <alignment horizontal="center" vertical="top"/>
    </xf>
    <xf numFmtId="164" fontId="7" fillId="11" borderId="39" xfId="0" applyNumberFormat="1" applyFont="1" applyFill="1" applyBorder="1" applyAlignment="1">
      <alignment horizontal="center" vertical="top"/>
    </xf>
    <xf numFmtId="164" fontId="7" fillId="11" borderId="40" xfId="0" applyNumberFormat="1" applyFont="1" applyFill="1" applyBorder="1" applyAlignment="1">
      <alignment horizontal="center" vertical="top"/>
    </xf>
    <xf numFmtId="164" fontId="7" fillId="0" borderId="38" xfId="0" applyNumberFormat="1" applyFont="1" applyFill="1" applyBorder="1" applyAlignment="1">
      <alignment horizontal="center" vertical="top"/>
    </xf>
    <xf numFmtId="164" fontId="7" fillId="0" borderId="39" xfId="0" applyNumberFormat="1" applyFont="1" applyFill="1" applyBorder="1" applyAlignment="1">
      <alignment horizontal="center" vertical="top"/>
    </xf>
    <xf numFmtId="164" fontId="7" fillId="0" borderId="40" xfId="0" applyNumberFormat="1" applyFont="1" applyFill="1" applyBorder="1" applyAlignment="1">
      <alignment horizontal="center" vertical="top"/>
    </xf>
    <xf numFmtId="164" fontId="7" fillId="10" borderId="38" xfId="0" applyNumberFormat="1" applyFont="1" applyFill="1" applyBorder="1" applyAlignment="1">
      <alignment horizontal="center" vertical="top"/>
    </xf>
    <xf numFmtId="164" fontId="7" fillId="10" borderId="39" xfId="0" applyNumberFormat="1" applyFont="1" applyFill="1" applyBorder="1" applyAlignment="1">
      <alignment horizontal="center" vertical="top"/>
    </xf>
    <xf numFmtId="164" fontId="7" fillId="10" borderId="40" xfId="0" applyNumberFormat="1" applyFont="1" applyFill="1" applyBorder="1" applyAlignment="1">
      <alignment horizontal="center" vertical="top"/>
    </xf>
    <xf numFmtId="164" fontId="7" fillId="0" borderId="62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164" fontId="22" fillId="10" borderId="29" xfId="0" applyNumberFormat="1" applyFont="1" applyFill="1" applyBorder="1" applyAlignment="1">
      <alignment horizontal="center" vertical="top"/>
    </xf>
    <xf numFmtId="164" fontId="22" fillId="10" borderId="38" xfId="0" applyNumberFormat="1" applyFont="1" applyFill="1" applyBorder="1" applyAlignment="1">
      <alignment horizontal="center" vertical="top"/>
    </xf>
    <xf numFmtId="164" fontId="22" fillId="10" borderId="73" xfId="0" applyNumberFormat="1" applyFont="1" applyFill="1" applyBorder="1" applyAlignment="1">
      <alignment horizontal="center" vertical="top"/>
    </xf>
    <xf numFmtId="164" fontId="22" fillId="10" borderId="51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164" fontId="7" fillId="0" borderId="64" xfId="0" applyNumberFormat="1" applyFont="1" applyFill="1" applyBorder="1" applyAlignment="1">
      <alignment horizontal="center" vertical="top"/>
    </xf>
    <xf numFmtId="164" fontId="7" fillId="0" borderId="65" xfId="0" applyNumberFormat="1" applyFont="1" applyFill="1" applyBorder="1" applyAlignment="1">
      <alignment horizontal="center" vertical="top"/>
    </xf>
    <xf numFmtId="164" fontId="22" fillId="0" borderId="43" xfId="0" applyNumberFormat="1" applyFont="1" applyFill="1" applyBorder="1" applyAlignment="1">
      <alignment horizontal="center" vertical="top"/>
    </xf>
    <xf numFmtId="164" fontId="7" fillId="6" borderId="38" xfId="0" applyNumberFormat="1" applyFont="1" applyFill="1" applyBorder="1" applyAlignment="1">
      <alignment horizontal="center" vertical="top"/>
    </xf>
    <xf numFmtId="164" fontId="7" fillId="6" borderId="39" xfId="0" applyNumberFormat="1" applyFont="1" applyFill="1" applyBorder="1" applyAlignment="1">
      <alignment horizontal="center" vertical="top"/>
    </xf>
    <xf numFmtId="164" fontId="22" fillId="6" borderId="62" xfId="0" applyNumberFormat="1" applyFont="1" applyFill="1" applyBorder="1" applyAlignment="1">
      <alignment horizontal="center" vertical="top"/>
    </xf>
    <xf numFmtId="164" fontId="7" fillId="6" borderId="8" xfId="0" applyNumberFormat="1" applyFont="1" applyFill="1" applyBorder="1" applyAlignment="1">
      <alignment horizontal="center" vertical="top"/>
    </xf>
    <xf numFmtId="164" fontId="22" fillId="0" borderId="18" xfId="0" applyNumberFormat="1" applyFont="1" applyFill="1" applyBorder="1" applyAlignment="1">
      <alignment horizontal="center" vertical="top"/>
    </xf>
    <xf numFmtId="164" fontId="22" fillId="3" borderId="57" xfId="0" applyNumberFormat="1" applyFont="1" applyFill="1" applyBorder="1" applyAlignment="1">
      <alignment horizontal="center" vertical="top"/>
    </xf>
    <xf numFmtId="164" fontId="22" fillId="3" borderId="23" xfId="0" applyNumberFormat="1" applyFont="1" applyFill="1" applyBorder="1" applyAlignment="1">
      <alignment horizontal="center" vertical="top"/>
    </xf>
    <xf numFmtId="164" fontId="22" fillId="3" borderId="2" xfId="0" applyNumberFormat="1" applyFont="1" applyFill="1" applyBorder="1" applyAlignment="1">
      <alignment horizontal="center" vertical="top"/>
    </xf>
    <xf numFmtId="164" fontId="22" fillId="3" borderId="27" xfId="0" applyNumberFormat="1" applyFont="1" applyFill="1" applyBorder="1" applyAlignment="1">
      <alignment horizontal="center" vertical="top"/>
    </xf>
    <xf numFmtId="164" fontId="22" fillId="3" borderId="68" xfId="0" applyNumberFormat="1" applyFont="1" applyFill="1" applyBorder="1" applyAlignment="1">
      <alignment horizontal="center" vertical="top"/>
    </xf>
    <xf numFmtId="164" fontId="22" fillId="3" borderId="16" xfId="0" applyNumberFormat="1" applyFont="1" applyFill="1" applyBorder="1" applyAlignment="1">
      <alignment horizontal="center" vertical="top"/>
    </xf>
    <xf numFmtId="164" fontId="7" fillId="0" borderId="57" xfId="0" applyNumberFormat="1" applyFont="1" applyFill="1" applyBorder="1" applyAlignment="1">
      <alignment horizontal="center" vertical="top"/>
    </xf>
    <xf numFmtId="164" fontId="7" fillId="0" borderId="22" xfId="0" applyNumberFormat="1" applyFont="1" applyFill="1" applyBorder="1" applyAlignment="1">
      <alignment horizontal="center" vertical="top"/>
    </xf>
    <xf numFmtId="164" fontId="7" fillId="11" borderId="43" xfId="0" applyNumberFormat="1" applyFont="1" applyFill="1" applyBorder="1" applyAlignment="1">
      <alignment horizontal="center" vertical="top"/>
    </xf>
    <xf numFmtId="164" fontId="7" fillId="0" borderId="69" xfId="0" applyNumberFormat="1" applyFont="1" applyFill="1" applyBorder="1" applyAlignment="1">
      <alignment horizontal="center" vertical="top"/>
    </xf>
    <xf numFmtId="164" fontId="7" fillId="10" borderId="43" xfId="0" applyNumberFormat="1" applyFont="1" applyFill="1" applyBorder="1" applyAlignment="1">
      <alignment horizontal="center" vertical="top"/>
    </xf>
    <xf numFmtId="164" fontId="7" fillId="6" borderId="53" xfId="0" applyNumberFormat="1" applyFont="1" applyFill="1" applyBorder="1" applyAlignment="1">
      <alignment horizontal="center" vertical="top"/>
    </xf>
    <xf numFmtId="164" fontId="22" fillId="0" borderId="12" xfId="0" applyNumberFormat="1" applyFont="1" applyFill="1" applyBorder="1" applyAlignment="1">
      <alignment horizontal="center" vertical="top"/>
    </xf>
    <xf numFmtId="164" fontId="22" fillId="0" borderId="69" xfId="0" applyNumberFormat="1" applyFont="1" applyFill="1" applyBorder="1" applyAlignment="1">
      <alignment horizontal="center" vertical="top"/>
    </xf>
    <xf numFmtId="164" fontId="22" fillId="0" borderId="37" xfId="0" applyNumberFormat="1" applyFont="1" applyFill="1" applyBorder="1" applyAlignment="1">
      <alignment horizontal="center" vertical="top"/>
    </xf>
    <xf numFmtId="164" fontId="7" fillId="11" borderId="61" xfId="0" applyNumberFormat="1" applyFont="1" applyFill="1" applyBorder="1" applyAlignment="1">
      <alignment horizontal="center" vertical="top"/>
    </xf>
    <xf numFmtId="164" fontId="7" fillId="10" borderId="61" xfId="0" applyNumberFormat="1" applyFont="1" applyFill="1" applyBorder="1" applyAlignment="1">
      <alignment horizontal="center" vertical="top"/>
    </xf>
    <xf numFmtId="164" fontId="7" fillId="6" borderId="70" xfId="0" applyNumberFormat="1" applyFont="1" applyFill="1" applyBorder="1" applyAlignment="1">
      <alignment horizontal="center" vertical="top"/>
    </xf>
    <xf numFmtId="164" fontId="7" fillId="11" borderId="9" xfId="0" applyNumberFormat="1" applyFont="1" applyFill="1" applyBorder="1" applyAlignment="1">
      <alignment horizontal="center" vertical="top" wrapText="1"/>
    </xf>
    <xf numFmtId="164" fontId="7" fillId="11" borderId="10" xfId="0" applyNumberFormat="1" applyFont="1" applyFill="1" applyBorder="1" applyAlignment="1">
      <alignment horizontal="center" vertical="top" wrapText="1"/>
    </xf>
    <xf numFmtId="164" fontId="7" fillId="11" borderId="22" xfId="0" applyNumberFormat="1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164" fontId="7" fillId="6" borderId="10" xfId="0" applyNumberFormat="1" applyFont="1" applyFill="1" applyBorder="1" applyAlignment="1">
      <alignment horizontal="center" vertical="top" wrapText="1"/>
    </xf>
    <xf numFmtId="164" fontId="7" fillId="6" borderId="22" xfId="0" applyNumberFormat="1" applyFont="1" applyFill="1" applyBorder="1" applyAlignment="1">
      <alignment horizontal="center" vertical="top" wrapText="1"/>
    </xf>
    <xf numFmtId="164" fontId="7" fillId="10" borderId="9" xfId="0" applyNumberFormat="1" applyFont="1" applyFill="1" applyBorder="1" applyAlignment="1">
      <alignment horizontal="center" vertical="top" wrapText="1"/>
    </xf>
    <xf numFmtId="164" fontId="7" fillId="10" borderId="10" xfId="0" applyNumberFormat="1" applyFont="1" applyFill="1" applyBorder="1" applyAlignment="1">
      <alignment horizontal="center" vertical="top" wrapText="1"/>
    </xf>
    <xf numFmtId="164" fontId="7" fillId="10" borderId="22" xfId="0" applyNumberFormat="1" applyFont="1" applyFill="1" applyBorder="1" applyAlignment="1">
      <alignment horizontal="center" vertical="top" wrapText="1"/>
    </xf>
    <xf numFmtId="164" fontId="7" fillId="6" borderId="21" xfId="0" applyNumberFormat="1" applyFont="1" applyFill="1" applyBorder="1" applyAlignment="1">
      <alignment horizontal="center" vertical="top" wrapText="1"/>
    </xf>
    <xf numFmtId="164" fontId="7" fillId="6" borderId="23" xfId="0" applyNumberFormat="1" applyFont="1" applyFill="1" applyBorder="1" applyAlignment="1">
      <alignment horizontal="center" vertical="top" wrapText="1"/>
    </xf>
    <xf numFmtId="164" fontId="7" fillId="11" borderId="31" xfId="0" applyNumberFormat="1" applyFont="1" applyFill="1" applyBorder="1" applyAlignment="1">
      <alignment horizontal="center" vertical="top" wrapText="1"/>
    </xf>
    <xf numFmtId="164" fontId="7" fillId="11" borderId="32" xfId="0" applyNumberFormat="1" applyFont="1" applyFill="1" applyBorder="1" applyAlignment="1">
      <alignment horizontal="center" vertical="top" wrapText="1"/>
    </xf>
    <xf numFmtId="164" fontId="7" fillId="11" borderId="33" xfId="0" applyNumberFormat="1" applyFont="1" applyFill="1" applyBorder="1" applyAlignment="1">
      <alignment horizontal="center" vertical="top" wrapText="1"/>
    </xf>
    <xf numFmtId="164" fontId="7" fillId="6" borderId="31" xfId="0" applyNumberFormat="1" applyFont="1" applyFill="1" applyBorder="1" applyAlignment="1">
      <alignment horizontal="center" vertical="top" wrapText="1"/>
    </xf>
    <xf numFmtId="164" fontId="7" fillId="6" borderId="32" xfId="0" applyNumberFormat="1" applyFont="1" applyFill="1" applyBorder="1" applyAlignment="1">
      <alignment horizontal="center" vertical="top" wrapText="1"/>
    </xf>
    <xf numFmtId="164" fontId="7" fillId="6" borderId="33" xfId="0" applyNumberFormat="1" applyFont="1" applyFill="1" applyBorder="1" applyAlignment="1">
      <alignment horizontal="center" vertical="top" wrapText="1"/>
    </xf>
    <xf numFmtId="164" fontId="7" fillId="10" borderId="31" xfId="0" applyNumberFormat="1" applyFont="1" applyFill="1" applyBorder="1" applyAlignment="1">
      <alignment horizontal="center" vertical="top" wrapText="1"/>
    </xf>
    <xf numFmtId="164" fontId="7" fillId="10" borderId="32" xfId="0" applyNumberFormat="1" applyFont="1" applyFill="1" applyBorder="1" applyAlignment="1">
      <alignment horizontal="center" vertical="top" wrapText="1"/>
    </xf>
    <xf numFmtId="164" fontId="7" fillId="10" borderId="33" xfId="0" applyNumberFormat="1" applyFont="1" applyFill="1" applyBorder="1" applyAlignment="1">
      <alignment horizontal="center" vertical="top" wrapText="1"/>
    </xf>
    <xf numFmtId="164" fontId="7" fillId="6" borderId="19" xfId="0" applyNumberFormat="1" applyFont="1" applyFill="1" applyBorder="1" applyAlignment="1">
      <alignment horizontal="center" vertical="top" wrapText="1"/>
    </xf>
    <xf numFmtId="164" fontId="7" fillId="6" borderId="28" xfId="0" applyNumberFormat="1" applyFont="1" applyFill="1" applyBorder="1" applyAlignment="1">
      <alignment horizontal="center" vertical="top" wrapText="1"/>
    </xf>
    <xf numFmtId="164" fontId="22" fillId="10" borderId="47" xfId="0" applyNumberFormat="1" applyFont="1" applyFill="1" applyBorder="1" applyAlignment="1">
      <alignment horizontal="center" vertical="top" wrapText="1"/>
    </xf>
    <xf numFmtId="164" fontId="22" fillId="10" borderId="1" xfId="0" applyNumberFormat="1" applyFont="1" applyFill="1" applyBorder="1" applyAlignment="1">
      <alignment horizontal="center" vertical="top" wrapText="1"/>
    </xf>
    <xf numFmtId="164" fontId="22" fillId="10" borderId="59" xfId="0" applyNumberFormat="1" applyFont="1" applyFill="1" applyBorder="1" applyAlignment="1">
      <alignment horizontal="center" vertical="top" wrapText="1"/>
    </xf>
    <xf numFmtId="164" fontId="7" fillId="11" borderId="42" xfId="0" applyNumberFormat="1" applyFont="1" applyFill="1" applyBorder="1" applyAlignment="1">
      <alignment horizontal="center" vertical="top"/>
    </xf>
    <xf numFmtId="164" fontId="22" fillId="0" borderId="35" xfId="0" applyNumberFormat="1" applyFont="1" applyFill="1" applyBorder="1" applyAlignment="1">
      <alignment horizontal="center" vertical="top"/>
    </xf>
    <xf numFmtId="164" fontId="7" fillId="10" borderId="42" xfId="0" applyNumberFormat="1" applyFont="1" applyFill="1" applyBorder="1" applyAlignment="1">
      <alignment horizontal="center" vertical="top"/>
    </xf>
    <xf numFmtId="164" fontId="22" fillId="0" borderId="5" xfId="0" applyNumberFormat="1" applyFont="1" applyFill="1" applyBorder="1" applyAlignment="1">
      <alignment horizontal="center" vertical="top"/>
    </xf>
    <xf numFmtId="164" fontId="22" fillId="0" borderId="53" xfId="0" applyNumberFormat="1" applyFont="1" applyFill="1" applyBorder="1" applyAlignment="1">
      <alignment horizontal="center" vertical="top"/>
    </xf>
    <xf numFmtId="164" fontId="22" fillId="0" borderId="10" xfId="0" applyNumberFormat="1" applyFont="1" applyFill="1" applyBorder="1" applyAlignment="1">
      <alignment horizontal="center" vertical="top"/>
    </xf>
    <xf numFmtId="164" fontId="22" fillId="10" borderId="55" xfId="0" applyNumberFormat="1" applyFont="1" applyFill="1" applyBorder="1" applyAlignment="1">
      <alignment horizontal="center" vertical="top" wrapText="1"/>
    </xf>
    <xf numFmtId="164" fontId="22" fillId="0" borderId="23" xfId="0" applyNumberFormat="1" applyFont="1" applyFill="1" applyBorder="1" applyAlignment="1">
      <alignment horizontal="center" vertical="top"/>
    </xf>
    <xf numFmtId="164" fontId="7" fillId="10" borderId="23" xfId="0" applyNumberFormat="1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164" fontId="22" fillId="0" borderId="0" xfId="0" applyNumberFormat="1" applyFont="1" applyFill="1" applyBorder="1" applyAlignment="1">
      <alignment horizontal="center" vertical="top"/>
    </xf>
    <xf numFmtId="164" fontId="7" fillId="10" borderId="0" xfId="0" applyNumberFormat="1" applyFont="1" applyFill="1" applyBorder="1" applyAlignment="1">
      <alignment horizontal="center" vertical="top"/>
    </xf>
    <xf numFmtId="164" fontId="7" fillId="0" borderId="78" xfId="0" applyNumberFormat="1" applyFont="1" applyFill="1" applyBorder="1" applyAlignment="1">
      <alignment horizontal="center" vertical="top"/>
    </xf>
    <xf numFmtId="164" fontId="7" fillId="0" borderId="75" xfId="0" applyNumberFormat="1" applyFont="1" applyFill="1" applyBorder="1" applyAlignment="1">
      <alignment horizontal="center" vertical="top"/>
    </xf>
    <xf numFmtId="164" fontId="22" fillId="0" borderId="78" xfId="0" applyNumberFormat="1" applyFont="1" applyFill="1" applyBorder="1" applyAlignment="1">
      <alignment horizontal="center" vertical="top"/>
    </xf>
    <xf numFmtId="164" fontId="7" fillId="10" borderId="78" xfId="0" applyNumberFormat="1" applyFont="1" applyFill="1" applyBorder="1" applyAlignment="1">
      <alignment horizontal="center" vertical="top"/>
    </xf>
    <xf numFmtId="164" fontId="7" fillId="11" borderId="5" xfId="0" applyNumberFormat="1" applyFont="1" applyFill="1" applyBorder="1" applyAlignment="1">
      <alignment horizontal="center" vertical="top"/>
    </xf>
    <xf numFmtId="164" fontId="22" fillId="11" borderId="35" xfId="0" applyNumberFormat="1" applyFont="1" applyFill="1" applyBorder="1" applyAlignment="1">
      <alignment horizontal="center" vertical="top"/>
    </xf>
    <xf numFmtId="164" fontId="22" fillId="11" borderId="78" xfId="0" applyNumberFormat="1" applyFont="1" applyFill="1" applyBorder="1" applyAlignment="1">
      <alignment horizontal="center" vertical="top"/>
    </xf>
    <xf numFmtId="164" fontId="22" fillId="10" borderId="35" xfId="0" applyNumberFormat="1" applyFont="1" applyFill="1" applyBorder="1" applyAlignment="1">
      <alignment horizontal="center" vertical="top"/>
    </xf>
    <xf numFmtId="164" fontId="22" fillId="0" borderId="4" xfId="0" applyNumberFormat="1" applyFont="1" applyFill="1" applyBorder="1" applyAlignment="1">
      <alignment horizontal="center" vertical="top"/>
    </xf>
    <xf numFmtId="164" fontId="7" fillId="11" borderId="78" xfId="0" applyNumberFormat="1" applyFont="1" applyFill="1" applyBorder="1" applyAlignment="1">
      <alignment horizontal="center" vertical="top"/>
    </xf>
    <xf numFmtId="164" fontId="22" fillId="3" borderId="7" xfId="0" applyNumberFormat="1" applyFont="1" applyFill="1" applyBorder="1" applyAlignment="1">
      <alignment horizontal="center" vertical="center" wrapText="1"/>
    </xf>
    <xf numFmtId="164" fontId="22" fillId="2" borderId="7" xfId="0" applyNumberFormat="1" applyFont="1" applyFill="1" applyBorder="1" applyAlignment="1">
      <alignment horizontal="center" vertical="top"/>
    </xf>
    <xf numFmtId="164" fontId="22" fillId="2" borderId="3" xfId="0" applyNumberFormat="1" applyFont="1" applyFill="1" applyBorder="1" applyAlignment="1">
      <alignment horizontal="center" vertical="top"/>
    </xf>
    <xf numFmtId="164" fontId="22" fillId="2" borderId="15" xfId="0" applyNumberFormat="1" applyFont="1" applyFill="1" applyBorder="1" applyAlignment="1">
      <alignment horizontal="center" vertical="top"/>
    </xf>
    <xf numFmtId="164" fontId="22" fillId="2" borderId="17" xfId="0" applyNumberFormat="1" applyFont="1" applyFill="1" applyBorder="1" applyAlignment="1">
      <alignment horizontal="center" vertical="top"/>
    </xf>
    <xf numFmtId="164" fontId="22" fillId="2" borderId="24" xfId="0" applyNumberFormat="1" applyFont="1" applyFill="1" applyBorder="1" applyAlignment="1">
      <alignment horizontal="center" vertical="top"/>
    </xf>
    <xf numFmtId="164" fontId="22" fillId="2" borderId="16" xfId="0" applyNumberFormat="1" applyFont="1" applyFill="1" applyBorder="1" applyAlignment="1">
      <alignment horizontal="center" vertical="top"/>
    </xf>
    <xf numFmtId="164" fontId="22" fillId="4" borderId="7" xfId="0" applyNumberFormat="1" applyFont="1" applyFill="1" applyBorder="1" applyAlignment="1">
      <alignment horizontal="center" vertical="top"/>
    </xf>
    <xf numFmtId="164" fontId="22" fillId="4" borderId="3" xfId="0" applyNumberFormat="1" applyFont="1" applyFill="1" applyBorder="1" applyAlignment="1">
      <alignment horizontal="center" vertical="top"/>
    </xf>
    <xf numFmtId="164" fontId="22" fillId="4" borderId="15" xfId="0" applyNumberFormat="1" applyFont="1" applyFill="1" applyBorder="1" applyAlignment="1">
      <alignment horizontal="center" vertical="top"/>
    </xf>
    <xf numFmtId="164" fontId="22" fillId="4" borderId="17" xfId="0" applyNumberFormat="1" applyFont="1" applyFill="1" applyBorder="1" applyAlignment="1">
      <alignment horizontal="center" vertical="top"/>
    </xf>
    <xf numFmtId="164" fontId="22" fillId="4" borderId="24" xfId="0" applyNumberFormat="1" applyFont="1" applyFill="1" applyBorder="1" applyAlignment="1">
      <alignment horizontal="center" vertical="top"/>
    </xf>
    <xf numFmtId="164" fontId="22" fillId="4" borderId="16" xfId="0" applyNumberFormat="1" applyFont="1" applyFill="1" applyBorder="1" applyAlignment="1">
      <alignment horizontal="center" vertical="top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center" vertical="top"/>
    </xf>
    <xf numFmtId="164" fontId="7" fillId="5" borderId="11" xfId="0" applyNumberFormat="1" applyFont="1" applyFill="1" applyBorder="1" applyAlignment="1">
      <alignment horizontal="center" vertical="top"/>
    </xf>
    <xf numFmtId="164" fontId="7" fillId="5" borderId="12" xfId="0" applyNumberFormat="1" applyFont="1" applyFill="1" applyBorder="1" applyAlignment="1">
      <alignment horizontal="center" vertical="top"/>
    </xf>
    <xf numFmtId="164" fontId="7" fillId="5" borderId="37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6" fillId="0" borderId="53" xfId="0" applyFont="1" applyBorder="1" applyAlignment="1">
      <alignment horizontal="left" vertical="top"/>
    </xf>
    <xf numFmtId="164" fontId="7" fillId="0" borderId="11" xfId="1" applyNumberFormat="1" applyFont="1" applyFill="1" applyBorder="1" applyAlignment="1">
      <alignment horizontal="center" vertical="top"/>
    </xf>
    <xf numFmtId="164" fontId="7" fillId="0" borderId="69" xfId="1" applyNumberFormat="1" applyFont="1" applyFill="1" applyBorder="1" applyAlignment="1">
      <alignment horizontal="center" vertical="top"/>
    </xf>
    <xf numFmtId="164" fontId="22" fillId="0" borderId="69" xfId="1" applyNumberFormat="1" applyFont="1" applyFill="1" applyBorder="1" applyAlignment="1">
      <alignment horizontal="center" vertical="top"/>
    </xf>
    <xf numFmtId="164" fontId="7" fillId="0" borderId="0" xfId="1" applyNumberFormat="1" applyFont="1" applyFill="1" applyBorder="1" applyAlignment="1">
      <alignment horizontal="center" vertical="top"/>
    </xf>
    <xf numFmtId="164" fontId="7" fillId="0" borderId="53" xfId="1" applyNumberFormat="1" applyFont="1" applyFill="1" applyBorder="1" applyAlignment="1">
      <alignment horizontal="center" vertical="top"/>
    </xf>
    <xf numFmtId="164" fontId="7" fillId="11" borderId="19" xfId="0" applyNumberFormat="1" applyFont="1" applyFill="1" applyBorder="1" applyAlignment="1">
      <alignment horizontal="center" vertical="top" wrapText="1"/>
    </xf>
    <xf numFmtId="164" fontId="22" fillId="3" borderId="15" xfId="0" applyNumberFormat="1" applyFont="1" applyFill="1" applyBorder="1" applyAlignment="1">
      <alignment horizontal="center" vertical="center" wrapText="1"/>
    </xf>
    <xf numFmtId="164" fontId="22" fillId="3" borderId="3" xfId="0" applyNumberFormat="1" applyFont="1" applyFill="1" applyBorder="1" applyAlignment="1">
      <alignment horizontal="center" vertical="center" wrapText="1"/>
    </xf>
    <xf numFmtId="164" fontId="22" fillId="3" borderId="24" xfId="0" applyNumberFormat="1" applyFont="1" applyFill="1" applyBorder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 wrapText="1"/>
    </xf>
    <xf numFmtId="164" fontId="7" fillId="6" borderId="0" xfId="0" applyNumberFormat="1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164" fontId="22" fillId="6" borderId="0" xfId="0" applyNumberFormat="1" applyFont="1" applyFill="1" applyBorder="1" applyAlignment="1">
      <alignment horizontal="center" vertical="top" wrapText="1"/>
    </xf>
    <xf numFmtId="49" fontId="6" fillId="6" borderId="32" xfId="0" applyNumberFormat="1" applyFont="1" applyFill="1" applyBorder="1" applyAlignment="1">
      <alignment horizontal="center" vertical="top"/>
    </xf>
    <xf numFmtId="49" fontId="6" fillId="6" borderId="71" xfId="0" applyNumberFormat="1" applyFont="1" applyFill="1" applyBorder="1" applyAlignment="1">
      <alignment horizontal="center" vertical="top"/>
    </xf>
    <xf numFmtId="49" fontId="6" fillId="6" borderId="28" xfId="0" applyNumberFormat="1" applyFont="1" applyFill="1" applyBorder="1" applyAlignment="1">
      <alignment horizontal="center" vertical="top"/>
    </xf>
    <xf numFmtId="49" fontId="5" fillId="11" borderId="0" xfId="0" applyNumberFormat="1" applyFont="1" applyFill="1" applyBorder="1" applyAlignment="1">
      <alignment horizontal="center" vertical="top"/>
    </xf>
    <xf numFmtId="164" fontId="5" fillId="11" borderId="0" xfId="0" applyNumberFormat="1" applyFont="1" applyFill="1" applyBorder="1" applyAlignment="1">
      <alignment horizontal="center" vertical="top"/>
    </xf>
    <xf numFmtId="49" fontId="5" fillId="11" borderId="23" xfId="0" applyNumberFormat="1" applyFont="1" applyFill="1" applyBorder="1" applyAlignment="1">
      <alignment horizontal="right" vertical="top"/>
    </xf>
    <xf numFmtId="164" fontId="22" fillId="11" borderId="23" xfId="0" applyNumberFormat="1" applyFont="1" applyFill="1" applyBorder="1" applyAlignment="1">
      <alignment horizontal="center" vertical="top"/>
    </xf>
    <xf numFmtId="164" fontId="7" fillId="0" borderId="73" xfId="0" applyNumberFormat="1" applyFont="1" applyFill="1" applyBorder="1" applyAlignment="1">
      <alignment horizontal="center" vertical="top"/>
    </xf>
    <xf numFmtId="164" fontId="7" fillId="11" borderId="75" xfId="0" applyNumberFormat="1" applyFont="1" applyFill="1" applyBorder="1" applyAlignment="1">
      <alignment horizontal="center" vertical="top"/>
    </xf>
    <xf numFmtId="164" fontId="7" fillId="6" borderId="73" xfId="0" applyNumberFormat="1" applyFont="1" applyFill="1" applyBorder="1" applyAlignment="1">
      <alignment horizontal="center" vertical="top"/>
    </xf>
    <xf numFmtId="164" fontId="7" fillId="10" borderId="4" xfId="0" applyNumberFormat="1" applyFont="1" applyFill="1" applyBorder="1" applyAlignment="1">
      <alignment horizontal="center" vertical="top"/>
    </xf>
    <xf numFmtId="164" fontId="7" fillId="10" borderId="52" xfId="0" applyNumberFormat="1" applyFont="1" applyFill="1" applyBorder="1" applyAlignment="1">
      <alignment horizontal="center" vertical="top"/>
    </xf>
    <xf numFmtId="164" fontId="7" fillId="10" borderId="19" xfId="0" applyNumberFormat="1" applyFont="1" applyFill="1" applyBorder="1" applyAlignment="1">
      <alignment horizontal="center" vertical="top"/>
    </xf>
    <xf numFmtId="164" fontId="7" fillId="10" borderId="8" xfId="0" applyNumberFormat="1" applyFont="1" applyFill="1" applyBorder="1" applyAlignment="1">
      <alignment horizontal="center" vertical="top"/>
    </xf>
    <xf numFmtId="164" fontId="22" fillId="10" borderId="8" xfId="0" applyNumberFormat="1" applyFont="1" applyFill="1" applyBorder="1" applyAlignment="1">
      <alignment horizontal="center" vertical="top"/>
    </xf>
    <xf numFmtId="164" fontId="7" fillId="10" borderId="21" xfId="0" applyNumberFormat="1" applyFont="1" applyFill="1" applyBorder="1" applyAlignment="1">
      <alignment horizontal="center" vertical="top"/>
    </xf>
    <xf numFmtId="164" fontId="7" fillId="11" borderId="57" xfId="0" applyNumberFormat="1" applyFont="1" applyFill="1" applyBorder="1" applyAlignment="1">
      <alignment horizontal="center" vertical="top"/>
    </xf>
    <xf numFmtId="164" fontId="7" fillId="6" borderId="57" xfId="0" applyNumberFormat="1" applyFont="1" applyFill="1" applyBorder="1" applyAlignment="1">
      <alignment horizontal="center" vertical="top" wrapText="1"/>
    </xf>
    <xf numFmtId="164" fontId="7" fillId="6" borderId="71" xfId="0" applyNumberFormat="1" applyFont="1" applyFill="1" applyBorder="1" applyAlignment="1">
      <alignment horizontal="center" vertical="top" wrapText="1"/>
    </xf>
    <xf numFmtId="164" fontId="7" fillId="10" borderId="21" xfId="0" applyNumberFormat="1" applyFont="1" applyFill="1" applyBorder="1" applyAlignment="1">
      <alignment horizontal="center" vertical="top" wrapText="1"/>
    </xf>
    <xf numFmtId="164" fontId="7" fillId="10" borderId="19" xfId="0" applyNumberFormat="1" applyFont="1" applyFill="1" applyBorder="1" applyAlignment="1">
      <alignment horizontal="center" vertical="top" wrapText="1"/>
    </xf>
    <xf numFmtId="164" fontId="7" fillId="10" borderId="52" xfId="1" applyNumberFormat="1" applyFont="1" applyFill="1" applyBorder="1" applyAlignment="1">
      <alignment horizontal="center" vertical="top"/>
    </xf>
    <xf numFmtId="0" fontId="7" fillId="6" borderId="53" xfId="0" applyFont="1" applyFill="1" applyBorder="1" applyAlignment="1">
      <alignment horizontal="center" vertical="top"/>
    </xf>
    <xf numFmtId="164" fontId="7" fillId="10" borderId="63" xfId="0" applyNumberFormat="1" applyFont="1" applyFill="1" applyBorder="1" applyAlignment="1">
      <alignment horizontal="center" vertical="top"/>
    </xf>
    <xf numFmtId="164" fontId="7" fillId="0" borderId="79" xfId="0" applyNumberFormat="1" applyFont="1" applyFill="1" applyBorder="1" applyAlignment="1">
      <alignment horizontal="center" vertical="top"/>
    </xf>
    <xf numFmtId="164" fontId="22" fillId="0" borderId="66" xfId="0" applyNumberFormat="1" applyFont="1" applyFill="1" applyBorder="1" applyAlignment="1">
      <alignment horizontal="center" vertical="top"/>
    </xf>
    <xf numFmtId="0" fontId="7" fillId="0" borderId="25" xfId="0" applyFont="1" applyFill="1" applyBorder="1" applyAlignment="1">
      <alignment horizontal="center" vertical="top"/>
    </xf>
    <xf numFmtId="164" fontId="7" fillId="0" borderId="22" xfId="0" applyNumberFormat="1" applyFont="1" applyFill="1" applyBorder="1" applyAlignment="1">
      <alignment horizontal="center" vertical="center"/>
    </xf>
    <xf numFmtId="164" fontId="7" fillId="10" borderId="22" xfId="0" applyNumberFormat="1" applyFont="1" applyFill="1" applyBorder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top" wrapText="1"/>
    </xf>
    <xf numFmtId="0" fontId="25" fillId="0" borderId="13" xfId="0" applyFont="1" applyBorder="1" applyAlignment="1">
      <alignment vertical="top" wrapText="1"/>
    </xf>
    <xf numFmtId="0" fontId="22" fillId="6" borderId="0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49" fontId="5" fillId="3" borderId="43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164" fontId="22" fillId="6" borderId="0" xfId="0" applyNumberFormat="1" applyFont="1" applyFill="1" applyBorder="1" applyAlignment="1">
      <alignment horizontal="center" vertical="top" wrapText="1"/>
    </xf>
    <xf numFmtId="0" fontId="5" fillId="10" borderId="56" xfId="0" applyFont="1" applyFill="1" applyBorder="1" applyAlignment="1">
      <alignment horizontal="right" vertical="top" wrapText="1"/>
    </xf>
    <xf numFmtId="0" fontId="5" fillId="10" borderId="29" xfId="0" applyFont="1" applyFill="1" applyBorder="1" applyAlignment="1">
      <alignment horizontal="right" vertical="top" wrapText="1"/>
    </xf>
    <xf numFmtId="164" fontId="22" fillId="10" borderId="56" xfId="0" applyNumberFormat="1" applyFont="1" applyFill="1" applyBorder="1" applyAlignment="1">
      <alignment horizontal="center" vertical="top" wrapText="1"/>
    </xf>
    <xf numFmtId="164" fontId="22" fillId="10" borderId="29" xfId="0" applyNumberFormat="1" applyFont="1" applyFill="1" applyBorder="1" applyAlignment="1">
      <alignment horizontal="center" vertical="top" wrapText="1"/>
    </xf>
    <xf numFmtId="164" fontId="22" fillId="10" borderId="49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22" fillId="6" borderId="0" xfId="0" applyNumberFormat="1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 wrapText="1"/>
    </xf>
    <xf numFmtId="0" fontId="5" fillId="10" borderId="56" xfId="0" applyFont="1" applyFill="1" applyBorder="1" applyAlignment="1">
      <alignment horizontal="right" vertical="top" wrapText="1"/>
    </xf>
    <xf numFmtId="0" fontId="5" fillId="10" borderId="29" xfId="0" applyFont="1" applyFill="1" applyBorder="1" applyAlignment="1">
      <alignment horizontal="right" vertical="top" wrapText="1"/>
    </xf>
    <xf numFmtId="164" fontId="22" fillId="10" borderId="56" xfId="0" applyNumberFormat="1" applyFont="1" applyFill="1" applyBorder="1" applyAlignment="1">
      <alignment horizontal="center" vertical="top" wrapText="1"/>
    </xf>
    <xf numFmtId="164" fontId="22" fillId="10" borderId="29" xfId="0" applyNumberFormat="1" applyFont="1" applyFill="1" applyBorder="1" applyAlignment="1">
      <alignment horizontal="center" vertical="top" wrapText="1"/>
    </xf>
    <xf numFmtId="164" fontId="22" fillId="10" borderId="49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49" fontId="5" fillId="3" borderId="43" xfId="0" applyNumberFormat="1" applyFont="1" applyFill="1" applyBorder="1" applyAlignment="1">
      <alignment horizontal="center" vertical="top"/>
    </xf>
    <xf numFmtId="0" fontId="25" fillId="0" borderId="13" xfId="0" applyFont="1" applyBorder="1" applyAlignment="1">
      <alignment vertical="top" wrapText="1"/>
    </xf>
    <xf numFmtId="0" fontId="22" fillId="6" borderId="0" xfId="0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>
      <alignment horizontal="center" vertical="top"/>
    </xf>
    <xf numFmtId="3" fontId="22" fillId="10" borderId="30" xfId="0" applyNumberFormat="1" applyFont="1" applyFill="1" applyBorder="1" applyAlignment="1">
      <alignment horizontal="center" vertical="top" wrapText="1"/>
    </xf>
    <xf numFmtId="3" fontId="22" fillId="10" borderId="56" xfId="0" applyNumberFormat="1" applyFont="1" applyFill="1" applyBorder="1" applyAlignment="1">
      <alignment horizontal="center" vertical="top" wrapText="1"/>
    </xf>
    <xf numFmtId="3" fontId="22" fillId="11" borderId="23" xfId="0" applyNumberFormat="1" applyFont="1" applyFill="1" applyBorder="1" applyAlignment="1">
      <alignment horizontal="center" vertical="top"/>
    </xf>
    <xf numFmtId="3" fontId="22" fillId="4" borderId="46" xfId="0" applyNumberFormat="1" applyFont="1" applyFill="1" applyBorder="1" applyAlignment="1">
      <alignment horizontal="center" vertical="top" wrapText="1"/>
    </xf>
    <xf numFmtId="3" fontId="22" fillId="4" borderId="19" xfId="0" applyNumberFormat="1" applyFont="1" applyFill="1" applyBorder="1" applyAlignment="1">
      <alignment horizontal="center" vertical="top" wrapText="1"/>
    </xf>
    <xf numFmtId="3" fontId="7" fillId="0" borderId="46" xfId="0" applyNumberFormat="1" applyFont="1" applyBorder="1" applyAlignment="1">
      <alignment horizontal="center" vertical="top" wrapText="1"/>
    </xf>
    <xf numFmtId="3" fontId="7" fillId="0" borderId="19" xfId="0" applyNumberFormat="1" applyFont="1" applyBorder="1" applyAlignment="1">
      <alignment horizontal="center" vertical="top" wrapText="1"/>
    </xf>
    <xf numFmtId="3" fontId="7" fillId="11" borderId="46" xfId="0" applyNumberFormat="1" applyFont="1" applyFill="1" applyBorder="1" applyAlignment="1">
      <alignment horizontal="center" vertical="top" wrapText="1"/>
    </xf>
    <xf numFmtId="3" fontId="7" fillId="11" borderId="19" xfId="0" applyNumberFormat="1" applyFont="1" applyFill="1" applyBorder="1" applyAlignment="1">
      <alignment horizontal="center" vertical="top" wrapText="1"/>
    </xf>
    <xf numFmtId="3" fontId="7" fillId="11" borderId="19" xfId="0" applyNumberFormat="1" applyFont="1" applyFill="1" applyBorder="1" applyAlignment="1">
      <alignment vertical="top" wrapText="1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right" vertical="top"/>
    </xf>
    <xf numFmtId="3" fontId="7" fillId="0" borderId="78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vertical="top" wrapText="1"/>
    </xf>
    <xf numFmtId="0" fontId="3" fillId="10" borderId="56" xfId="0" applyFont="1" applyFill="1" applyBorder="1" applyAlignment="1">
      <alignment horizontal="right" vertical="top" wrapText="1"/>
    </xf>
    <xf numFmtId="0" fontId="3" fillId="10" borderId="29" xfId="0" applyFont="1" applyFill="1" applyBorder="1" applyAlignment="1">
      <alignment horizontal="righ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164" fontId="10" fillId="10" borderId="56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 textRotation="90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9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9" fillId="0" borderId="59" xfId="0" applyNumberFormat="1" applyFont="1" applyBorder="1" applyAlignment="1">
      <alignment vertical="center" textRotation="90"/>
    </xf>
    <xf numFmtId="164" fontId="9" fillId="11" borderId="34" xfId="0" applyNumberFormat="1" applyFont="1" applyFill="1" applyBorder="1" applyAlignment="1">
      <alignment horizontal="center" vertical="top"/>
    </xf>
    <xf numFmtId="164" fontId="9" fillId="11" borderId="35" xfId="0" applyNumberFormat="1" applyFont="1" applyFill="1" applyBorder="1" applyAlignment="1">
      <alignment horizontal="center" vertical="top"/>
    </xf>
    <xf numFmtId="164" fontId="9" fillId="11" borderId="42" xfId="0" applyNumberFormat="1" applyFont="1" applyFill="1" applyBorder="1" applyAlignment="1">
      <alignment horizontal="center" vertical="top"/>
    </xf>
    <xf numFmtId="3" fontId="9" fillId="10" borderId="4" xfId="0" applyNumberFormat="1" applyFont="1" applyFill="1" applyBorder="1" applyAlignment="1">
      <alignment horizontal="center" vertical="top"/>
    </xf>
    <xf numFmtId="3" fontId="9" fillId="0" borderId="75" xfId="0" applyNumberFormat="1" applyFont="1" applyFill="1" applyBorder="1" applyAlignment="1">
      <alignment horizontal="center" vertical="top"/>
    </xf>
    <xf numFmtId="3" fontId="9" fillId="0" borderId="35" xfId="0" applyNumberFormat="1" applyFont="1" applyFill="1" applyBorder="1" applyAlignment="1">
      <alignment horizontal="center" vertical="top"/>
    </xf>
    <xf numFmtId="3" fontId="9" fillId="0" borderId="36" xfId="0" applyNumberFormat="1" applyFont="1" applyFill="1" applyBorder="1" applyAlignment="1">
      <alignment horizontal="center" vertical="top"/>
    </xf>
    <xf numFmtId="3" fontId="9" fillId="10" borderId="34" xfId="0" applyNumberFormat="1" applyFont="1" applyFill="1" applyBorder="1" applyAlignment="1">
      <alignment horizontal="center" vertical="top"/>
    </xf>
    <xf numFmtId="3" fontId="9" fillId="10" borderId="35" xfId="0" applyNumberFormat="1" applyFont="1" applyFill="1" applyBorder="1" applyAlignment="1">
      <alignment horizontal="center" vertical="top"/>
    </xf>
    <xf numFmtId="3" fontId="9" fillId="10" borderId="36" xfId="0" applyNumberFormat="1" applyFont="1" applyFill="1" applyBorder="1" applyAlignment="1">
      <alignment horizontal="center" vertical="top"/>
    </xf>
    <xf numFmtId="3" fontId="9" fillId="11" borderId="4" xfId="0" applyNumberFormat="1" applyFont="1" applyFill="1" applyBorder="1" applyAlignment="1">
      <alignment horizontal="center" vertical="top"/>
    </xf>
    <xf numFmtId="164" fontId="9" fillId="11" borderId="11" xfId="0" applyNumberFormat="1" applyFont="1" applyFill="1" applyBorder="1" applyAlignment="1">
      <alignment horizontal="center" vertical="top"/>
    </xf>
    <xf numFmtId="164" fontId="9" fillId="11" borderId="12" xfId="0" applyNumberFormat="1" applyFont="1" applyFill="1" applyBorder="1" applyAlignment="1">
      <alignment horizontal="center" vertical="top"/>
    </xf>
    <xf numFmtId="164" fontId="9" fillId="11" borderId="43" xfId="0" applyNumberFormat="1" applyFont="1" applyFill="1" applyBorder="1" applyAlignment="1">
      <alignment horizontal="center" vertical="top"/>
    </xf>
    <xf numFmtId="3" fontId="9" fillId="10" borderId="52" xfId="0" applyNumberFormat="1" applyFont="1" applyFill="1" applyBorder="1" applyAlignment="1">
      <alignment horizontal="center" vertical="top"/>
    </xf>
    <xf numFmtId="3" fontId="9" fillId="0" borderId="69" xfId="0" applyNumberFormat="1" applyFont="1" applyFill="1" applyBorder="1" applyAlignment="1">
      <alignment horizontal="center" vertical="top"/>
    </xf>
    <xf numFmtId="3" fontId="9" fillId="0" borderId="12" xfId="0" applyNumberFormat="1" applyFont="1" applyFill="1" applyBorder="1" applyAlignment="1">
      <alignment horizontal="center" vertical="top"/>
    </xf>
    <xf numFmtId="3" fontId="9" fillId="0" borderId="37" xfId="0" applyNumberFormat="1" applyFont="1" applyFill="1" applyBorder="1" applyAlignment="1">
      <alignment horizontal="center" vertical="top"/>
    </xf>
    <xf numFmtId="3" fontId="9" fillId="11" borderId="52" xfId="0" applyNumberFormat="1" applyFont="1" applyFill="1" applyBorder="1" applyAlignment="1">
      <alignment horizontal="center" vertical="top"/>
    </xf>
    <xf numFmtId="164" fontId="9" fillId="11" borderId="31" xfId="0" applyNumberFormat="1" applyFont="1" applyFill="1" applyBorder="1" applyAlignment="1">
      <alignment horizontal="center" vertical="top"/>
    </xf>
    <xf numFmtId="164" fontId="9" fillId="11" borderId="32" xfId="0" applyNumberFormat="1" applyFont="1" applyFill="1" applyBorder="1" applyAlignment="1">
      <alignment horizontal="center" vertical="top"/>
    </xf>
    <xf numFmtId="164" fontId="9" fillId="11" borderId="61" xfId="0" applyNumberFormat="1" applyFont="1" applyFill="1" applyBorder="1" applyAlignment="1">
      <alignment horizontal="center" vertical="top"/>
    </xf>
    <xf numFmtId="3" fontId="9" fillId="10" borderId="19" xfId="0" applyNumberFormat="1" applyFont="1" applyFill="1" applyBorder="1" applyAlignment="1">
      <alignment horizontal="center" vertical="top"/>
    </xf>
    <xf numFmtId="3" fontId="9" fillId="0" borderId="71" xfId="0" applyNumberFormat="1" applyFont="1" applyFill="1" applyBorder="1" applyAlignment="1">
      <alignment horizontal="center" vertical="top"/>
    </xf>
    <xf numFmtId="3" fontId="9" fillId="0" borderId="32" xfId="0" applyNumberFormat="1" applyFont="1" applyFill="1" applyBorder="1" applyAlignment="1">
      <alignment horizontal="center" vertical="top"/>
    </xf>
    <xf numFmtId="3" fontId="9" fillId="0" borderId="33" xfId="0" applyNumberFormat="1" applyFont="1" applyFill="1" applyBorder="1" applyAlignment="1">
      <alignment horizontal="center" vertical="top"/>
    </xf>
    <xf numFmtId="3" fontId="9" fillId="10" borderId="31" xfId="0" applyNumberFormat="1" applyFont="1" applyFill="1" applyBorder="1" applyAlignment="1">
      <alignment horizontal="center" vertical="top"/>
    </xf>
    <xf numFmtId="3" fontId="9" fillId="10" borderId="32" xfId="0" applyNumberFormat="1" applyFont="1" applyFill="1" applyBorder="1" applyAlignment="1">
      <alignment horizontal="center" vertical="top"/>
    </xf>
    <xf numFmtId="3" fontId="9" fillId="10" borderId="33" xfId="0" applyNumberFormat="1" applyFont="1" applyFill="1" applyBorder="1" applyAlignment="1">
      <alignment horizontal="center" vertical="top"/>
    </xf>
    <xf numFmtId="164" fontId="9" fillId="11" borderId="38" xfId="0" applyNumberFormat="1" applyFont="1" applyFill="1" applyBorder="1" applyAlignment="1">
      <alignment horizontal="center" vertical="top"/>
    </xf>
    <xf numFmtId="164" fontId="9" fillId="11" borderId="39" xfId="0" applyNumberFormat="1" applyFont="1" applyFill="1" applyBorder="1" applyAlignment="1">
      <alignment horizontal="center" vertical="top"/>
    </xf>
    <xf numFmtId="164" fontId="9" fillId="11" borderId="62" xfId="0" applyNumberFormat="1" applyFont="1" applyFill="1" applyBorder="1" applyAlignment="1">
      <alignment horizontal="center" vertical="top"/>
    </xf>
    <xf numFmtId="3" fontId="9" fillId="10" borderId="8" xfId="0" applyNumberFormat="1" applyFont="1" applyFill="1" applyBorder="1" applyAlignment="1">
      <alignment horizontal="center" vertical="top"/>
    </xf>
    <xf numFmtId="3" fontId="9" fillId="0" borderId="73" xfId="0" applyNumberFormat="1" applyFont="1" applyFill="1" applyBorder="1" applyAlignment="1">
      <alignment horizontal="center" vertical="top"/>
    </xf>
    <xf numFmtId="3" fontId="9" fillId="0" borderId="39" xfId="0" applyNumberFormat="1" applyFont="1" applyFill="1" applyBorder="1" applyAlignment="1">
      <alignment horizontal="center" vertical="top"/>
    </xf>
    <xf numFmtId="3" fontId="9" fillId="0" borderId="40" xfId="0" applyNumberFormat="1" applyFont="1" applyFill="1" applyBorder="1" applyAlignment="1">
      <alignment horizontal="center" vertical="top"/>
    </xf>
    <xf numFmtId="0" fontId="10" fillId="10" borderId="30" xfId="0" applyFont="1" applyFill="1" applyBorder="1" applyAlignment="1">
      <alignment horizontal="center" vertical="top"/>
    </xf>
    <xf numFmtId="164" fontId="10" fillId="10" borderId="47" xfId="0" applyNumberFormat="1" applyFont="1" applyFill="1" applyBorder="1" applyAlignment="1">
      <alignment horizontal="center" vertical="top"/>
    </xf>
    <xf numFmtId="164" fontId="10" fillId="10" borderId="55" xfId="0" applyNumberFormat="1" applyFont="1" applyFill="1" applyBorder="1" applyAlignment="1">
      <alignment horizontal="center" vertical="top"/>
    </xf>
    <xf numFmtId="164" fontId="10" fillId="10" borderId="56" xfId="0" applyNumberFormat="1" applyFont="1" applyFill="1" applyBorder="1" applyAlignment="1">
      <alignment horizontal="center" vertical="top"/>
    </xf>
    <xf numFmtId="3" fontId="10" fillId="10" borderId="8" xfId="0" applyNumberFormat="1" applyFont="1" applyFill="1" applyBorder="1" applyAlignment="1">
      <alignment horizontal="center" vertical="top"/>
    </xf>
    <xf numFmtId="3" fontId="10" fillId="10" borderId="73" xfId="0" applyNumberFormat="1" applyFont="1" applyFill="1" applyBorder="1" applyAlignment="1">
      <alignment horizontal="center" vertical="top"/>
    </xf>
    <xf numFmtId="3" fontId="10" fillId="10" borderId="51" xfId="0" applyNumberFormat="1" applyFont="1" applyFill="1" applyBorder="1" applyAlignment="1">
      <alignment horizontal="center" vertical="top"/>
    </xf>
    <xf numFmtId="3" fontId="10" fillId="10" borderId="47" xfId="0" applyNumberFormat="1" applyFont="1" applyFill="1" applyBorder="1" applyAlignment="1">
      <alignment horizontal="center" vertical="top"/>
    </xf>
    <xf numFmtId="3" fontId="10" fillId="10" borderId="55" xfId="0" applyNumberFormat="1" applyFont="1" applyFill="1" applyBorder="1" applyAlignment="1">
      <alignment horizontal="center" vertical="top"/>
    </xf>
    <xf numFmtId="3" fontId="10" fillId="10" borderId="29" xfId="0" applyNumberFormat="1" applyFont="1" applyFill="1" applyBorder="1" applyAlignment="1">
      <alignment horizontal="center" vertical="top"/>
    </xf>
    <xf numFmtId="3" fontId="10" fillId="10" borderId="56" xfId="0" applyNumberFormat="1" applyFont="1" applyFill="1" applyBorder="1" applyAlignment="1">
      <alignment horizontal="center" vertical="top"/>
    </xf>
    <xf numFmtId="3" fontId="10" fillId="10" borderId="30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164" fontId="9" fillId="11" borderId="9" xfId="0" applyNumberFormat="1" applyFont="1" applyFill="1" applyBorder="1" applyAlignment="1">
      <alignment horizontal="center" vertical="top"/>
    </xf>
    <xf numFmtId="164" fontId="9" fillId="11" borderId="10" xfId="0" applyNumberFormat="1" applyFont="1" applyFill="1" applyBorder="1" applyAlignment="1">
      <alignment horizontal="center" vertical="top"/>
    </xf>
    <xf numFmtId="164" fontId="9" fillId="11" borderId="18" xfId="0" applyNumberFormat="1" applyFont="1" applyFill="1" applyBorder="1" applyAlignment="1">
      <alignment horizontal="center" vertical="top"/>
    </xf>
    <xf numFmtId="3" fontId="9" fillId="10" borderId="21" xfId="0" applyNumberFormat="1" applyFont="1" applyFill="1" applyBorder="1" applyAlignment="1">
      <alignment horizontal="center" vertical="top"/>
    </xf>
    <xf numFmtId="3" fontId="9" fillId="0" borderId="57" xfId="0" applyNumberFormat="1" applyFont="1" applyFill="1" applyBorder="1" applyAlignment="1">
      <alignment horizontal="center" vertical="top"/>
    </xf>
    <xf numFmtId="3" fontId="9" fillId="0" borderId="10" xfId="0" applyNumberFormat="1" applyFont="1" applyFill="1" applyBorder="1" applyAlignment="1">
      <alignment horizontal="center" vertical="top"/>
    </xf>
    <xf numFmtId="3" fontId="9" fillId="10" borderId="9" xfId="0" applyNumberFormat="1" applyFont="1" applyFill="1" applyBorder="1" applyAlignment="1">
      <alignment horizontal="center" vertical="top"/>
    </xf>
    <xf numFmtId="3" fontId="9" fillId="10" borderId="10" xfId="0" applyNumberFormat="1" applyFont="1" applyFill="1" applyBorder="1" applyAlignment="1">
      <alignment horizontal="center" vertical="top"/>
    </xf>
    <xf numFmtId="3" fontId="9" fillId="10" borderId="18" xfId="0" applyNumberFormat="1" applyFont="1" applyFill="1" applyBorder="1" applyAlignment="1">
      <alignment horizontal="center" vertical="top"/>
    </xf>
    <xf numFmtId="3" fontId="9" fillId="0" borderId="5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9" fillId="0" borderId="74" xfId="0" applyFont="1" applyFill="1" applyBorder="1" applyAlignment="1">
      <alignment horizontal="center" vertical="top" wrapText="1"/>
    </xf>
    <xf numFmtId="3" fontId="9" fillId="0" borderId="53" xfId="0" applyNumberFormat="1" applyFont="1" applyFill="1" applyBorder="1" applyAlignment="1">
      <alignment horizontal="center" vertical="top"/>
    </xf>
    <xf numFmtId="3" fontId="9" fillId="0" borderId="52" xfId="0" applyNumberFormat="1" applyFont="1" applyFill="1" applyBorder="1" applyAlignment="1">
      <alignment horizontal="center" vertical="top"/>
    </xf>
    <xf numFmtId="164" fontId="10" fillId="10" borderId="1" xfId="0" applyNumberFormat="1" applyFont="1" applyFill="1" applyBorder="1" applyAlignment="1">
      <alignment horizontal="center" vertical="top"/>
    </xf>
    <xf numFmtId="164" fontId="10" fillId="10" borderId="48" xfId="0" applyNumberFormat="1" applyFont="1" applyFill="1" applyBorder="1" applyAlignment="1">
      <alignment horizontal="center" vertical="top"/>
    </xf>
    <xf numFmtId="3" fontId="10" fillId="10" borderId="1" xfId="0" applyNumberFormat="1" applyFont="1" applyFill="1" applyBorder="1" applyAlignment="1">
      <alignment horizontal="center" vertical="top"/>
    </xf>
    <xf numFmtId="3" fontId="10" fillId="10" borderId="48" xfId="0" applyNumberFormat="1" applyFont="1" applyFill="1" applyBorder="1" applyAlignment="1">
      <alignment horizontal="center" vertical="top"/>
    </xf>
    <xf numFmtId="3" fontId="10" fillId="10" borderId="49" xfId="0" applyNumberFormat="1" applyFont="1" applyFill="1" applyBorder="1" applyAlignment="1">
      <alignment horizontal="center" vertical="top"/>
    </xf>
    <xf numFmtId="164" fontId="9" fillId="11" borderId="42" xfId="0" applyNumberFormat="1" applyFont="1" applyFill="1" applyBorder="1" applyAlignment="1">
      <alignment horizontal="center" vertical="center"/>
    </xf>
    <xf numFmtId="3" fontId="9" fillId="10" borderId="4" xfId="0" applyNumberFormat="1" applyFont="1" applyFill="1" applyBorder="1" applyAlignment="1">
      <alignment horizontal="center" vertical="center"/>
    </xf>
    <xf numFmtId="3" fontId="9" fillId="11" borderId="75" xfId="0" applyNumberFormat="1" applyFont="1" applyFill="1" applyBorder="1" applyAlignment="1">
      <alignment horizontal="center" vertical="top"/>
    </xf>
    <xf numFmtId="3" fontId="9" fillId="11" borderId="35" xfId="0" applyNumberFormat="1" applyFont="1" applyFill="1" applyBorder="1" applyAlignment="1">
      <alignment horizontal="center" vertical="top"/>
    </xf>
    <xf numFmtId="3" fontId="9" fillId="11" borderId="42" xfId="0" applyNumberFormat="1" applyFont="1" applyFill="1" applyBorder="1" applyAlignment="1">
      <alignment horizontal="center" vertical="top"/>
    </xf>
    <xf numFmtId="3" fontId="9" fillId="10" borderId="36" xfId="0" applyNumberFormat="1" applyFont="1" applyFill="1" applyBorder="1" applyAlignment="1">
      <alignment horizontal="center" vertical="center"/>
    </xf>
    <xf numFmtId="3" fontId="9" fillId="11" borderId="4" xfId="0" applyNumberFormat="1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top"/>
    </xf>
    <xf numFmtId="164" fontId="9" fillId="0" borderId="64" xfId="0" applyNumberFormat="1" applyFont="1" applyFill="1" applyBorder="1" applyAlignment="1">
      <alignment horizontal="center" vertical="top"/>
    </xf>
    <xf numFmtId="164" fontId="9" fillId="0" borderId="65" xfId="0" applyNumberFormat="1" applyFont="1" applyFill="1" applyBorder="1" applyAlignment="1">
      <alignment horizontal="center" vertical="top"/>
    </xf>
    <xf numFmtId="164" fontId="9" fillId="11" borderId="43" xfId="0" applyNumberFormat="1" applyFont="1" applyFill="1" applyBorder="1" applyAlignment="1">
      <alignment horizontal="center" vertical="center"/>
    </xf>
    <xf numFmtId="3" fontId="9" fillId="10" borderId="52" xfId="0" applyNumberFormat="1" applyFont="1" applyFill="1" applyBorder="1" applyAlignment="1">
      <alignment horizontal="center" vertical="center"/>
    </xf>
    <xf numFmtId="3" fontId="10" fillId="0" borderId="43" xfId="0" applyNumberFormat="1" applyFont="1" applyFill="1" applyBorder="1" applyAlignment="1">
      <alignment horizontal="center" vertical="top"/>
    </xf>
    <xf numFmtId="3" fontId="9" fillId="10" borderId="11" xfId="0" applyNumberFormat="1" applyFont="1" applyFill="1" applyBorder="1" applyAlignment="1">
      <alignment horizontal="center" vertical="top"/>
    </xf>
    <xf numFmtId="3" fontId="9" fillId="10" borderId="12" xfId="0" applyNumberFormat="1" applyFont="1" applyFill="1" applyBorder="1" applyAlignment="1">
      <alignment horizontal="center" vertical="top"/>
    </xf>
    <xf numFmtId="3" fontId="9" fillId="10" borderId="37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top"/>
    </xf>
    <xf numFmtId="3" fontId="9" fillId="6" borderId="73" xfId="0" applyNumberFormat="1" applyFont="1" applyFill="1" applyBorder="1" applyAlignment="1">
      <alignment horizontal="center" vertical="top"/>
    </xf>
    <xf numFmtId="3" fontId="9" fillId="6" borderId="39" xfId="0" applyNumberFormat="1" applyFont="1" applyFill="1" applyBorder="1" applyAlignment="1">
      <alignment horizontal="center" vertical="top"/>
    </xf>
    <xf numFmtId="3" fontId="10" fillId="6" borderId="62" xfId="0" applyNumberFormat="1" applyFont="1" applyFill="1" applyBorder="1" applyAlignment="1">
      <alignment horizontal="center" vertical="top"/>
    </xf>
    <xf numFmtId="3" fontId="9" fillId="6" borderId="8" xfId="0" applyNumberFormat="1" applyFont="1" applyFill="1" applyBorder="1" applyAlignment="1">
      <alignment horizontal="center" vertical="top"/>
    </xf>
    <xf numFmtId="0" fontId="2" fillId="0" borderId="39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164" fontId="10" fillId="10" borderId="49" xfId="0" applyNumberFormat="1" applyFont="1" applyFill="1" applyBorder="1" applyAlignment="1">
      <alignment horizontal="center" vertical="top"/>
    </xf>
    <xf numFmtId="3" fontId="10" fillId="10" borderId="59" xfId="0" applyNumberFormat="1" applyFont="1" applyFill="1" applyBorder="1" applyAlignment="1">
      <alignment horizontal="center" vertical="top"/>
    </xf>
    <xf numFmtId="0" fontId="9" fillId="0" borderId="25" xfId="0" applyFont="1" applyFill="1" applyBorder="1" applyAlignment="1">
      <alignment horizontal="center" vertical="top"/>
    </xf>
    <xf numFmtId="164" fontId="9" fillId="0" borderId="9" xfId="0" applyNumberFormat="1" applyFont="1" applyFill="1" applyBorder="1" applyAlignment="1">
      <alignment horizontal="center" vertical="top"/>
    </xf>
    <xf numFmtId="164" fontId="9" fillId="0" borderId="10" xfId="0" applyNumberFormat="1" applyFont="1" applyFill="1" applyBorder="1" applyAlignment="1">
      <alignment horizontal="center" vertical="top"/>
    </xf>
    <xf numFmtId="164" fontId="9" fillId="0" borderId="18" xfId="0" applyNumberFormat="1" applyFont="1" applyFill="1" applyBorder="1" applyAlignment="1">
      <alignment horizontal="center" vertical="center"/>
    </xf>
    <xf numFmtId="3" fontId="9" fillId="10" borderId="21" xfId="0" applyNumberFormat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top"/>
    </xf>
    <xf numFmtId="3" fontId="9" fillId="10" borderId="22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horizontal="center" vertical="top"/>
    </xf>
    <xf numFmtId="0" fontId="9" fillId="0" borderId="18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9" fillId="6" borderId="53" xfId="0" applyFont="1" applyFill="1" applyBorder="1" applyAlignment="1">
      <alignment horizontal="center" vertical="top"/>
    </xf>
    <xf numFmtId="164" fontId="9" fillId="0" borderId="11" xfId="0" applyNumberFormat="1" applyFont="1" applyFill="1" applyBorder="1" applyAlignment="1">
      <alignment horizontal="center" vertical="top"/>
    </xf>
    <xf numFmtId="164" fontId="9" fillId="0" borderId="12" xfId="0" applyNumberFormat="1" applyFont="1" applyFill="1" applyBorder="1" applyAlignment="1">
      <alignment horizontal="center" vertical="top"/>
    </xf>
    <xf numFmtId="164" fontId="9" fillId="0" borderId="43" xfId="0" applyNumberFormat="1" applyFont="1" applyFill="1" applyBorder="1" applyAlignment="1">
      <alignment horizontal="center" vertical="center"/>
    </xf>
    <xf numFmtId="3" fontId="9" fillId="10" borderId="63" xfId="0" applyNumberFormat="1" applyFont="1" applyFill="1" applyBorder="1" applyAlignment="1">
      <alignment horizontal="center" vertical="top"/>
    </xf>
    <xf numFmtId="3" fontId="9" fillId="0" borderId="79" xfId="0" applyNumberFormat="1" applyFont="1" applyFill="1" applyBorder="1" applyAlignment="1">
      <alignment horizontal="center" vertical="top"/>
    </xf>
    <xf numFmtId="3" fontId="9" fillId="0" borderId="65" xfId="0" applyNumberFormat="1" applyFont="1" applyFill="1" applyBorder="1" applyAlignment="1">
      <alignment horizontal="center" vertical="top"/>
    </xf>
    <xf numFmtId="3" fontId="10" fillId="0" borderId="66" xfId="0" applyNumberFormat="1" applyFont="1" applyFill="1" applyBorder="1" applyAlignment="1">
      <alignment horizontal="center" vertical="top"/>
    </xf>
    <xf numFmtId="0" fontId="9" fillId="0" borderId="62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top" wrapText="1"/>
    </xf>
    <xf numFmtId="164" fontId="10" fillId="3" borderId="57" xfId="0" applyNumberFormat="1" applyFont="1" applyFill="1" applyBorder="1" applyAlignment="1">
      <alignment horizontal="center" vertical="top"/>
    </xf>
    <xf numFmtId="164" fontId="10" fillId="3" borderId="23" xfId="0" applyNumberFormat="1" applyFont="1" applyFill="1" applyBorder="1" applyAlignment="1">
      <alignment horizontal="center" vertical="top"/>
    </xf>
    <xf numFmtId="3" fontId="10" fillId="3" borderId="16" xfId="0" applyNumberFormat="1" applyFont="1" applyFill="1" applyBorder="1" applyAlignment="1">
      <alignment horizontal="center" vertical="top"/>
    </xf>
    <xf numFmtId="3" fontId="10" fillId="3" borderId="2" xfId="0" applyNumberFormat="1" applyFont="1" applyFill="1" applyBorder="1" applyAlignment="1">
      <alignment horizontal="center" vertical="top"/>
    </xf>
    <xf numFmtId="3" fontId="10" fillId="3" borderId="27" xfId="0" applyNumberFormat="1" applyFont="1" applyFill="1" applyBorder="1" applyAlignment="1">
      <alignment horizontal="center" vertical="top"/>
    </xf>
    <xf numFmtId="3" fontId="10" fillId="3" borderId="68" xfId="0" applyNumberFormat="1" applyFont="1" applyFill="1" applyBorder="1" applyAlignment="1">
      <alignment horizontal="center" vertical="top"/>
    </xf>
    <xf numFmtId="3" fontId="10" fillId="3" borderId="57" xfId="0" applyNumberFormat="1" applyFont="1" applyFill="1" applyBorder="1" applyAlignment="1">
      <alignment horizontal="center" vertical="top"/>
    </xf>
    <xf numFmtId="3" fontId="10" fillId="3" borderId="23" xfId="0" applyNumberFormat="1" applyFont="1" applyFill="1" applyBorder="1" applyAlignment="1">
      <alignment horizontal="center" vertical="top"/>
    </xf>
    <xf numFmtId="3" fontId="9" fillId="10" borderId="23" xfId="0" applyNumberFormat="1" applyFont="1" applyFill="1" applyBorder="1" applyAlignment="1">
      <alignment horizontal="center" vertical="top"/>
    </xf>
    <xf numFmtId="3" fontId="9" fillId="0" borderId="22" xfId="0" applyNumberFormat="1" applyFont="1" applyFill="1" applyBorder="1" applyAlignment="1">
      <alignment horizontal="center" vertical="top"/>
    </xf>
    <xf numFmtId="3" fontId="9" fillId="11" borderId="21" xfId="0" applyNumberFormat="1" applyFont="1" applyFill="1" applyBorder="1" applyAlignment="1">
      <alignment horizontal="center" vertical="top"/>
    </xf>
    <xf numFmtId="3" fontId="9" fillId="11" borderId="23" xfId="0" applyNumberFormat="1" applyFont="1" applyFill="1" applyBorder="1" applyAlignment="1">
      <alignment horizontal="center" vertical="top"/>
    </xf>
    <xf numFmtId="3" fontId="9" fillId="10" borderId="0" xfId="0" applyNumberFormat="1" applyFont="1" applyFill="1" applyBorder="1" applyAlignment="1">
      <alignment horizontal="center" vertical="top"/>
    </xf>
    <xf numFmtId="3" fontId="9" fillId="10" borderId="43" xfId="0" applyNumberFormat="1" applyFont="1" applyFill="1" applyBorder="1" applyAlignment="1">
      <alignment horizontal="center" vertical="top"/>
    </xf>
    <xf numFmtId="3" fontId="9" fillId="11" borderId="72" xfId="0" applyNumberFormat="1" applyFont="1" applyFill="1" applyBorder="1" applyAlignment="1">
      <alignment horizontal="center" vertical="top"/>
    </xf>
    <xf numFmtId="49" fontId="2" fillId="6" borderId="32" xfId="0" applyNumberFormat="1" applyFont="1" applyFill="1" applyBorder="1" applyAlignment="1">
      <alignment horizontal="center" vertical="top"/>
    </xf>
    <xf numFmtId="49" fontId="2" fillId="6" borderId="71" xfId="0" applyNumberFormat="1" applyFont="1" applyFill="1" applyBorder="1" applyAlignment="1">
      <alignment horizontal="center" vertical="top"/>
    </xf>
    <xf numFmtId="49" fontId="2" fillId="6" borderId="28" xfId="0" applyNumberFormat="1" applyFont="1" applyFill="1" applyBorder="1" applyAlignment="1">
      <alignment horizontal="center" vertical="top"/>
    </xf>
    <xf numFmtId="3" fontId="10" fillId="0" borderId="69" xfId="0" applyNumberFormat="1" applyFont="1" applyFill="1" applyBorder="1" applyAlignment="1">
      <alignment horizontal="center" vertical="top"/>
    </xf>
    <xf numFmtId="3" fontId="10" fillId="0" borderId="37" xfId="0" applyNumberFormat="1" applyFont="1" applyFill="1" applyBorder="1" applyAlignment="1">
      <alignment horizontal="center" vertical="top"/>
    </xf>
    <xf numFmtId="0" fontId="9" fillId="0" borderId="19" xfId="0" applyFont="1" applyBorder="1" applyAlignment="1">
      <alignment horizontal="center" vertical="top" wrapText="1"/>
    </xf>
    <xf numFmtId="3" fontId="9" fillId="10" borderId="46" xfId="0" applyNumberFormat="1" applyFont="1" applyFill="1" applyBorder="1" applyAlignment="1">
      <alignment horizontal="center" vertical="top"/>
    </xf>
    <xf numFmtId="3" fontId="10" fillId="0" borderId="33" xfId="0" applyNumberFormat="1" applyFont="1" applyFill="1" applyBorder="1" applyAlignment="1">
      <alignment horizontal="center" vertical="top"/>
    </xf>
    <xf numFmtId="3" fontId="9" fillId="10" borderId="61" xfId="0" applyNumberFormat="1" applyFont="1" applyFill="1" applyBorder="1" applyAlignment="1">
      <alignment horizontal="center" vertical="top"/>
    </xf>
    <xf numFmtId="3" fontId="9" fillId="11" borderId="19" xfId="0" applyNumberFormat="1" applyFont="1" applyFill="1" applyBorder="1" applyAlignment="1">
      <alignment horizontal="center" vertical="top"/>
    </xf>
    <xf numFmtId="3" fontId="9" fillId="11" borderId="46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51" xfId="0" applyNumberFormat="1" applyFont="1" applyFill="1" applyBorder="1" applyAlignment="1">
      <alignment horizontal="center" vertical="top"/>
    </xf>
    <xf numFmtId="49" fontId="2" fillId="0" borderId="14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164" fontId="9" fillId="0" borderId="18" xfId="0" applyNumberFormat="1" applyFont="1" applyFill="1" applyBorder="1" applyAlignment="1">
      <alignment horizontal="center" vertical="top"/>
    </xf>
    <xf numFmtId="3" fontId="9" fillId="10" borderId="57" xfId="0" applyNumberFormat="1" applyFont="1" applyFill="1" applyBorder="1" applyAlignment="1">
      <alignment horizontal="center" vertical="top"/>
    </xf>
    <xf numFmtId="0" fontId="2" fillId="0" borderId="25" xfId="0" applyFont="1" applyFill="1" applyBorder="1" applyAlignment="1">
      <alignment vertical="top" wrapText="1"/>
    </xf>
    <xf numFmtId="1" fontId="2" fillId="0" borderId="10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1" fontId="2" fillId="0" borderId="45" xfId="0" applyNumberFormat="1" applyFont="1" applyFill="1" applyBorder="1" applyAlignment="1">
      <alignment horizontal="center" vertical="top"/>
    </xf>
    <xf numFmtId="0" fontId="1" fillId="0" borderId="64" xfId="0" applyFont="1" applyBorder="1" applyAlignment="1">
      <alignment vertical="top" wrapText="1"/>
    </xf>
    <xf numFmtId="49" fontId="2" fillId="0" borderId="65" xfId="0" applyNumberFormat="1" applyFont="1" applyFill="1" applyBorder="1" applyAlignment="1">
      <alignment horizontal="center" vertical="top"/>
    </xf>
    <xf numFmtId="49" fontId="2" fillId="0" borderId="66" xfId="0" applyNumberFormat="1" applyFont="1" applyFill="1" applyBorder="1" applyAlignment="1">
      <alignment horizontal="center" vertical="top"/>
    </xf>
    <xf numFmtId="3" fontId="9" fillId="6" borderId="21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vertical="top" wrapText="1"/>
    </xf>
    <xf numFmtId="49" fontId="2" fillId="0" borderId="60" xfId="0" applyNumberFormat="1" applyFont="1" applyFill="1" applyBorder="1" applyAlignment="1">
      <alignment horizontal="center" vertical="top"/>
    </xf>
    <xf numFmtId="3" fontId="9" fillId="11" borderId="57" xfId="0" applyNumberFormat="1" applyFont="1" applyFill="1" applyBorder="1" applyAlignment="1">
      <alignment horizontal="center" vertical="top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15" xfId="0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horizontal="center" vertical="center"/>
    </xf>
    <xf numFmtId="3" fontId="10" fillId="3" borderId="15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3" fontId="10" fillId="3" borderId="68" xfId="0" applyNumberFormat="1" applyFont="1" applyFill="1" applyBorder="1" applyAlignment="1">
      <alignment horizontal="center" vertical="center"/>
    </xf>
    <xf numFmtId="3" fontId="10" fillId="3" borderId="17" xfId="0" applyNumberFormat="1" applyFont="1" applyFill="1" applyBorder="1" applyAlignment="1">
      <alignment horizontal="center" vertical="center"/>
    </xf>
    <xf numFmtId="3" fontId="10" fillId="3" borderId="16" xfId="0" applyNumberFormat="1" applyFont="1" applyFill="1" applyBorder="1" applyAlignment="1">
      <alignment horizontal="center" vertical="center"/>
    </xf>
    <xf numFmtId="164" fontId="9" fillId="11" borderId="9" xfId="0" applyNumberFormat="1" applyFont="1" applyFill="1" applyBorder="1" applyAlignment="1">
      <alignment horizontal="center" vertical="top" wrapText="1"/>
    </xf>
    <xf numFmtId="164" fontId="9" fillId="11" borderId="10" xfId="0" applyNumberFormat="1" applyFont="1" applyFill="1" applyBorder="1" applyAlignment="1">
      <alignment horizontal="center" vertical="top" wrapText="1"/>
    </xf>
    <xf numFmtId="164" fontId="9" fillId="11" borderId="18" xfId="0" applyNumberFormat="1" applyFont="1" applyFill="1" applyBorder="1" applyAlignment="1">
      <alignment horizontal="center" vertical="top" wrapText="1"/>
    </xf>
    <xf numFmtId="3" fontId="9" fillId="10" borderId="21" xfId="0" applyNumberFormat="1" applyFont="1" applyFill="1" applyBorder="1" applyAlignment="1">
      <alignment horizontal="center" vertical="top" wrapText="1"/>
    </xf>
    <xf numFmtId="3" fontId="9" fillId="10" borderId="45" xfId="0" applyNumberFormat="1" applyFont="1" applyFill="1" applyBorder="1" applyAlignment="1">
      <alignment horizontal="center" vertical="top" wrapText="1"/>
    </xf>
    <xf numFmtId="3" fontId="9" fillId="6" borderId="57" xfId="0" applyNumberFormat="1" applyFont="1" applyFill="1" applyBorder="1" applyAlignment="1">
      <alignment horizontal="center" vertical="top" wrapText="1"/>
    </xf>
    <xf numFmtId="3" fontId="9" fillId="6" borderId="10" xfId="0" applyNumberFormat="1" applyFont="1" applyFill="1" applyBorder="1" applyAlignment="1">
      <alignment horizontal="center" vertical="top" wrapText="1"/>
    </xf>
    <xf numFmtId="3" fontId="9" fillId="6" borderId="22" xfId="0" applyNumberFormat="1" applyFont="1" applyFill="1" applyBorder="1" applyAlignment="1">
      <alignment horizontal="center" vertical="top" wrapText="1"/>
    </xf>
    <xf numFmtId="3" fontId="9" fillId="10" borderId="9" xfId="0" applyNumberFormat="1" applyFont="1" applyFill="1" applyBorder="1" applyAlignment="1">
      <alignment horizontal="center" vertical="top" wrapText="1"/>
    </xf>
    <xf numFmtId="3" fontId="9" fillId="10" borderId="10" xfId="0" applyNumberFormat="1" applyFont="1" applyFill="1" applyBorder="1" applyAlignment="1">
      <alignment horizontal="center" vertical="top" wrapText="1"/>
    </xf>
    <xf numFmtId="3" fontId="9" fillId="10" borderId="22" xfId="0" applyNumberFormat="1" applyFont="1" applyFill="1" applyBorder="1" applyAlignment="1">
      <alignment horizontal="center" vertical="top" wrapText="1"/>
    </xf>
    <xf numFmtId="3" fontId="9" fillId="6" borderId="21" xfId="0" applyNumberFormat="1" applyFont="1" applyFill="1" applyBorder="1" applyAlignment="1">
      <alignment horizontal="center" vertical="top" wrapText="1"/>
    </xf>
    <xf numFmtId="3" fontId="9" fillId="6" borderId="23" xfId="0" applyNumberFormat="1" applyFont="1" applyFill="1" applyBorder="1" applyAlignment="1">
      <alignment horizontal="center" vertical="top" wrapText="1"/>
    </xf>
    <xf numFmtId="164" fontId="9" fillId="11" borderId="31" xfId="0" applyNumberFormat="1" applyFont="1" applyFill="1" applyBorder="1" applyAlignment="1">
      <alignment horizontal="center" vertical="top" wrapText="1"/>
    </xf>
    <xf numFmtId="164" fontId="9" fillId="11" borderId="32" xfId="0" applyNumberFormat="1" applyFont="1" applyFill="1" applyBorder="1" applyAlignment="1">
      <alignment horizontal="center" vertical="top" wrapText="1"/>
    </xf>
    <xf numFmtId="164" fontId="9" fillId="11" borderId="61" xfId="0" applyNumberFormat="1" applyFont="1" applyFill="1" applyBorder="1" applyAlignment="1">
      <alignment horizontal="center" vertical="top" wrapText="1"/>
    </xf>
    <xf numFmtId="3" fontId="9" fillId="10" borderId="19" xfId="0" applyNumberFormat="1" applyFont="1" applyFill="1" applyBorder="1" applyAlignment="1">
      <alignment horizontal="center" vertical="top" wrapText="1"/>
    </xf>
    <xf numFmtId="3" fontId="9" fillId="10" borderId="28" xfId="0" applyNumberFormat="1" applyFont="1" applyFill="1" applyBorder="1" applyAlignment="1">
      <alignment horizontal="center" vertical="top" wrapText="1"/>
    </xf>
    <xf numFmtId="3" fontId="9" fillId="6" borderId="71" xfId="0" applyNumberFormat="1" applyFont="1" applyFill="1" applyBorder="1" applyAlignment="1">
      <alignment horizontal="center" vertical="top" wrapText="1"/>
    </xf>
    <xf numFmtId="3" fontId="9" fillId="6" borderId="32" xfId="0" applyNumberFormat="1" applyFont="1" applyFill="1" applyBorder="1" applyAlignment="1">
      <alignment horizontal="center" vertical="top" wrapText="1"/>
    </xf>
    <xf numFmtId="3" fontId="9" fillId="6" borderId="33" xfId="0" applyNumberFormat="1" applyFont="1" applyFill="1" applyBorder="1" applyAlignment="1">
      <alignment horizontal="center" vertical="top" wrapText="1"/>
    </xf>
    <xf numFmtId="3" fontId="9" fillId="10" borderId="31" xfId="0" applyNumberFormat="1" applyFont="1" applyFill="1" applyBorder="1" applyAlignment="1">
      <alignment horizontal="center" vertical="top" wrapText="1"/>
    </xf>
    <xf numFmtId="3" fontId="9" fillId="10" borderId="32" xfId="0" applyNumberFormat="1" applyFont="1" applyFill="1" applyBorder="1" applyAlignment="1">
      <alignment horizontal="center" vertical="top" wrapText="1"/>
    </xf>
    <xf numFmtId="3" fontId="9" fillId="10" borderId="33" xfId="0" applyNumberFormat="1" applyFont="1" applyFill="1" applyBorder="1" applyAlignment="1">
      <alignment horizontal="center" vertical="top" wrapText="1"/>
    </xf>
    <xf numFmtId="3" fontId="9" fillId="6" borderId="19" xfId="0" applyNumberFormat="1" applyFont="1" applyFill="1" applyBorder="1" applyAlignment="1">
      <alignment horizontal="center" vertical="top" wrapText="1"/>
    </xf>
    <xf numFmtId="3" fontId="9" fillId="6" borderId="28" xfId="0" applyNumberFormat="1" applyFont="1" applyFill="1" applyBorder="1" applyAlignment="1">
      <alignment horizontal="center" vertical="top" wrapText="1"/>
    </xf>
    <xf numFmtId="164" fontId="10" fillId="10" borderId="47" xfId="0" applyNumberFormat="1" applyFont="1" applyFill="1" applyBorder="1" applyAlignment="1">
      <alignment horizontal="center" vertical="top" wrapText="1"/>
    </xf>
    <xf numFmtId="164" fontId="10" fillId="10" borderId="1" xfId="0" applyNumberFormat="1" applyFont="1" applyFill="1" applyBorder="1" applyAlignment="1">
      <alignment horizontal="center" vertical="top" wrapText="1"/>
    </xf>
    <xf numFmtId="164" fontId="10" fillId="10" borderId="48" xfId="0" applyNumberFormat="1" applyFont="1" applyFill="1" applyBorder="1" applyAlignment="1">
      <alignment horizontal="center" vertical="top" wrapText="1"/>
    </xf>
    <xf numFmtId="3" fontId="10" fillId="10" borderId="30" xfId="0" applyNumberFormat="1" applyFont="1" applyFill="1" applyBorder="1" applyAlignment="1">
      <alignment horizontal="center" vertical="top" wrapText="1"/>
    </xf>
    <xf numFmtId="3" fontId="10" fillId="10" borderId="29" xfId="0" applyNumberFormat="1" applyFont="1" applyFill="1" applyBorder="1" applyAlignment="1">
      <alignment horizontal="center" vertical="top" wrapText="1"/>
    </xf>
    <xf numFmtId="3" fontId="10" fillId="10" borderId="55" xfId="0" applyNumberFormat="1" applyFont="1" applyFill="1" applyBorder="1" applyAlignment="1">
      <alignment horizontal="center" vertical="top" wrapText="1"/>
    </xf>
    <xf numFmtId="3" fontId="10" fillId="10" borderId="1" xfId="0" applyNumberFormat="1" applyFont="1" applyFill="1" applyBorder="1" applyAlignment="1">
      <alignment horizontal="center" vertical="top" wrapText="1"/>
    </xf>
    <xf numFmtId="3" fontId="10" fillId="10" borderId="59" xfId="0" applyNumberFormat="1" applyFont="1" applyFill="1" applyBorder="1" applyAlignment="1">
      <alignment horizontal="center" vertical="top" wrapText="1"/>
    </xf>
    <xf numFmtId="3" fontId="10" fillId="10" borderId="47" xfId="0" applyNumberFormat="1" applyFont="1" applyFill="1" applyBorder="1" applyAlignment="1">
      <alignment horizontal="center" vertical="top" wrapText="1"/>
    </xf>
    <xf numFmtId="49" fontId="9" fillId="0" borderId="14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1" fillId="0" borderId="60" xfId="0" applyNumberFormat="1" applyFont="1" applyBorder="1"/>
    <xf numFmtId="3" fontId="9" fillId="10" borderId="41" xfId="0" applyNumberFormat="1" applyFont="1" applyFill="1" applyBorder="1" applyAlignment="1">
      <alignment horizontal="center" vertical="top"/>
    </xf>
    <xf numFmtId="3" fontId="10" fillId="0" borderId="35" xfId="0" applyNumberFormat="1" applyFont="1" applyFill="1" applyBorder="1" applyAlignment="1">
      <alignment horizontal="center" vertical="top"/>
    </xf>
    <xf numFmtId="3" fontId="9" fillId="0" borderId="42" xfId="0" applyNumberFormat="1" applyFont="1" applyFill="1" applyBorder="1" applyAlignment="1">
      <alignment horizontal="center" vertical="top"/>
    </xf>
    <xf numFmtId="3" fontId="9" fillId="10" borderId="42" xfId="0" applyNumberFormat="1" applyFont="1" applyFill="1" applyBorder="1" applyAlignment="1">
      <alignment horizontal="center" vertical="top"/>
    </xf>
    <xf numFmtId="3" fontId="10" fillId="0" borderId="5" xfId="0" applyNumberFormat="1" applyFont="1" applyFill="1" applyBorder="1" applyAlignment="1">
      <alignment horizontal="center" vertical="top"/>
    </xf>
    <xf numFmtId="164" fontId="2" fillId="0" borderId="72" xfId="0" applyNumberFormat="1" applyFont="1" applyFill="1" applyBorder="1" applyAlignment="1">
      <alignment horizontal="center" vertical="top" wrapText="1"/>
    </xf>
    <xf numFmtId="3" fontId="9" fillId="10" borderId="72" xfId="1" applyNumberFormat="1" applyFont="1" applyFill="1" applyBorder="1" applyAlignment="1">
      <alignment horizontal="center" vertical="top"/>
    </xf>
    <xf numFmtId="3" fontId="9" fillId="0" borderId="69" xfId="1" applyNumberFormat="1" applyFont="1" applyFill="1" applyBorder="1" applyAlignment="1">
      <alignment horizontal="center" vertical="top"/>
    </xf>
    <xf numFmtId="3" fontId="10" fillId="0" borderId="69" xfId="1" applyNumberFormat="1" applyFont="1" applyFill="1" applyBorder="1" applyAlignment="1">
      <alignment horizontal="center" vertical="top"/>
    </xf>
    <xf numFmtId="3" fontId="9" fillId="0" borderId="0" xfId="1" applyNumberFormat="1" applyFont="1" applyFill="1" applyBorder="1" applyAlignment="1">
      <alignment horizontal="center" vertical="top"/>
    </xf>
    <xf numFmtId="3" fontId="9" fillId="0" borderId="53" xfId="1" applyNumberFormat="1" applyFont="1" applyFill="1" applyBorder="1" applyAlignment="1">
      <alignment horizontal="center" vertical="top"/>
    </xf>
    <xf numFmtId="3" fontId="10" fillId="0" borderId="53" xfId="0" applyNumberFormat="1" applyFont="1" applyFill="1" applyBorder="1" applyAlignment="1">
      <alignment horizontal="center" vertical="top"/>
    </xf>
    <xf numFmtId="0" fontId="2" fillId="0" borderId="53" xfId="0" applyFont="1" applyBorder="1" applyAlignment="1">
      <alignment horizontal="left" vertical="top"/>
    </xf>
    <xf numFmtId="0" fontId="9" fillId="0" borderId="37" xfId="0" applyFont="1" applyFill="1" applyBorder="1" applyAlignment="1">
      <alignment horizontal="center" vertical="top" wrapText="1"/>
    </xf>
    <xf numFmtId="164" fontId="2" fillId="0" borderId="21" xfId="0" applyNumberFormat="1" applyFont="1" applyFill="1" applyBorder="1" applyAlignment="1">
      <alignment horizontal="center" vertical="top" wrapText="1"/>
    </xf>
    <xf numFmtId="3" fontId="9" fillId="10" borderId="45" xfId="0" applyNumberFormat="1" applyFont="1" applyFill="1" applyBorder="1" applyAlignment="1">
      <alignment horizontal="center" vertical="top"/>
    </xf>
    <xf numFmtId="3" fontId="10" fillId="0" borderId="10" xfId="0" applyNumberFormat="1" applyFont="1" applyFill="1" applyBorder="1" applyAlignment="1">
      <alignment horizontal="center" vertical="top"/>
    </xf>
    <xf numFmtId="3" fontId="9" fillId="0" borderId="18" xfId="0" applyNumberFormat="1" applyFont="1" applyFill="1" applyBorder="1" applyAlignment="1">
      <alignment horizontal="center" vertical="top"/>
    </xf>
    <xf numFmtId="3" fontId="9" fillId="0" borderId="25" xfId="0" applyNumberFormat="1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left" vertical="top" wrapText="1"/>
    </xf>
    <xf numFmtId="0" fontId="2" fillId="0" borderId="35" xfId="0" applyNumberFormat="1" applyFont="1" applyFill="1" applyBorder="1" applyAlignment="1">
      <alignment horizontal="center" vertical="top"/>
    </xf>
    <xf numFmtId="0" fontId="2" fillId="0" borderId="36" xfId="0" applyNumberFormat="1" applyFont="1" applyFill="1" applyBorder="1" applyAlignment="1">
      <alignment horizontal="center" vertical="top"/>
    </xf>
    <xf numFmtId="3" fontId="9" fillId="10" borderId="72" xfId="0" applyNumberFormat="1" applyFont="1" applyFill="1" applyBorder="1" applyAlignment="1">
      <alignment horizontal="center" vertical="top"/>
    </xf>
    <xf numFmtId="3" fontId="10" fillId="0" borderId="12" xfId="0" applyNumberFormat="1" applyFont="1" applyFill="1" applyBorder="1" applyAlignment="1">
      <alignment horizontal="center" vertical="top"/>
    </xf>
    <xf numFmtId="3" fontId="9" fillId="0" borderId="43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33" xfId="0" applyNumberFormat="1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59" xfId="0" applyNumberFormat="1" applyFont="1" applyFill="1" applyBorder="1" applyAlignment="1">
      <alignment horizontal="center" vertical="top"/>
    </xf>
    <xf numFmtId="164" fontId="2" fillId="11" borderId="4" xfId="0" applyNumberFormat="1" applyFont="1" applyFill="1" applyBorder="1" applyAlignment="1">
      <alignment horizontal="center" vertical="top" wrapText="1"/>
    </xf>
    <xf numFmtId="164" fontId="9" fillId="0" borderId="34" xfId="0" applyNumberFormat="1" applyFont="1" applyFill="1" applyBorder="1" applyAlignment="1">
      <alignment horizontal="center" vertical="top"/>
    </xf>
    <xf numFmtId="164" fontId="9" fillId="0" borderId="35" xfId="0" applyNumberFormat="1" applyFont="1" applyFill="1" applyBorder="1" applyAlignment="1">
      <alignment horizontal="center" vertical="top"/>
    </xf>
    <xf numFmtId="164" fontId="9" fillId="0" borderId="42" xfId="0" applyNumberFormat="1" applyFont="1" applyFill="1" applyBorder="1" applyAlignment="1">
      <alignment horizontal="center" vertical="top"/>
    </xf>
    <xf numFmtId="164" fontId="10" fillId="10" borderId="49" xfId="0" applyNumberFormat="1" applyFont="1" applyFill="1" applyBorder="1" applyAlignment="1">
      <alignment horizontal="center" vertical="top" wrapText="1"/>
    </xf>
    <xf numFmtId="3" fontId="10" fillId="10" borderId="56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left" vertical="top"/>
    </xf>
    <xf numFmtId="164" fontId="2" fillId="11" borderId="21" xfId="0" applyNumberFormat="1" applyFont="1" applyFill="1" applyBorder="1" applyAlignment="1">
      <alignment horizontal="center" vertical="top" wrapText="1"/>
    </xf>
    <xf numFmtId="164" fontId="9" fillId="0" borderId="25" xfId="0" applyNumberFormat="1" applyFont="1" applyFill="1" applyBorder="1" applyAlignment="1">
      <alignment horizontal="center" vertical="top"/>
    </xf>
    <xf numFmtId="164" fontId="9" fillId="0" borderId="23" xfId="0" applyNumberFormat="1" applyFont="1" applyFill="1" applyBorder="1" applyAlignment="1">
      <alignment horizontal="center" vertical="top"/>
    </xf>
    <xf numFmtId="3" fontId="10" fillId="0" borderId="23" xfId="0" applyNumberFormat="1" applyFont="1" applyFill="1" applyBorder="1" applyAlignment="1">
      <alignment horizontal="center" vertical="top"/>
    </xf>
    <xf numFmtId="164" fontId="9" fillId="0" borderId="53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horizontal="center" vertical="top"/>
    </xf>
    <xf numFmtId="164" fontId="9" fillId="0" borderId="43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Border="1" applyAlignment="1">
      <alignment horizontal="center" vertical="top"/>
    </xf>
    <xf numFmtId="164" fontId="9" fillId="0" borderId="5" xfId="0" applyNumberFormat="1" applyFont="1" applyFill="1" applyBorder="1" applyAlignment="1">
      <alignment horizontal="center" vertical="top"/>
    </xf>
    <xf numFmtId="164" fontId="9" fillId="0" borderId="78" xfId="0" applyNumberFormat="1" applyFont="1" applyFill="1" applyBorder="1" applyAlignment="1">
      <alignment horizontal="center" vertical="top"/>
    </xf>
    <xf numFmtId="3" fontId="10" fillId="0" borderId="78" xfId="0" applyNumberFormat="1" applyFont="1" applyFill="1" applyBorder="1" applyAlignment="1">
      <alignment horizontal="center" vertical="top"/>
    </xf>
    <xf numFmtId="3" fontId="9" fillId="10" borderId="78" xfId="0" applyNumberFormat="1" applyFont="1" applyFill="1" applyBorder="1" applyAlignment="1">
      <alignment horizontal="center" vertical="top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24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164" fontId="10" fillId="2" borderId="15" xfId="0" applyNumberFormat="1" applyFont="1" applyFill="1" applyBorder="1" applyAlignment="1">
      <alignment horizontal="center" vertical="top"/>
    </xf>
    <xf numFmtId="164" fontId="10" fillId="2" borderId="24" xfId="0" applyNumberFormat="1" applyFont="1" applyFill="1" applyBorder="1" applyAlignment="1">
      <alignment horizontal="center" vertical="top"/>
    </xf>
    <xf numFmtId="3" fontId="10" fillId="2" borderId="16" xfId="0" applyNumberFormat="1" applyFont="1" applyFill="1" applyBorder="1" applyAlignment="1">
      <alignment horizontal="center" vertical="top"/>
    </xf>
    <xf numFmtId="3" fontId="10" fillId="2" borderId="15" xfId="0" applyNumberFormat="1" applyFont="1" applyFill="1" applyBorder="1" applyAlignment="1">
      <alignment horizontal="center" vertical="top"/>
    </xf>
    <xf numFmtId="3" fontId="10" fillId="2" borderId="3" xfId="0" applyNumberFormat="1" applyFont="1" applyFill="1" applyBorder="1" applyAlignment="1">
      <alignment horizontal="center" vertical="top"/>
    </xf>
    <xf numFmtId="3" fontId="10" fillId="2" borderId="17" xfId="0" applyNumberFormat="1" applyFont="1" applyFill="1" applyBorder="1" applyAlignment="1">
      <alignment horizontal="center" vertical="top"/>
    </xf>
    <xf numFmtId="3" fontId="10" fillId="2" borderId="7" xfId="0" applyNumberFormat="1" applyFont="1" applyFill="1" applyBorder="1" applyAlignment="1">
      <alignment horizontal="center" vertical="top"/>
    </xf>
    <xf numFmtId="164" fontId="10" fillId="4" borderId="7" xfId="0" applyNumberFormat="1" applyFont="1" applyFill="1" applyBorder="1" applyAlignment="1">
      <alignment horizontal="center" vertical="top"/>
    </xf>
    <xf numFmtId="164" fontId="10" fillId="4" borderId="3" xfId="0" applyNumberFormat="1" applyFont="1" applyFill="1" applyBorder="1" applyAlignment="1">
      <alignment horizontal="center" vertical="top"/>
    </xf>
    <xf numFmtId="164" fontId="10" fillId="4" borderId="15" xfId="0" applyNumberFormat="1" applyFont="1" applyFill="1" applyBorder="1" applyAlignment="1">
      <alignment horizontal="center" vertical="top"/>
    </xf>
    <xf numFmtId="164" fontId="10" fillId="4" borderId="24" xfId="0" applyNumberFormat="1" applyFont="1" applyFill="1" applyBorder="1" applyAlignment="1">
      <alignment horizontal="center" vertical="top"/>
    </xf>
    <xf numFmtId="3" fontId="10" fillId="4" borderId="16" xfId="0" applyNumberFormat="1" applyFont="1" applyFill="1" applyBorder="1" applyAlignment="1">
      <alignment horizontal="center" vertical="top"/>
    </xf>
    <xf numFmtId="3" fontId="10" fillId="4" borderId="15" xfId="0" applyNumberFormat="1" applyFont="1" applyFill="1" applyBorder="1" applyAlignment="1">
      <alignment horizontal="center" vertical="top"/>
    </xf>
    <xf numFmtId="3" fontId="10" fillId="4" borderId="3" xfId="0" applyNumberFormat="1" applyFont="1" applyFill="1" applyBorder="1" applyAlignment="1">
      <alignment horizontal="center" vertical="top"/>
    </xf>
    <xf numFmtId="3" fontId="10" fillId="4" borderId="17" xfId="0" applyNumberFormat="1" applyFont="1" applyFill="1" applyBorder="1" applyAlignment="1">
      <alignment horizontal="center" vertical="top"/>
    </xf>
    <xf numFmtId="3" fontId="10" fillId="4" borderId="7" xfId="0" applyNumberFormat="1" applyFont="1" applyFill="1" applyBorder="1" applyAlignment="1">
      <alignment horizontal="center" vertical="top"/>
    </xf>
    <xf numFmtId="3" fontId="10" fillId="3" borderId="16" xfId="0" applyNumberFormat="1" applyFont="1" applyFill="1" applyBorder="1" applyAlignment="1">
      <alignment horizontal="center" vertical="top" wrapText="1"/>
    </xf>
    <xf numFmtId="3" fontId="10" fillId="3" borderId="27" xfId="0" applyNumberFormat="1" applyFont="1" applyFill="1" applyBorder="1" applyAlignment="1">
      <alignment horizontal="center" vertical="top" wrapText="1"/>
    </xf>
    <xf numFmtId="3" fontId="10" fillId="3" borderId="2" xfId="0" applyNumberFormat="1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3" fontId="9" fillId="5" borderId="38" xfId="0" applyNumberFormat="1" applyFont="1" applyFill="1" applyBorder="1" applyAlignment="1">
      <alignment horizontal="center" vertical="top"/>
    </xf>
    <xf numFmtId="3" fontId="9" fillId="5" borderId="39" xfId="0" applyNumberFormat="1" applyFont="1" applyFill="1" applyBorder="1" applyAlignment="1">
      <alignment horizontal="center" vertical="top"/>
    </xf>
    <xf numFmtId="3" fontId="9" fillId="5" borderId="40" xfId="0" applyNumberFormat="1" applyFont="1" applyFill="1" applyBorder="1" applyAlignment="1">
      <alignment horizontal="center" vertical="top"/>
    </xf>
    <xf numFmtId="3" fontId="9" fillId="11" borderId="8" xfId="0" applyNumberFormat="1" applyFont="1" applyFill="1" applyBorder="1" applyAlignment="1">
      <alignment horizontal="center" vertical="top"/>
    </xf>
    <xf numFmtId="3" fontId="9" fillId="10" borderId="37" xfId="0" applyNumberFormat="1" applyFont="1" applyFill="1" applyBorder="1" applyAlignment="1">
      <alignment horizontal="center" vertical="top"/>
    </xf>
    <xf numFmtId="0" fontId="2" fillId="10" borderId="31" xfId="0" applyFont="1" applyFill="1" applyBorder="1" applyAlignment="1">
      <alignment horizontal="left" vertical="top" wrapText="1"/>
    </xf>
    <xf numFmtId="0" fontId="2" fillId="10" borderId="32" xfId="0" applyFont="1" applyFill="1" applyBorder="1" applyAlignment="1">
      <alignment horizontal="left" vertical="top" wrapText="1"/>
    </xf>
    <xf numFmtId="0" fontId="2" fillId="10" borderId="33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10" borderId="49" xfId="0" applyFont="1" applyFill="1" applyBorder="1" applyAlignment="1">
      <alignment horizontal="right" vertical="top" wrapText="1"/>
    </xf>
    <xf numFmtId="0" fontId="3" fillId="10" borderId="56" xfId="0" applyFont="1" applyFill="1" applyBorder="1" applyAlignment="1">
      <alignment horizontal="right" vertical="top" wrapText="1"/>
    </xf>
    <xf numFmtId="0" fontId="3" fillId="10" borderId="29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76" xfId="0" applyFont="1" applyBorder="1" applyAlignment="1">
      <alignment horizontal="right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textRotation="90"/>
    </xf>
    <xf numFmtId="0" fontId="9" fillId="0" borderId="59" xfId="0" applyNumberFormat="1" applyFont="1" applyBorder="1" applyAlignment="1">
      <alignment horizontal="center" vertical="center" textRotation="90"/>
    </xf>
    <xf numFmtId="0" fontId="10" fillId="0" borderId="0" xfId="0" applyFont="1" applyAlignment="1">
      <alignment horizontal="center" vertical="center" wrapText="1"/>
    </xf>
    <xf numFmtId="49" fontId="3" fillId="8" borderId="7" xfId="0" applyNumberFormat="1" applyFont="1" applyFill="1" applyBorder="1" applyAlignment="1">
      <alignment horizontal="left" vertical="top" wrapText="1"/>
    </xf>
    <xf numFmtId="49" fontId="3" fillId="8" borderId="15" xfId="0" applyNumberFormat="1" applyFont="1" applyFill="1" applyBorder="1" applyAlignment="1">
      <alignment horizontal="left" vertical="top" wrapText="1"/>
    </xf>
    <xf numFmtId="49" fontId="3" fillId="8" borderId="68" xfId="0" applyNumberFormat="1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0" fontId="11" fillId="4" borderId="68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7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22" xfId="0" applyNumberFormat="1" applyFont="1" applyBorder="1" applyAlignment="1">
      <alignment horizontal="center" vertical="center" textRotation="90" wrapText="1"/>
    </xf>
    <xf numFmtId="0" fontId="2" fillId="0" borderId="37" xfId="0" applyNumberFormat="1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77" xfId="0" applyFont="1" applyBorder="1" applyAlignment="1">
      <alignment horizontal="center" vertical="center" textRotation="90" wrapText="1"/>
    </xf>
    <xf numFmtId="0" fontId="3" fillId="0" borderId="7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24" fillId="0" borderId="38" xfId="0" applyFont="1" applyFill="1" applyBorder="1" applyAlignment="1">
      <alignment horizontal="center" vertical="center" textRotation="90" wrapText="1"/>
    </xf>
    <xf numFmtId="0" fontId="24" fillId="0" borderId="64" xfId="0" applyFont="1" applyFill="1" applyBorder="1" applyAlignment="1">
      <alignment horizontal="center" vertical="center" textRotation="90" wrapText="1"/>
    </xf>
    <xf numFmtId="0" fontId="24" fillId="0" borderId="13" xfId="0" applyFont="1" applyFill="1" applyBorder="1" applyAlignment="1">
      <alignment horizontal="center" vertical="center" textRotation="90" wrapText="1"/>
    </xf>
    <xf numFmtId="49" fontId="3" fillId="6" borderId="18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6" borderId="20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4" fillId="0" borderId="9" xfId="0" applyFont="1" applyFill="1" applyBorder="1" applyAlignment="1">
      <alignment horizontal="center" vertical="center" textRotation="90" wrapText="1"/>
    </xf>
    <xf numFmtId="0" fontId="24" fillId="0" borderId="11" xfId="0" applyFont="1" applyFill="1" applyBorder="1" applyAlignment="1">
      <alignment horizontal="center" vertical="center" textRotation="90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6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68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 wrapText="1"/>
    </xf>
    <xf numFmtId="0" fontId="10" fillId="3" borderId="68" xfId="0" applyFont="1" applyFill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3" fillId="6" borderId="42" xfId="0" applyNumberFormat="1" applyFont="1" applyFill="1" applyBorder="1" applyAlignment="1">
      <alignment horizontal="center" vertical="top"/>
    </xf>
    <xf numFmtId="49" fontId="3" fillId="6" borderId="62" xfId="0" applyNumberFormat="1" applyFont="1" applyFill="1" applyBorder="1" applyAlignment="1">
      <alignment horizontal="center" vertical="top"/>
    </xf>
    <xf numFmtId="49" fontId="3" fillId="6" borderId="48" xfId="0" applyNumberFormat="1" applyFont="1" applyFill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6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49" fontId="10" fillId="0" borderId="37" xfId="0" applyNumberFormat="1" applyFont="1" applyBorder="1" applyAlignment="1">
      <alignment horizontal="center" vertical="top"/>
    </xf>
    <xf numFmtId="49" fontId="10" fillId="0" borderId="60" xfId="0" applyNumberFormat="1" applyFont="1" applyBorder="1" applyAlignment="1">
      <alignment horizontal="center" vertical="top"/>
    </xf>
    <xf numFmtId="0" fontId="9" fillId="6" borderId="9" xfId="0" applyFont="1" applyFill="1" applyBorder="1" applyAlignment="1">
      <alignment horizontal="left" vertical="top" wrapText="1"/>
    </xf>
    <xf numFmtId="0" fontId="9" fillId="6" borderId="11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49" fontId="3" fillId="3" borderId="24" xfId="0" applyNumberFormat="1" applyFont="1" applyFill="1" applyBorder="1" applyAlignment="1">
      <alignment horizontal="right" vertical="top" wrapText="1"/>
    </xf>
    <xf numFmtId="49" fontId="3" fillId="3" borderId="15" xfId="0" applyNumberFormat="1" applyFont="1" applyFill="1" applyBorder="1" applyAlignment="1">
      <alignment horizontal="right" vertical="top" wrapText="1"/>
    </xf>
    <xf numFmtId="49" fontId="3" fillId="3" borderId="68" xfId="0" applyNumberFormat="1" applyFont="1" applyFill="1" applyBorder="1" applyAlignment="1">
      <alignment horizontal="right" vertical="top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68" xfId="0" applyNumberFormat="1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left" vertical="top" wrapText="1"/>
    </xf>
    <xf numFmtId="0" fontId="2" fillId="11" borderId="60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center" vertical="center" textRotation="90" wrapText="1"/>
    </xf>
    <xf numFmtId="0" fontId="9" fillId="0" borderId="26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10" fillId="0" borderId="45" xfId="0" applyNumberFormat="1" applyFont="1" applyBorder="1" applyAlignment="1">
      <alignment horizontal="center" vertical="top"/>
    </xf>
    <xf numFmtId="49" fontId="10" fillId="0" borderId="54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left" vertical="top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49" fontId="3" fillId="3" borderId="68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68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49" fontId="3" fillId="3" borderId="24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49" fontId="3" fillId="3" borderId="68" xfId="0" applyNumberFormat="1" applyFont="1" applyFill="1" applyBorder="1" applyAlignment="1">
      <alignment horizontal="right" vertical="top"/>
    </xf>
    <xf numFmtId="164" fontId="5" fillId="3" borderId="7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164" fontId="5" fillId="3" borderId="68" xfId="0" applyNumberFormat="1" applyFont="1" applyFill="1" applyBorder="1" applyAlignment="1">
      <alignment horizontal="center" vertical="top"/>
    </xf>
    <xf numFmtId="49" fontId="3" fillId="11" borderId="36" xfId="0" applyNumberFormat="1" applyFont="1" applyFill="1" applyBorder="1" applyAlignment="1">
      <alignment horizontal="center" vertical="top"/>
    </xf>
    <xf numFmtId="49" fontId="3" fillId="11" borderId="59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49" fontId="3" fillId="3" borderId="75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horizontal="center" vertical="top"/>
    </xf>
    <xf numFmtId="164" fontId="3" fillId="6" borderId="42" xfId="0" applyNumberFormat="1" applyFont="1" applyFill="1" applyBorder="1" applyAlignment="1">
      <alignment horizontal="left" vertical="top" wrapText="1"/>
    </xf>
    <xf numFmtId="164" fontId="3" fillId="6" borderId="48" xfId="0" applyNumberFormat="1" applyFont="1" applyFill="1" applyBorder="1" applyAlignment="1">
      <alignment horizontal="left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3" borderId="69" xfId="0" applyNumberFormat="1" applyFont="1" applyFill="1" applyBorder="1" applyAlignment="1">
      <alignment horizontal="center" vertical="top"/>
    </xf>
    <xf numFmtId="49" fontId="3" fillId="3" borderId="73" xfId="0" applyNumberFormat="1" applyFont="1" applyFill="1" applyBorder="1" applyAlignment="1">
      <alignment horizontal="center" vertical="top"/>
    </xf>
    <xf numFmtId="49" fontId="3" fillId="6" borderId="35" xfId="0" applyNumberFormat="1" applyFont="1" applyFill="1" applyBorder="1" applyAlignment="1">
      <alignment horizontal="center" vertical="top"/>
    </xf>
    <xf numFmtId="49" fontId="3" fillId="6" borderId="12" xfId="0" applyNumberFormat="1" applyFont="1" applyFill="1" applyBorder="1" applyAlignment="1">
      <alignment horizontal="center" vertical="top"/>
    </xf>
    <xf numFmtId="49" fontId="3" fillId="6" borderId="39" xfId="0" applyNumberFormat="1" applyFont="1" applyFill="1" applyBorder="1" applyAlignment="1">
      <alignment horizontal="center" vertical="top"/>
    </xf>
    <xf numFmtId="164" fontId="3" fillId="0" borderId="42" xfId="0" applyNumberFormat="1" applyFont="1" applyBorder="1" applyAlignment="1">
      <alignment horizontal="left" vertical="top" wrapText="1"/>
    </xf>
    <xf numFmtId="164" fontId="3" fillId="0" borderId="61" xfId="0" applyNumberFormat="1" applyFont="1" applyBorder="1" applyAlignment="1">
      <alignment horizontal="left" vertical="top" wrapText="1"/>
    </xf>
    <xf numFmtId="164" fontId="3" fillId="0" borderId="62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/>
    </xf>
    <xf numFmtId="49" fontId="3" fillId="4" borderId="24" xfId="0" applyNumberFormat="1" applyFont="1" applyFill="1" applyBorder="1" applyAlignment="1">
      <alignment horizontal="right" vertical="top"/>
    </xf>
    <xf numFmtId="49" fontId="3" fillId="4" borderId="15" xfId="0" applyNumberFormat="1" applyFont="1" applyFill="1" applyBorder="1" applyAlignment="1">
      <alignment horizontal="right" vertical="top"/>
    </xf>
    <xf numFmtId="49" fontId="3" fillId="4" borderId="68" xfId="0" applyNumberFormat="1" applyFont="1" applyFill="1" applyBorder="1" applyAlignment="1">
      <alignment horizontal="right" vertical="top"/>
    </xf>
    <xf numFmtId="164" fontId="5" fillId="4" borderId="26" xfId="0" applyNumberFormat="1" applyFont="1" applyFill="1" applyBorder="1" applyAlignment="1">
      <alignment horizontal="center" vertical="top"/>
    </xf>
    <xf numFmtId="164" fontId="5" fillId="4" borderId="76" xfId="0" applyNumberFormat="1" applyFont="1" applyFill="1" applyBorder="1" applyAlignment="1">
      <alignment horizontal="center" vertical="top"/>
    </xf>
    <xf numFmtId="164" fontId="5" fillId="4" borderId="54" xfId="0" applyNumberFormat="1" applyFont="1" applyFill="1" applyBorder="1" applyAlignment="1">
      <alignment horizontal="center" vertical="top"/>
    </xf>
    <xf numFmtId="164" fontId="17" fillId="0" borderId="23" xfId="0" applyNumberFormat="1" applyFont="1" applyFill="1" applyBorder="1" applyAlignment="1">
      <alignment horizontal="center"/>
    </xf>
    <xf numFmtId="164" fontId="17" fillId="0" borderId="15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4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68" xfId="0" applyNumberFormat="1" applyFont="1" applyFill="1" applyBorder="1" applyAlignment="1">
      <alignment horizontal="right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15" xfId="0" applyNumberFormat="1" applyFont="1" applyFill="1" applyBorder="1" applyAlignment="1">
      <alignment horizontal="center" vertical="top"/>
    </xf>
    <xf numFmtId="164" fontId="5" fillId="2" borderId="68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10" fillId="10" borderId="56" xfId="0" applyNumberFormat="1" applyFont="1" applyFill="1" applyBorder="1" applyAlignment="1">
      <alignment horizontal="center" vertical="top" wrapText="1"/>
    </xf>
    <xf numFmtId="164" fontId="10" fillId="10" borderId="29" xfId="0" applyNumberFormat="1" applyFont="1" applyFill="1" applyBorder="1" applyAlignment="1">
      <alignment horizontal="center" vertical="top" wrapText="1"/>
    </xf>
    <xf numFmtId="164" fontId="10" fillId="6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9" fillId="0" borderId="46" xfId="0" applyNumberFormat="1" applyFont="1" applyBorder="1" applyAlignment="1">
      <alignment horizontal="center" vertical="top" wrapText="1"/>
    </xf>
    <xf numFmtId="164" fontId="9" fillId="0" borderId="28" xfId="0" applyNumberFormat="1" applyFont="1" applyBorder="1" applyAlignment="1">
      <alignment horizontal="center" vertical="top" wrapText="1"/>
    </xf>
    <xf numFmtId="164" fontId="9" fillId="6" borderId="0" xfId="0" applyNumberFormat="1" applyFont="1" applyFill="1" applyBorder="1" applyAlignment="1">
      <alignment horizontal="center" vertical="top" wrapText="1"/>
    </xf>
    <xf numFmtId="164" fontId="9" fillId="10" borderId="46" xfId="0" applyNumberFormat="1" applyFont="1" applyFill="1" applyBorder="1" applyAlignment="1">
      <alignment horizontal="center" vertical="top" wrapText="1"/>
    </xf>
    <xf numFmtId="164" fontId="9" fillId="10" borderId="28" xfId="0" applyNumberFormat="1" applyFont="1" applyFill="1" applyBorder="1" applyAlignment="1">
      <alignment horizontal="center" vertical="top" wrapText="1"/>
    </xf>
    <xf numFmtId="164" fontId="10" fillId="4" borderId="46" xfId="0" applyNumberFormat="1" applyFont="1" applyFill="1" applyBorder="1" applyAlignment="1">
      <alignment horizontal="center" vertical="top" wrapText="1"/>
    </xf>
    <xf numFmtId="164" fontId="10" fillId="4" borderId="28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10" fillId="0" borderId="46" xfId="0" applyNumberFormat="1" applyFont="1" applyBorder="1" applyAlignment="1">
      <alignment horizontal="center" vertical="top" wrapText="1"/>
    </xf>
    <xf numFmtId="164" fontId="10" fillId="0" borderId="28" xfId="0" applyNumberFormat="1" applyFont="1" applyBorder="1" applyAlignment="1">
      <alignment horizontal="center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11" borderId="31" xfId="0" applyFont="1" applyFill="1" applyBorder="1" applyAlignment="1">
      <alignment horizontal="left" vertical="top" wrapText="1"/>
    </xf>
    <xf numFmtId="0" fontId="6" fillId="11" borderId="32" xfId="0" applyFont="1" applyFill="1" applyBorder="1" applyAlignment="1">
      <alignment horizontal="left" vertical="top" wrapText="1"/>
    </xf>
    <xf numFmtId="0" fontId="6" fillId="11" borderId="33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right" vertical="top" wrapText="1"/>
    </xf>
    <xf numFmtId="0" fontId="5" fillId="4" borderId="32" xfId="0" applyFont="1" applyFill="1" applyBorder="1" applyAlignment="1">
      <alignment horizontal="right" vertical="top" wrapText="1"/>
    </xf>
    <xf numFmtId="0" fontId="5" fillId="4" borderId="33" xfId="0" applyFont="1" applyFill="1" applyBorder="1" applyAlignment="1">
      <alignment horizontal="right" vertical="top" wrapText="1"/>
    </xf>
    <xf numFmtId="164" fontId="22" fillId="10" borderId="56" xfId="0" applyNumberFormat="1" applyFont="1" applyFill="1" applyBorder="1" applyAlignment="1">
      <alignment horizontal="center" vertical="top" wrapText="1"/>
    </xf>
    <xf numFmtId="164" fontId="22" fillId="10" borderId="29" xfId="0" applyNumberFormat="1" applyFont="1" applyFill="1" applyBorder="1" applyAlignment="1">
      <alignment horizontal="center" vertical="top" wrapText="1"/>
    </xf>
    <xf numFmtId="3" fontId="22" fillId="10" borderId="49" xfId="0" applyNumberFormat="1" applyFont="1" applyFill="1" applyBorder="1" applyAlignment="1">
      <alignment horizontal="center" vertical="top" wrapText="1"/>
    </xf>
    <xf numFmtId="3" fontId="22" fillId="10" borderId="56" xfId="0" applyNumberFormat="1" applyFont="1" applyFill="1" applyBorder="1" applyAlignment="1">
      <alignment horizontal="center" vertical="top" wrapText="1"/>
    </xf>
    <xf numFmtId="3" fontId="22" fillId="10" borderId="29" xfId="0" applyNumberFormat="1" applyFont="1" applyFill="1" applyBorder="1" applyAlignment="1">
      <alignment horizontal="center" vertical="top" wrapText="1"/>
    </xf>
    <xf numFmtId="164" fontId="22" fillId="6" borderId="0" xfId="0" applyNumberFormat="1" applyFont="1" applyFill="1" applyBorder="1" applyAlignment="1">
      <alignment horizontal="center" vertical="top" wrapText="1"/>
    </xf>
    <xf numFmtId="164" fontId="22" fillId="11" borderId="46" xfId="0" applyNumberFormat="1" applyFont="1" applyFill="1" applyBorder="1" applyAlignment="1">
      <alignment horizontal="center" vertical="top" wrapText="1"/>
    </xf>
    <xf numFmtId="164" fontId="22" fillId="11" borderId="28" xfId="0" applyNumberFormat="1" applyFont="1" applyFill="1" applyBorder="1" applyAlignment="1">
      <alignment horizontal="center" vertical="top" wrapText="1"/>
    </xf>
    <xf numFmtId="3" fontId="7" fillId="11" borderId="70" xfId="0" applyNumberFormat="1" applyFont="1" applyFill="1" applyBorder="1" applyAlignment="1">
      <alignment horizontal="center" vertical="top" wrapText="1"/>
    </xf>
    <xf numFmtId="3" fontId="7" fillId="11" borderId="46" xfId="0" applyNumberFormat="1" applyFont="1" applyFill="1" applyBorder="1" applyAlignment="1">
      <alignment horizontal="center" vertical="top" wrapText="1"/>
    </xf>
    <xf numFmtId="3" fontId="7" fillId="11" borderId="28" xfId="0" applyNumberFormat="1" applyFont="1" applyFill="1" applyBorder="1" applyAlignment="1">
      <alignment horizontal="center" vertical="top" wrapText="1"/>
    </xf>
    <xf numFmtId="164" fontId="7" fillId="0" borderId="46" xfId="0" applyNumberFormat="1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3" fontId="7" fillId="0" borderId="70" xfId="0" applyNumberFormat="1" applyFont="1" applyBorder="1" applyAlignment="1">
      <alignment horizontal="center" vertical="top" wrapText="1"/>
    </xf>
    <xf numFmtId="3" fontId="7" fillId="0" borderId="46" xfId="0" applyNumberFormat="1" applyFont="1" applyBorder="1" applyAlignment="1">
      <alignment horizontal="center" vertical="top" wrapText="1"/>
    </xf>
    <xf numFmtId="3" fontId="7" fillId="0" borderId="28" xfId="0" applyNumberFormat="1" applyFont="1" applyBorder="1" applyAlignment="1">
      <alignment horizontal="center" vertical="top" wrapText="1"/>
    </xf>
    <xf numFmtId="0" fontId="22" fillId="11" borderId="31" xfId="0" applyFont="1" applyFill="1" applyBorder="1" applyAlignment="1">
      <alignment horizontal="left" vertical="top" wrapText="1"/>
    </xf>
    <xf numFmtId="0" fontId="22" fillId="11" borderId="32" xfId="0" applyFont="1" applyFill="1" applyBorder="1" applyAlignment="1">
      <alignment horizontal="left" vertical="top" wrapText="1"/>
    </xf>
    <xf numFmtId="0" fontId="22" fillId="11" borderId="33" xfId="0" applyFont="1" applyFill="1" applyBorder="1" applyAlignment="1">
      <alignment horizontal="left" vertical="top" wrapText="1"/>
    </xf>
    <xf numFmtId="0" fontId="5" fillId="10" borderId="47" xfId="0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horizontal="right" vertical="top" wrapText="1"/>
    </xf>
    <xf numFmtId="0" fontId="5" fillId="10" borderId="59" xfId="0" applyFont="1" applyFill="1" applyBorder="1" applyAlignment="1">
      <alignment horizontal="right" vertical="top" wrapText="1"/>
    </xf>
    <xf numFmtId="164" fontId="7" fillId="11" borderId="46" xfId="0" applyNumberFormat="1" applyFont="1" applyFill="1" applyBorder="1" applyAlignment="1">
      <alignment horizontal="center" vertical="top" wrapText="1"/>
    </xf>
    <xf numFmtId="164" fontId="7" fillId="11" borderId="28" xfId="0" applyNumberFormat="1" applyFont="1" applyFill="1" applyBorder="1" applyAlignment="1">
      <alignment horizontal="center" vertical="top" wrapText="1"/>
    </xf>
    <xf numFmtId="164" fontId="22" fillId="4" borderId="46" xfId="0" applyNumberFormat="1" applyFont="1" applyFill="1" applyBorder="1" applyAlignment="1">
      <alignment horizontal="center" vertical="top" wrapText="1"/>
    </xf>
    <xf numFmtId="164" fontId="22" fillId="4" borderId="28" xfId="0" applyNumberFormat="1" applyFont="1" applyFill="1" applyBorder="1" applyAlignment="1">
      <alignment horizontal="center" vertical="top" wrapText="1"/>
    </xf>
    <xf numFmtId="3" fontId="22" fillId="4" borderId="46" xfId="0" applyNumberFormat="1" applyFont="1" applyFill="1" applyBorder="1" applyAlignment="1">
      <alignment horizontal="center" vertical="top" wrapText="1"/>
    </xf>
    <xf numFmtId="3" fontId="22" fillId="4" borderId="28" xfId="0" applyNumberFormat="1" applyFont="1" applyFill="1" applyBorder="1" applyAlignment="1">
      <alignment horizontal="center" vertical="top" wrapText="1"/>
    </xf>
    <xf numFmtId="3" fontId="22" fillId="4" borderId="70" xfId="0" applyNumberFormat="1" applyFont="1" applyFill="1" applyBorder="1" applyAlignment="1">
      <alignment horizontal="center" vertical="top" wrapText="1"/>
    </xf>
    <xf numFmtId="164" fontId="22" fillId="0" borderId="0" xfId="0" applyNumberFormat="1" applyFont="1" applyFill="1" applyBorder="1" applyAlignment="1">
      <alignment horizontal="center"/>
    </xf>
    <xf numFmtId="164" fontId="22" fillId="0" borderId="76" xfId="0" applyNumberFormat="1" applyFont="1" applyFill="1" applyBorder="1" applyAlignment="1">
      <alignment horizontal="center"/>
    </xf>
    <xf numFmtId="0" fontId="22" fillId="0" borderId="7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3" fontId="7" fillId="0" borderId="42" xfId="0" applyNumberFormat="1" applyFont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68" xfId="0" applyNumberFormat="1" applyFont="1" applyFill="1" applyBorder="1" applyAlignment="1">
      <alignment horizontal="center" vertical="top"/>
    </xf>
    <xf numFmtId="164" fontId="3" fillId="4" borderId="26" xfId="0" applyNumberFormat="1" applyFont="1" applyFill="1" applyBorder="1" applyAlignment="1">
      <alignment horizontal="center" vertical="top"/>
    </xf>
    <xf numFmtId="164" fontId="3" fillId="4" borderId="76" xfId="0" applyNumberFormat="1" applyFont="1" applyFill="1" applyBorder="1" applyAlignment="1">
      <alignment horizontal="center" vertical="top"/>
    </xf>
    <xf numFmtId="164" fontId="3" fillId="4" borderId="54" xfId="0" applyNumberFormat="1" applyFont="1" applyFill="1" applyBorder="1" applyAlignment="1">
      <alignment horizontal="center" vertical="top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30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0" xfId="0" applyNumberFormat="1" applyFont="1" applyFill="1" applyBorder="1" applyAlignment="1">
      <alignment horizontal="center" vertical="top"/>
    </xf>
    <xf numFmtId="0" fontId="2" fillId="0" borderId="14" xfId="0" applyNumberFormat="1" applyFont="1" applyFill="1" applyBorder="1" applyAlignment="1">
      <alignment horizontal="center" vertical="top"/>
    </xf>
    <xf numFmtId="164" fontId="3" fillId="11" borderId="42" xfId="0" applyNumberFormat="1" applyFont="1" applyFill="1" applyBorder="1" applyAlignment="1">
      <alignment horizontal="left" vertical="top" wrapText="1"/>
    </xf>
    <xf numFmtId="164" fontId="3" fillId="11" borderId="48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49" xfId="0" applyNumberFormat="1" applyFont="1" applyFill="1" applyBorder="1" applyAlignment="1">
      <alignment horizontal="center" vertical="top" wrapText="1"/>
    </xf>
    <xf numFmtId="49" fontId="3" fillId="0" borderId="52" xfId="0" applyNumberFormat="1" applyFont="1" applyBorder="1" applyAlignment="1">
      <alignment horizontal="center" vertical="top"/>
    </xf>
    <xf numFmtId="164" fontId="3" fillId="11" borderId="43" xfId="0" applyNumberFormat="1" applyFont="1" applyFill="1" applyBorder="1" applyAlignment="1">
      <alignment horizontal="left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2" fillId="11" borderId="42" xfId="0" applyNumberFormat="1" applyFont="1" applyFill="1" applyBorder="1" applyAlignment="1">
      <alignment horizontal="left" vertical="top" wrapText="1"/>
    </xf>
    <xf numFmtId="164" fontId="2" fillId="11" borderId="48" xfId="0" applyNumberFormat="1" applyFont="1" applyFill="1" applyBorder="1" applyAlignment="1">
      <alignment horizontal="left" vertical="top" wrapText="1"/>
    </xf>
    <xf numFmtId="164" fontId="3" fillId="6" borderId="43" xfId="0" applyNumberFormat="1" applyFont="1" applyFill="1" applyBorder="1" applyAlignment="1">
      <alignment horizontal="left" vertical="top" wrapText="1"/>
    </xf>
    <xf numFmtId="49" fontId="3" fillId="11" borderId="4" xfId="0" applyNumberFormat="1" applyFont="1" applyFill="1" applyBorder="1" applyAlignment="1">
      <alignment horizontal="center" vertical="top"/>
    </xf>
    <xf numFmtId="49" fontId="3" fillId="11" borderId="52" xfId="0" applyNumberFormat="1" applyFont="1" applyFill="1" applyBorder="1" applyAlignment="1">
      <alignment horizontal="center" vertical="top"/>
    </xf>
    <xf numFmtId="49" fontId="3" fillId="11" borderId="30" xfId="0" applyNumberFormat="1" applyFont="1" applyFill="1" applyBorder="1" applyAlignment="1">
      <alignment horizontal="center" vertical="top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3" borderId="68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center" vertical="top"/>
    </xf>
    <xf numFmtId="164" fontId="3" fillId="0" borderId="48" xfId="0" applyNumberFormat="1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70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49" fontId="10" fillId="0" borderId="21" xfId="0" applyNumberFormat="1" applyFont="1" applyBorder="1" applyAlignment="1">
      <alignment horizontal="center" vertical="top"/>
    </xf>
    <xf numFmtId="49" fontId="10" fillId="0" borderId="77" xfId="0" applyNumberFormat="1" applyFont="1" applyBorder="1" applyAlignment="1">
      <alignment horizontal="center" vertical="top"/>
    </xf>
    <xf numFmtId="0" fontId="9" fillId="11" borderId="18" xfId="0" applyFont="1" applyFill="1" applyBorder="1" applyAlignment="1">
      <alignment horizontal="left" vertical="top" wrapText="1"/>
    </xf>
    <xf numFmtId="0" fontId="9" fillId="11" borderId="20" xfId="0" applyFont="1" applyFill="1" applyBorder="1" applyAlignment="1">
      <alignment horizontal="left" vertical="top" wrapText="1"/>
    </xf>
    <xf numFmtId="0" fontId="3" fillId="0" borderId="53" xfId="0" applyFont="1" applyBorder="1" applyAlignment="1">
      <alignment horizontal="center" vertical="center" textRotation="90"/>
    </xf>
    <xf numFmtId="49" fontId="10" fillId="0" borderId="52" xfId="0" applyNumberFormat="1" applyFont="1" applyBorder="1" applyAlignment="1">
      <alignment horizontal="center" vertical="top"/>
    </xf>
    <xf numFmtId="0" fontId="2" fillId="0" borderId="38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9" fillId="0" borderId="38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49" fontId="3" fillId="3" borderId="18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49" fontId="3" fillId="3" borderId="45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164" fontId="3" fillId="3" borderId="68" xfId="0" applyNumberFormat="1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left" vertical="top" wrapText="1"/>
    </xf>
    <xf numFmtId="0" fontId="2" fillId="6" borderId="37" xfId="0" applyFont="1" applyFill="1" applyBorder="1" applyAlignment="1">
      <alignment horizontal="left" vertical="top" wrapText="1"/>
    </xf>
    <xf numFmtId="0" fontId="2" fillId="6" borderId="60" xfId="0" applyFont="1" applyFill="1" applyBorder="1" applyAlignment="1">
      <alignment horizontal="left" vertical="top" wrapText="1"/>
    </xf>
    <xf numFmtId="0" fontId="9" fillId="0" borderId="5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11" borderId="37" xfId="0" applyFont="1" applyFill="1" applyBorder="1" applyAlignment="1">
      <alignment horizontal="left" vertical="top" wrapText="1"/>
    </xf>
    <xf numFmtId="3" fontId="9" fillId="0" borderId="25" xfId="0" applyNumberFormat="1" applyFont="1" applyBorder="1" applyAlignment="1">
      <alignment horizontal="center" vertical="center" textRotation="90" wrapText="1"/>
    </xf>
    <xf numFmtId="3" fontId="9" fillId="0" borderId="23" xfId="0" applyNumberFormat="1" applyFont="1" applyBorder="1" applyAlignment="1">
      <alignment horizontal="center" vertical="center" textRotation="90" wrapText="1"/>
    </xf>
    <xf numFmtId="3" fontId="9" fillId="0" borderId="45" xfId="0" applyNumberFormat="1" applyFont="1" applyBorder="1" applyAlignment="1">
      <alignment horizontal="center" vertical="center" textRotation="90" wrapText="1"/>
    </xf>
    <xf numFmtId="3" fontId="9" fillId="0" borderId="53" xfId="0" applyNumberFormat="1" applyFont="1" applyBorder="1" applyAlignment="1">
      <alignment horizontal="center" vertical="center" textRotation="90" wrapText="1"/>
    </xf>
    <xf numFmtId="3" fontId="9" fillId="0" borderId="0" xfId="0" applyNumberFormat="1" applyFont="1" applyBorder="1" applyAlignment="1">
      <alignment horizontal="center" vertical="center" textRotation="90" wrapText="1"/>
    </xf>
    <xf numFmtId="3" fontId="9" fillId="0" borderId="72" xfId="0" applyNumberFormat="1" applyFont="1" applyBorder="1" applyAlignment="1">
      <alignment horizontal="center" vertical="center" textRotation="90" wrapText="1"/>
    </xf>
    <xf numFmtId="3" fontId="9" fillId="0" borderId="26" xfId="0" applyNumberFormat="1" applyFont="1" applyBorder="1" applyAlignment="1">
      <alignment horizontal="center" vertical="center" textRotation="90" wrapText="1"/>
    </xf>
    <xf numFmtId="3" fontId="9" fillId="0" borderId="76" xfId="0" applyNumberFormat="1" applyFont="1" applyBorder="1" applyAlignment="1">
      <alignment horizontal="center" vertical="center" textRotation="90" wrapText="1"/>
    </xf>
    <xf numFmtId="3" fontId="9" fillId="0" borderId="54" xfId="0" applyNumberFormat="1" applyFont="1" applyBorder="1" applyAlignment="1">
      <alignment horizontal="center" vertical="center" textRotation="90" wrapText="1"/>
    </xf>
    <xf numFmtId="3" fontId="9" fillId="0" borderId="21" xfId="0" applyNumberFormat="1" applyFont="1" applyBorder="1" applyAlignment="1">
      <alignment horizontal="center" vertical="center" textRotation="90" wrapText="1"/>
    </xf>
    <xf numFmtId="3" fontId="9" fillId="0" borderId="52" xfId="0" applyNumberFormat="1" applyFont="1" applyBorder="1" applyAlignment="1">
      <alignment horizontal="center" vertical="center" textRotation="90" wrapText="1"/>
    </xf>
    <xf numFmtId="3" fontId="9" fillId="0" borderId="77" xfId="0" applyNumberFormat="1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center" textRotation="90" wrapText="1"/>
    </xf>
    <xf numFmtId="3" fontId="9" fillId="0" borderId="73" xfId="0" applyNumberFormat="1" applyFont="1" applyBorder="1" applyAlignment="1">
      <alignment horizontal="center" vertical="center" textRotation="90" wrapText="1"/>
    </xf>
    <xf numFmtId="3" fontId="9" fillId="0" borderId="58" xfId="0" applyNumberFormat="1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3" fontId="10" fillId="0" borderId="75" xfId="0" applyNumberFormat="1" applyFon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3" fontId="10" fillId="0" borderId="42" xfId="0" applyNumberFormat="1" applyFont="1" applyBorder="1" applyAlignment="1">
      <alignment horizontal="center" vertical="center" wrapText="1"/>
    </xf>
    <xf numFmtId="3" fontId="9" fillId="0" borderId="32" xfId="0" applyNumberFormat="1" applyFont="1" applyBorder="1" applyAlignment="1">
      <alignment horizontal="center" vertical="center"/>
    </xf>
    <xf numFmtId="3" fontId="9" fillId="0" borderId="62" xfId="0" applyNumberFormat="1" applyFont="1" applyFill="1" applyBorder="1" applyAlignment="1">
      <alignment horizontal="center" vertical="center" textRotation="90" wrapText="1"/>
    </xf>
    <xf numFmtId="3" fontId="9" fillId="0" borderId="20" xfId="0" applyNumberFormat="1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164" fontId="7" fillId="11" borderId="70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0" fontId="6" fillId="0" borderId="38" xfId="0" applyFont="1" applyFill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164" fontId="5" fillId="6" borderId="42" xfId="0" applyNumberFormat="1" applyFont="1" applyFill="1" applyBorder="1" applyAlignment="1">
      <alignment horizontal="left" vertical="top" wrapText="1"/>
    </xf>
    <xf numFmtId="164" fontId="5" fillId="6" borderId="43" xfId="0" applyNumberFormat="1" applyFont="1" applyFill="1" applyBorder="1" applyAlignment="1">
      <alignment horizontal="left" vertical="top" wrapText="1"/>
    </xf>
    <xf numFmtId="164" fontId="5" fillId="6" borderId="48" xfId="0" applyNumberFormat="1" applyFont="1" applyFill="1" applyBorder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left" vertical="top" wrapText="1"/>
    </xf>
    <xf numFmtId="49" fontId="5" fillId="3" borderId="15" xfId="0" applyNumberFormat="1" applyFont="1" applyFill="1" applyBorder="1" applyAlignment="1">
      <alignment horizontal="left" vertical="top" wrapText="1"/>
    </xf>
    <xf numFmtId="49" fontId="5" fillId="3" borderId="68" xfId="0" applyNumberFormat="1" applyFont="1" applyFill="1" applyBorder="1" applyAlignment="1">
      <alignment horizontal="left" vertical="top" wrapText="1"/>
    </xf>
    <xf numFmtId="49" fontId="5" fillId="3" borderId="24" xfId="0" applyNumberFormat="1" applyFont="1" applyFill="1" applyBorder="1" applyAlignment="1">
      <alignment horizontal="right" vertical="top" wrapText="1"/>
    </xf>
    <xf numFmtId="49" fontId="5" fillId="3" borderId="15" xfId="0" applyNumberFormat="1" applyFont="1" applyFill="1" applyBorder="1" applyAlignment="1">
      <alignment horizontal="right" vertical="top" wrapText="1"/>
    </xf>
    <xf numFmtId="49" fontId="5" fillId="3" borderId="68" xfId="0" applyNumberFormat="1" applyFont="1" applyFill="1" applyBorder="1" applyAlignment="1">
      <alignment horizontal="right" vertical="top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68" xfId="0" applyNumberFormat="1" applyFont="1" applyFill="1" applyBorder="1" applyAlignment="1">
      <alignment horizontal="center" vertical="center" wrapText="1"/>
    </xf>
    <xf numFmtId="49" fontId="5" fillId="4" borderId="24" xfId="0" applyNumberFormat="1" applyFont="1" applyFill="1" applyBorder="1" applyAlignment="1">
      <alignment horizontal="right" vertical="top"/>
    </xf>
    <xf numFmtId="49" fontId="5" fillId="4" borderId="15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0" fontId="7" fillId="0" borderId="23" xfId="0" applyNumberFormat="1" applyFont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5" fillId="0" borderId="4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164" fontId="7" fillId="0" borderId="70" xfId="0" applyNumberFormat="1" applyFont="1" applyBorder="1" applyAlignment="1">
      <alignment horizontal="center" vertical="top" wrapText="1"/>
    </xf>
    <xf numFmtId="49" fontId="5" fillId="2" borderId="34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3" borderId="75" xfId="0" applyNumberFormat="1" applyFont="1" applyFill="1" applyBorder="1" applyAlignment="1">
      <alignment horizontal="center" vertical="top"/>
    </xf>
    <xf numFmtId="49" fontId="5" fillId="3" borderId="69" xfId="0" applyNumberFormat="1" applyFont="1" applyFill="1" applyBorder="1" applyAlignment="1">
      <alignment horizontal="center" vertical="top"/>
    </xf>
    <xf numFmtId="49" fontId="5" fillId="6" borderId="42" xfId="0" applyNumberFormat="1" applyFont="1" applyFill="1" applyBorder="1" applyAlignment="1">
      <alignment horizontal="center" vertical="top"/>
    </xf>
    <xf numFmtId="49" fontId="5" fillId="6" borderId="43" xfId="0" applyNumberFormat="1" applyFont="1" applyFill="1" applyBorder="1" applyAlignment="1">
      <alignment horizontal="center" vertical="top"/>
    </xf>
    <xf numFmtId="0" fontId="6" fillId="6" borderId="22" xfId="0" applyFont="1" applyFill="1" applyBorder="1" applyAlignment="1">
      <alignment horizontal="left" vertical="top" wrapText="1"/>
    </xf>
    <xf numFmtId="0" fontId="6" fillId="6" borderId="37" xfId="0" applyFont="1" applyFill="1" applyBorder="1" applyAlignment="1">
      <alignment horizontal="left" vertical="top" wrapText="1"/>
    </xf>
    <xf numFmtId="0" fontId="6" fillId="6" borderId="6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53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49" fontId="5" fillId="3" borderId="18" xfId="0" applyNumberFormat="1" applyFont="1" applyFill="1" applyBorder="1" applyAlignment="1">
      <alignment horizontal="right" vertical="top"/>
    </xf>
    <xf numFmtId="49" fontId="5" fillId="3" borderId="23" xfId="0" applyNumberFormat="1" applyFont="1" applyFill="1" applyBorder="1" applyAlignment="1">
      <alignment horizontal="right" vertical="top"/>
    </xf>
    <xf numFmtId="49" fontId="5" fillId="3" borderId="45" xfId="0" applyNumberFormat="1" applyFont="1" applyFill="1" applyBorder="1" applyAlignment="1">
      <alignment horizontal="right" vertical="top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52" xfId="0" applyNumberFormat="1" applyFont="1" applyBorder="1" applyAlignment="1">
      <alignment horizontal="center" vertical="top" wrapText="1"/>
    </xf>
    <xf numFmtId="49" fontId="7" fillId="0" borderId="77" xfId="0" applyNumberFormat="1" applyFont="1" applyBorder="1" applyAlignment="1">
      <alignment horizontal="center" vertical="top" wrapText="1"/>
    </xf>
    <xf numFmtId="164" fontId="5" fillId="0" borderId="34" xfId="0" applyNumberFormat="1" applyFont="1" applyBorder="1" applyAlignment="1">
      <alignment horizontal="center" vertical="top" wrapText="1"/>
    </xf>
    <xf numFmtId="164" fontId="5" fillId="0" borderId="31" xfId="0" applyNumberFormat="1" applyFont="1" applyBorder="1" applyAlignment="1">
      <alignment horizontal="center" vertical="top" wrapText="1"/>
    </xf>
    <xf numFmtId="164" fontId="5" fillId="0" borderId="47" xfId="0" applyNumberFormat="1" applyFont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left" vertical="top"/>
    </xf>
    <xf numFmtId="49" fontId="5" fillId="3" borderId="15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49" fontId="6" fillId="0" borderId="23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/>
    </xf>
    <xf numFmtId="49" fontId="6" fillId="0" borderId="76" xfId="0" applyNumberFormat="1" applyFont="1" applyBorder="1" applyAlignment="1">
      <alignment horizontal="center" vertical="top"/>
    </xf>
    <xf numFmtId="49" fontId="22" fillId="0" borderId="22" xfId="0" applyNumberFormat="1" applyFont="1" applyBorder="1" applyAlignment="1">
      <alignment horizontal="center" vertical="top"/>
    </xf>
    <xf numFmtId="49" fontId="22" fillId="0" borderId="37" xfId="0" applyNumberFormat="1" applyFont="1" applyBorder="1" applyAlignment="1">
      <alignment horizontal="center" vertical="top"/>
    </xf>
    <xf numFmtId="49" fontId="22" fillId="0" borderId="60" xfId="0" applyNumberFormat="1" applyFont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6" fillId="0" borderId="13" xfId="0" applyNumberFormat="1" applyFont="1" applyFill="1" applyBorder="1" applyAlignment="1">
      <alignment horizontal="left" vertical="top" wrapText="1"/>
    </xf>
    <xf numFmtId="49" fontId="22" fillId="0" borderId="45" xfId="0" applyNumberFormat="1" applyFont="1" applyBorder="1" applyAlignment="1">
      <alignment horizontal="center" vertical="top"/>
    </xf>
    <xf numFmtId="49" fontId="22" fillId="0" borderId="72" xfId="0" applyNumberFormat="1" applyFont="1" applyBorder="1" applyAlignment="1">
      <alignment horizontal="center" vertical="top"/>
    </xf>
    <xf numFmtId="49" fontId="22" fillId="0" borderId="54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68" xfId="0" applyFont="1" applyFill="1" applyBorder="1" applyAlignment="1">
      <alignment horizontal="left" vertical="top"/>
    </xf>
    <xf numFmtId="0" fontId="26" fillId="4" borderId="7" xfId="0" applyFont="1" applyFill="1" applyBorder="1" applyAlignment="1">
      <alignment horizontal="left" vertical="top" wrapText="1"/>
    </xf>
    <xf numFmtId="0" fontId="26" fillId="4" borderId="15" xfId="0" applyFont="1" applyFill="1" applyBorder="1" applyAlignment="1">
      <alignment horizontal="left" vertical="top" wrapText="1"/>
    </xf>
    <xf numFmtId="0" fontId="26" fillId="4" borderId="68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11" borderId="22" xfId="0" applyFont="1" applyFill="1" applyBorder="1" applyAlignment="1">
      <alignment horizontal="left" vertical="top" wrapText="1"/>
    </xf>
    <xf numFmtId="0" fontId="6" fillId="11" borderId="37" xfId="0" applyFont="1" applyFill="1" applyBorder="1" applyAlignment="1">
      <alignment horizontal="left" vertical="top" wrapText="1"/>
    </xf>
    <xf numFmtId="0" fontId="6" fillId="11" borderId="60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center" vertical="center" textRotation="90" wrapText="1"/>
    </xf>
    <xf numFmtId="0" fontId="7" fillId="0" borderId="13" xfId="0" applyFont="1" applyFill="1" applyBorder="1" applyAlignment="1">
      <alignment horizontal="center" vertical="center" textRotation="90" wrapText="1"/>
    </xf>
    <xf numFmtId="0" fontId="7" fillId="0" borderId="64" xfId="0" applyFont="1" applyFill="1" applyBorder="1" applyAlignment="1">
      <alignment horizontal="center" vertical="center" textRotation="90" wrapText="1"/>
    </xf>
    <xf numFmtId="49" fontId="5" fillId="2" borderId="38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5" fillId="3" borderId="42" xfId="0" applyNumberFormat="1" applyFont="1" applyFill="1" applyBorder="1" applyAlignment="1">
      <alignment horizontal="center" vertical="top"/>
    </xf>
    <xf numFmtId="49" fontId="5" fillId="3" borderId="43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3" borderId="48" xfId="0" applyNumberFormat="1" applyFont="1" applyFill="1" applyBorder="1" applyAlignment="1">
      <alignment horizontal="center" vertical="top"/>
    </xf>
    <xf numFmtId="49" fontId="5" fillId="6" borderId="62" xfId="0" applyNumberFormat="1" applyFont="1" applyFill="1" applyBorder="1" applyAlignment="1">
      <alignment horizontal="center" vertical="top"/>
    </xf>
    <xf numFmtId="49" fontId="5" fillId="6" borderId="48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60" xfId="0" applyFont="1" applyFill="1" applyBorder="1" applyAlignment="1">
      <alignment horizontal="left" vertical="top" wrapText="1"/>
    </xf>
    <xf numFmtId="49" fontId="5" fillId="6" borderId="18" xfId="0" applyNumberFormat="1" applyFont="1" applyFill="1" applyBorder="1" applyAlignment="1">
      <alignment horizontal="center" vertical="top"/>
    </xf>
    <xf numFmtId="49" fontId="5" fillId="6" borderId="20" xfId="0" applyNumberFormat="1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2" fillId="3" borderId="7" xfId="0" applyFont="1" applyFill="1" applyBorder="1" applyAlignment="1">
      <alignment horizontal="left" vertical="top" wrapText="1"/>
    </xf>
    <xf numFmtId="0" fontId="22" fillId="3" borderId="15" xfId="0" applyFont="1" applyFill="1" applyBorder="1" applyAlignment="1">
      <alignment horizontal="left" vertical="top" wrapText="1"/>
    </xf>
    <xf numFmtId="0" fontId="22" fillId="3" borderId="68" xfId="0" applyFont="1" applyFill="1" applyBorder="1" applyAlignment="1">
      <alignment horizontal="left" vertical="top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33" xfId="0" applyNumberFormat="1" applyFont="1" applyBorder="1" applyAlignment="1">
      <alignment horizontal="center" vertical="center" textRotation="90"/>
    </xf>
    <xf numFmtId="0" fontId="7" fillId="0" borderId="59" xfId="0" applyNumberFormat="1" applyFont="1" applyBorder="1" applyAlignment="1">
      <alignment horizontal="center" vertical="center" textRotation="90"/>
    </xf>
    <xf numFmtId="0" fontId="6" fillId="0" borderId="22" xfId="0" applyNumberFormat="1" applyFont="1" applyBorder="1" applyAlignment="1">
      <alignment horizontal="center" vertical="center" textRotation="90" wrapText="1"/>
    </xf>
    <xf numFmtId="0" fontId="6" fillId="0" borderId="37" xfId="0" applyNumberFormat="1" applyFont="1" applyBorder="1" applyAlignment="1">
      <alignment horizontal="center" vertical="center" textRotation="90" wrapText="1"/>
    </xf>
    <xf numFmtId="0" fontId="6" fillId="0" borderId="60" xfId="0" applyNumberFormat="1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21" xfId="0" applyNumberFormat="1" applyFont="1" applyBorder="1" applyAlignment="1">
      <alignment horizontal="center" vertical="center" textRotation="90" wrapText="1"/>
    </xf>
    <xf numFmtId="0" fontId="6" fillId="0" borderId="52" xfId="0" applyNumberFormat="1" applyFont="1" applyBorder="1" applyAlignment="1">
      <alignment horizontal="center" vertical="center" textRotation="90" wrapText="1"/>
    </xf>
    <xf numFmtId="0" fontId="6" fillId="0" borderId="77" xfId="0" applyNumberFormat="1" applyFont="1" applyBorder="1" applyAlignment="1">
      <alignment horizontal="center" vertical="center" textRotation="90" wrapText="1"/>
    </xf>
    <xf numFmtId="49" fontId="5" fillId="8" borderId="7" xfId="0" applyNumberFormat="1" applyFont="1" applyFill="1" applyBorder="1" applyAlignment="1">
      <alignment horizontal="left" vertical="top" wrapText="1"/>
    </xf>
    <xf numFmtId="49" fontId="5" fillId="8" borderId="15" xfId="0" applyNumberFormat="1" applyFont="1" applyFill="1" applyBorder="1" applyAlignment="1">
      <alignment horizontal="left" vertical="top" wrapText="1"/>
    </xf>
    <xf numFmtId="49" fontId="5" fillId="8" borderId="68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76" xfId="0" applyFont="1" applyBorder="1" applyAlignment="1">
      <alignment horizontal="right" vertical="top"/>
    </xf>
    <xf numFmtId="0" fontId="6" fillId="0" borderId="34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0" fontId="7" fillId="0" borderId="40" xfId="0" applyFont="1" applyFill="1" applyBorder="1" applyAlignment="1">
      <alignment horizontal="center" vertical="center" textRotation="90" wrapText="1"/>
    </xf>
    <xf numFmtId="0" fontId="7" fillId="0" borderId="60" xfId="0" applyFont="1" applyFill="1" applyBorder="1" applyAlignment="1">
      <alignment horizontal="center" vertical="center" textRotation="90" wrapText="1"/>
    </xf>
    <xf numFmtId="0" fontId="7" fillId="0" borderId="73" xfId="0" applyFont="1" applyBorder="1" applyAlignment="1">
      <alignment horizontal="center" vertical="center" textRotation="90" wrapText="1"/>
    </xf>
    <xf numFmtId="0" fontId="7" fillId="0" borderId="58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7" fillId="0" borderId="62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77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left" vertical="top" wrapText="1"/>
    </xf>
    <xf numFmtId="0" fontId="5" fillId="4" borderId="32" xfId="0" applyFont="1" applyFill="1" applyBorder="1" applyAlignment="1">
      <alignment horizontal="left" vertical="top" wrapText="1"/>
    </xf>
    <xf numFmtId="0" fontId="5" fillId="4" borderId="61" xfId="0" applyFont="1" applyFill="1" applyBorder="1" applyAlignment="1">
      <alignment horizontal="left" vertical="top" wrapText="1"/>
    </xf>
    <xf numFmtId="0" fontId="5" fillId="4" borderId="33" xfId="0" applyFont="1" applyFill="1" applyBorder="1" applyAlignment="1">
      <alignment horizontal="left" vertical="top" wrapText="1"/>
    </xf>
    <xf numFmtId="164" fontId="22" fillId="4" borderId="70" xfId="0" applyNumberFormat="1" applyFont="1" applyFill="1" applyBorder="1" applyAlignment="1">
      <alignment horizontal="center" vertical="top" wrapText="1"/>
    </xf>
    <xf numFmtId="0" fontId="5" fillId="10" borderId="49" xfId="0" applyFont="1" applyFill="1" applyBorder="1" applyAlignment="1">
      <alignment horizontal="right" vertical="top" wrapText="1"/>
    </xf>
    <xf numFmtId="0" fontId="5" fillId="10" borderId="56" xfId="0" applyFont="1" applyFill="1" applyBorder="1" applyAlignment="1">
      <alignment horizontal="right" vertical="top" wrapText="1"/>
    </xf>
    <xf numFmtId="0" fontId="5" fillId="10" borderId="29" xfId="0" applyFont="1" applyFill="1" applyBorder="1" applyAlignment="1">
      <alignment horizontal="right" vertical="top" wrapText="1"/>
    </xf>
    <xf numFmtId="164" fontId="22" fillId="10" borderId="49" xfId="0" applyNumberFormat="1" applyFont="1" applyFill="1" applyBorder="1" applyAlignment="1">
      <alignment horizontal="center" vertical="top" wrapText="1"/>
    </xf>
    <xf numFmtId="0" fontId="6" fillId="0" borderId="70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22" fillId="11" borderId="70" xfId="0" applyFont="1" applyFill="1" applyBorder="1" applyAlignment="1">
      <alignment horizontal="left" vertical="top" wrapText="1"/>
    </xf>
    <xf numFmtId="0" fontId="5" fillId="11" borderId="46" xfId="0" applyFont="1" applyFill="1" applyBorder="1" applyAlignment="1">
      <alignment horizontal="left" vertical="top" wrapText="1"/>
    </xf>
    <xf numFmtId="0" fontId="5" fillId="11" borderId="28" xfId="0" applyFont="1" applyFill="1" applyBorder="1" applyAlignment="1">
      <alignment horizontal="left" vertical="top" wrapText="1"/>
    </xf>
    <xf numFmtId="164" fontId="22" fillId="11" borderId="70" xfId="0" applyNumberFormat="1" applyFont="1" applyFill="1" applyBorder="1" applyAlignment="1">
      <alignment horizontal="center" vertical="top" wrapText="1"/>
    </xf>
    <xf numFmtId="0" fontId="6" fillId="11" borderId="70" xfId="0" applyFont="1" applyFill="1" applyBorder="1" applyAlignment="1">
      <alignment horizontal="left" vertical="top" wrapText="1"/>
    </xf>
    <xf numFmtId="0" fontId="6" fillId="11" borderId="46" xfId="0" applyFont="1" applyFill="1" applyBorder="1" applyAlignment="1">
      <alignment horizontal="left" vertical="top" wrapText="1"/>
    </xf>
    <xf numFmtId="0" fontId="6" fillId="11" borderId="28" xfId="0" applyFont="1" applyFill="1" applyBorder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32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/>
    </xf>
    <xf numFmtId="49" fontId="5" fillId="0" borderId="59" xfId="0" applyNumberFormat="1" applyFont="1" applyBorder="1" applyAlignment="1">
      <alignment horizontal="center" vertical="top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77" xfId="0" applyNumberFormat="1" applyFont="1" applyBorder="1" applyAlignment="1">
      <alignment horizontal="center" vertical="top" wrapText="1"/>
    </xf>
    <xf numFmtId="49" fontId="5" fillId="3" borderId="55" xfId="0" applyNumberFormat="1" applyFont="1" applyFill="1" applyBorder="1" applyAlignment="1">
      <alignment horizontal="center" vertical="top"/>
    </xf>
    <xf numFmtId="164" fontId="5" fillId="2" borderId="24" xfId="0" applyNumberFormat="1" applyFont="1" applyFill="1" applyBorder="1" applyAlignment="1">
      <alignment horizontal="right" vertical="top"/>
    </xf>
    <xf numFmtId="164" fontId="5" fillId="2" borderId="15" xfId="0" applyNumberFormat="1" applyFont="1" applyFill="1" applyBorder="1" applyAlignment="1">
      <alignment horizontal="right" vertical="top"/>
    </xf>
    <xf numFmtId="164" fontId="5" fillId="2" borderId="68" xfId="0" applyNumberFormat="1" applyFont="1" applyFill="1" applyBorder="1" applyAlignment="1">
      <alignment horizontal="right" vertical="top"/>
    </xf>
    <xf numFmtId="49" fontId="5" fillId="6" borderId="35" xfId="0" applyNumberFormat="1" applyFont="1" applyFill="1" applyBorder="1" applyAlignment="1">
      <alignment horizontal="center" vertical="top"/>
    </xf>
    <xf numFmtId="49" fontId="5" fillId="6" borderId="12" xfId="0" applyNumberFormat="1" applyFont="1" applyFill="1" applyBorder="1" applyAlignment="1">
      <alignment horizontal="center" vertical="top"/>
    </xf>
    <xf numFmtId="49" fontId="5" fillId="6" borderId="1" xfId="0" applyNumberFormat="1" applyFont="1" applyFill="1" applyBorder="1" applyAlignment="1">
      <alignment horizontal="center" vertical="top"/>
    </xf>
    <xf numFmtId="164" fontId="5" fillId="0" borderId="42" xfId="0" applyNumberFormat="1" applyFont="1" applyBorder="1" applyAlignment="1">
      <alignment horizontal="left" vertical="top" wrapText="1"/>
    </xf>
    <xf numFmtId="164" fontId="5" fillId="0" borderId="61" xfId="0" applyNumberFormat="1" applyFont="1" applyBorder="1" applyAlignment="1">
      <alignment horizontal="left" vertical="top" wrapText="1"/>
    </xf>
    <xf numFmtId="164" fontId="5" fillId="0" borderId="48" xfId="0" applyNumberFormat="1" applyFont="1" applyBorder="1" applyAlignment="1">
      <alignment horizontal="left" vertical="top" wrapText="1"/>
    </xf>
    <xf numFmtId="49" fontId="6" fillId="0" borderId="52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/>
    </xf>
    <xf numFmtId="49" fontId="5" fillId="11" borderId="36" xfId="0" applyNumberFormat="1" applyFont="1" applyFill="1" applyBorder="1" applyAlignment="1">
      <alignment horizontal="center" vertical="top"/>
    </xf>
    <xf numFmtId="49" fontId="5" fillId="11" borderId="37" xfId="0" applyNumberFormat="1" applyFont="1" applyFill="1" applyBorder="1" applyAlignment="1">
      <alignment horizontal="center" vertical="top"/>
    </xf>
    <xf numFmtId="49" fontId="5" fillId="11" borderId="59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 wrapText="1"/>
    </xf>
    <xf numFmtId="164" fontId="5" fillId="0" borderId="47" xfId="0" applyNumberFormat="1" applyFont="1" applyFill="1" applyBorder="1" applyAlignment="1">
      <alignment horizontal="center" vertical="top" wrapText="1"/>
    </xf>
    <xf numFmtId="49" fontId="6" fillId="11" borderId="21" xfId="0" applyNumberFormat="1" applyFont="1" applyFill="1" applyBorder="1" applyAlignment="1">
      <alignment horizontal="center" vertical="top" wrapText="1"/>
    </xf>
    <xf numFmtId="49" fontId="6" fillId="11" borderId="77" xfId="0" applyNumberFormat="1" applyFont="1" applyFill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/>
    </xf>
    <xf numFmtId="0" fontId="7" fillId="11" borderId="18" xfId="0" applyFont="1" applyFill="1" applyBorder="1" applyAlignment="1">
      <alignment horizontal="left" vertical="top" wrapText="1"/>
    </xf>
    <xf numFmtId="0" fontId="7" fillId="11" borderId="20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49" fontId="5" fillId="2" borderId="34" xfId="0" applyNumberFormat="1" applyFont="1" applyFill="1" applyBorder="1" applyAlignment="1">
      <alignment horizontal="center" vertical="top" wrapText="1"/>
    </xf>
    <xf numFmtId="49" fontId="5" fillId="2" borderId="47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164" fontId="5" fillId="0" borderId="11" xfId="0" applyNumberFormat="1" applyFont="1" applyFill="1" applyBorder="1" applyAlignment="1">
      <alignment horizontal="center" vertical="top" wrapText="1"/>
    </xf>
    <xf numFmtId="164" fontId="5" fillId="11" borderId="42" xfId="0" applyNumberFormat="1" applyFont="1" applyFill="1" applyBorder="1" applyAlignment="1">
      <alignment horizontal="left" vertical="top" wrapText="1"/>
    </xf>
    <xf numFmtId="164" fontId="5" fillId="11" borderId="48" xfId="0" applyNumberFormat="1" applyFont="1" applyFill="1" applyBorder="1" applyAlignment="1">
      <alignment horizontal="left" vertical="top" wrapText="1"/>
    </xf>
    <xf numFmtId="164" fontId="6" fillId="11" borderId="42" xfId="0" applyNumberFormat="1" applyFont="1" applyFill="1" applyBorder="1" applyAlignment="1">
      <alignment horizontal="left" vertical="top" wrapText="1"/>
    </xf>
    <xf numFmtId="164" fontId="6" fillId="11" borderId="48" xfId="0" applyNumberFormat="1" applyFont="1" applyFill="1" applyBorder="1" applyAlignment="1">
      <alignment horizontal="left" vertical="top" wrapText="1"/>
    </xf>
    <xf numFmtId="3" fontId="7" fillId="0" borderId="0" xfId="0" applyNumberFormat="1" applyFont="1" applyAlignment="1">
      <alignment horizontal="center" vertical="top"/>
    </xf>
    <xf numFmtId="0" fontId="6" fillId="0" borderId="10" xfId="0" applyNumberFormat="1" applyFont="1" applyFill="1" applyBorder="1" applyAlignment="1">
      <alignment horizontal="center" vertical="top"/>
    </xf>
    <xf numFmtId="0" fontId="6" fillId="0" borderId="14" xfId="0" applyNumberFormat="1" applyFont="1" applyFill="1" applyBorder="1" applyAlignment="1">
      <alignment horizontal="center" vertical="top"/>
    </xf>
    <xf numFmtId="164" fontId="5" fillId="11" borderId="43" xfId="0" applyNumberFormat="1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right" vertical="top" wrapText="1"/>
    </xf>
    <xf numFmtId="0" fontId="3" fillId="4" borderId="32" xfId="0" applyFont="1" applyFill="1" applyBorder="1" applyAlignment="1">
      <alignment horizontal="right" vertical="top" wrapText="1"/>
    </xf>
    <xf numFmtId="0" fontId="3" fillId="4" borderId="33" xfId="0" applyFont="1" applyFill="1" applyBorder="1" applyAlignment="1">
      <alignment horizontal="right" vertical="top" wrapText="1"/>
    </xf>
    <xf numFmtId="164" fontId="9" fillId="0" borderId="70" xfId="0" applyNumberFormat="1" applyFont="1" applyBorder="1" applyAlignment="1">
      <alignment horizontal="center" vertical="top" wrapText="1"/>
    </xf>
    <xf numFmtId="2" fontId="8" fillId="0" borderId="0" xfId="0" applyNumberFormat="1" applyFont="1" applyAlignment="1">
      <alignment horizontal="center" vertical="top" wrapText="1"/>
    </xf>
    <xf numFmtId="0" fontId="10" fillId="0" borderId="76" xfId="0" applyFont="1" applyBorder="1" applyAlignment="1">
      <alignment horizontal="right" vertical="top"/>
    </xf>
    <xf numFmtId="0" fontId="11" fillId="4" borderId="70" xfId="0" applyFont="1" applyFill="1" applyBorder="1" applyAlignment="1">
      <alignment horizontal="left" vertical="top" wrapText="1"/>
    </xf>
    <xf numFmtId="0" fontId="11" fillId="4" borderId="46" xfId="0" applyFont="1" applyFill="1" applyBorder="1" applyAlignment="1">
      <alignment horizontal="left" vertical="top" wrapText="1"/>
    </xf>
    <xf numFmtId="0" fontId="11" fillId="4" borderId="71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69" xfId="0" applyFont="1" applyFill="1" applyBorder="1" applyAlignment="1">
      <alignment horizontal="left" vertical="top"/>
    </xf>
    <xf numFmtId="0" fontId="3" fillId="0" borderId="34" xfId="0" applyFont="1" applyBorder="1" applyAlignment="1">
      <alignment horizontal="center" vertical="center" wrapText="1"/>
    </xf>
    <xf numFmtId="164" fontId="10" fillId="6" borderId="42" xfId="0" applyNumberFormat="1" applyFont="1" applyFill="1" applyBorder="1" applyAlignment="1">
      <alignment horizontal="left" vertical="top" wrapText="1"/>
    </xf>
    <xf numFmtId="164" fontId="10" fillId="6" borderId="48" xfId="0" applyNumberFormat="1" applyFont="1" applyFill="1" applyBorder="1" applyAlignment="1">
      <alignment horizontal="left" vertical="top" wrapText="1"/>
    </xf>
    <xf numFmtId="0" fontId="10" fillId="3" borderId="49" xfId="0" applyFont="1" applyFill="1" applyBorder="1" applyAlignment="1">
      <alignment horizontal="left" vertical="top" wrapText="1"/>
    </xf>
    <xf numFmtId="0" fontId="10" fillId="3" borderId="56" xfId="0" applyFont="1" applyFill="1" applyBorder="1" applyAlignment="1">
      <alignment horizontal="left" vertical="top" wrapText="1"/>
    </xf>
    <xf numFmtId="0" fontId="10" fillId="3" borderId="55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center" vertical="center" textRotation="90" wrapText="1"/>
    </xf>
    <xf numFmtId="0" fontId="6" fillId="0" borderId="59" xfId="0" applyFont="1" applyFill="1" applyBorder="1" applyAlignment="1">
      <alignment horizontal="center" vertical="center" textRotation="90" wrapText="1"/>
    </xf>
    <xf numFmtId="49" fontId="3" fillId="8" borderId="25" xfId="0" applyNumberFormat="1" applyFont="1" applyFill="1" applyBorder="1" applyAlignment="1">
      <alignment horizontal="left" vertical="top" wrapText="1"/>
    </xf>
    <xf numFmtId="49" fontId="3" fillId="8" borderId="23" xfId="0" applyNumberFormat="1" applyFont="1" applyFill="1" applyBorder="1" applyAlignment="1">
      <alignment horizontal="left" vertical="top" wrapText="1"/>
    </xf>
    <xf numFmtId="49" fontId="3" fillId="8" borderId="57" xfId="0" applyNumberFormat="1" applyFont="1" applyFill="1" applyBorder="1" applyAlignment="1">
      <alignment horizontal="left" vertical="top" wrapText="1"/>
    </xf>
    <xf numFmtId="164" fontId="10" fillId="0" borderId="42" xfId="0" applyNumberFormat="1" applyFont="1" applyBorder="1" applyAlignment="1">
      <alignment horizontal="left" vertical="top" wrapText="1"/>
    </xf>
    <xf numFmtId="164" fontId="10" fillId="0" borderId="61" xfId="0" applyNumberFormat="1" applyFont="1" applyBorder="1" applyAlignment="1">
      <alignment horizontal="left" vertical="top" wrapText="1"/>
    </xf>
    <xf numFmtId="164" fontId="10" fillId="0" borderId="62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3" fillId="6" borderId="67" xfId="0" applyNumberFormat="1" applyFont="1" applyFill="1" applyBorder="1" applyAlignment="1">
      <alignment horizontal="center" vertical="top"/>
    </xf>
    <xf numFmtId="164" fontId="9" fillId="6" borderId="67" xfId="0" applyNumberFormat="1" applyFont="1" applyFill="1" applyBorder="1" applyAlignment="1">
      <alignment horizontal="left" vertical="top" wrapText="1"/>
    </xf>
    <xf numFmtId="164" fontId="9" fillId="6" borderId="48" xfId="0" applyNumberFormat="1" applyFont="1" applyFill="1" applyBorder="1" applyAlignment="1">
      <alignment horizontal="left" vertical="top" wrapText="1"/>
    </xf>
    <xf numFmtId="164" fontId="3" fillId="0" borderId="64" xfId="0" applyNumberFormat="1" applyFont="1" applyFill="1" applyBorder="1" applyAlignment="1">
      <alignment horizontal="center" vertical="center" wrapText="1"/>
    </xf>
    <xf numFmtId="164" fontId="3" fillId="0" borderId="47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Border="1" applyAlignment="1">
      <alignment horizontal="center" vertical="top" wrapText="1"/>
    </xf>
    <xf numFmtId="49" fontId="3" fillId="0" borderId="66" xfId="0" applyNumberFormat="1" applyFont="1" applyBorder="1" applyAlignment="1">
      <alignment horizontal="center" vertical="top"/>
    </xf>
    <xf numFmtId="49" fontId="10" fillId="0" borderId="72" xfId="0" applyNumberFormat="1" applyFont="1" applyBorder="1" applyAlignment="1">
      <alignment horizontal="center" vertical="top"/>
    </xf>
    <xf numFmtId="164" fontId="17" fillId="0" borderId="76" xfId="0" applyNumberFormat="1" applyFont="1" applyFill="1" applyBorder="1" applyAlignment="1">
      <alignment horizontal="center" vertical="top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64" fontId="10" fillId="4" borderId="31" xfId="0" applyNumberFormat="1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164" fontId="9" fillId="6" borderId="31" xfId="0" applyNumberFormat="1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 applyAlignment="1">
      <alignment horizontal="center"/>
    </xf>
    <xf numFmtId="0" fontId="2" fillId="0" borderId="70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10" fillId="0" borderId="7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textRotation="90" wrapText="1"/>
    </xf>
    <xf numFmtId="0" fontId="9" fillId="0" borderId="58" xfId="0" applyFont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center" textRotation="90" wrapText="1"/>
    </xf>
    <xf numFmtId="0" fontId="10" fillId="0" borderId="53" xfId="0" applyFont="1" applyFill="1" applyBorder="1" applyAlignment="1">
      <alignment horizontal="center" vertical="center" textRotation="90" wrapText="1"/>
    </xf>
    <xf numFmtId="0" fontId="10" fillId="0" borderId="26" xfId="0" applyFont="1" applyFill="1" applyBorder="1" applyAlignment="1">
      <alignment horizontal="center" vertical="center" textRotation="90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6" borderId="18" xfId="0" applyFont="1" applyFill="1" applyBorder="1" applyAlignment="1">
      <alignment horizontal="left" vertical="top" wrapText="1"/>
    </xf>
    <xf numFmtId="0" fontId="2" fillId="6" borderId="43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0" fontId="9" fillId="6" borderId="18" xfId="0" applyFont="1" applyFill="1" applyBorder="1" applyAlignment="1">
      <alignment horizontal="left" vertical="top" wrapText="1"/>
    </xf>
    <xf numFmtId="0" fontId="9" fillId="6" borderId="43" xfId="0" applyFont="1" applyFill="1" applyBorder="1" applyAlignment="1">
      <alignment horizontal="left" vertical="top" wrapText="1"/>
    </xf>
    <xf numFmtId="0" fontId="9" fillId="6" borderId="20" xfId="0" applyFont="1" applyFill="1" applyBorder="1" applyAlignment="1">
      <alignment horizontal="left" vertical="top" wrapText="1"/>
    </xf>
    <xf numFmtId="164" fontId="10" fillId="9" borderId="47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59" xfId="0" applyFont="1" applyFill="1" applyBorder="1" applyAlignment="1">
      <alignment horizontal="center"/>
    </xf>
    <xf numFmtId="164" fontId="9" fillId="6" borderId="70" xfId="0" applyNumberFormat="1" applyFont="1" applyFill="1" applyBorder="1" applyAlignment="1">
      <alignment horizontal="center"/>
    </xf>
    <xf numFmtId="164" fontId="9" fillId="6" borderId="46" xfId="0" applyNumberFormat="1" applyFont="1" applyFill="1" applyBorder="1" applyAlignment="1">
      <alignment horizontal="center"/>
    </xf>
    <xf numFmtId="164" fontId="9" fillId="6" borderId="28" xfId="0" applyNumberFormat="1" applyFont="1" applyFill="1" applyBorder="1" applyAlignment="1">
      <alignment horizontal="center"/>
    </xf>
    <xf numFmtId="0" fontId="15" fillId="0" borderId="23" xfId="0" applyNumberFormat="1" applyFont="1" applyBorder="1" applyAlignment="1">
      <alignment vertical="top" wrapText="1"/>
    </xf>
    <xf numFmtId="164" fontId="10" fillId="5" borderId="56" xfId="0" applyNumberFormat="1" applyFont="1" applyFill="1" applyBorder="1" applyAlignment="1">
      <alignment horizontal="center" vertical="top" wrapText="1"/>
    </xf>
    <xf numFmtId="0" fontId="3" fillId="5" borderId="49" xfId="0" applyFont="1" applyFill="1" applyBorder="1" applyAlignment="1">
      <alignment horizontal="right" vertical="top" wrapText="1"/>
    </xf>
    <xf numFmtId="0" fontId="3" fillId="5" borderId="56" xfId="0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right" vertical="top" wrapText="1"/>
    </xf>
    <xf numFmtId="164" fontId="10" fillId="5" borderId="29" xfId="0" applyNumberFormat="1" applyFont="1" applyFill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 vertical="center" textRotation="90" wrapText="1"/>
    </xf>
    <xf numFmtId="0" fontId="22" fillId="0" borderId="23" xfId="0" applyFont="1" applyBorder="1" applyAlignment="1">
      <alignment horizontal="center" vertical="center" textRotation="90" wrapText="1"/>
    </xf>
    <xf numFmtId="0" fontId="22" fillId="0" borderId="45" xfId="0" applyFont="1" applyBorder="1" applyAlignment="1">
      <alignment horizontal="center" vertical="center" textRotation="90" wrapText="1"/>
    </xf>
    <xf numFmtId="0" fontId="22" fillId="0" borderId="53" xfId="0" applyFont="1" applyBorder="1" applyAlignment="1">
      <alignment horizontal="center" vertical="center" textRotation="90" wrapText="1"/>
    </xf>
    <xf numFmtId="0" fontId="22" fillId="0" borderId="0" xfId="0" applyFont="1" applyBorder="1" applyAlignment="1">
      <alignment horizontal="center" vertical="center" textRotation="90" wrapText="1"/>
    </xf>
    <xf numFmtId="0" fontId="22" fillId="0" borderId="72" xfId="0" applyFont="1" applyBorder="1" applyAlignment="1">
      <alignment horizontal="center" vertical="center" textRotation="90" wrapText="1"/>
    </xf>
    <xf numFmtId="0" fontId="22" fillId="0" borderId="26" xfId="0" applyFont="1" applyBorder="1" applyAlignment="1">
      <alignment horizontal="center" vertical="center" textRotation="90" wrapText="1"/>
    </xf>
    <xf numFmtId="0" fontId="22" fillId="0" borderId="76" xfId="0" applyFont="1" applyBorder="1" applyAlignment="1">
      <alignment horizontal="center" vertical="center" textRotation="90" wrapText="1"/>
    </xf>
    <xf numFmtId="0" fontId="22" fillId="0" borderId="54" xfId="0" applyFont="1" applyBorder="1" applyAlignment="1">
      <alignment horizontal="center" vertical="center" textRotation="90" wrapText="1"/>
    </xf>
  </cellXfs>
  <cellStyles count="4">
    <cellStyle name="Įprastas" xfId="0" builtinId="0"/>
    <cellStyle name="Įprastas 2" xfId="1"/>
    <cellStyle name="Normal_biudz uz 2001 atskaitomybe3" xfId="2"/>
    <cellStyle name="Paprastas_3 lente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zoomScale="120" zoomScaleNormal="120" zoomScaleSheetLayoutView="100" workbookViewId="0">
      <selection activeCell="K18" sqref="K18"/>
    </sheetView>
  </sheetViews>
  <sheetFormatPr defaultRowHeight="12.75"/>
  <cols>
    <col min="1" max="3" width="2.7109375" style="1" customWidth="1"/>
    <col min="4" max="4" width="38.7109375" style="1" customWidth="1"/>
    <col min="5" max="6" width="3" style="1" customWidth="1"/>
    <col min="7" max="7" width="3" style="2" customWidth="1"/>
    <col min="8" max="8" width="6.85546875" style="346" customWidth="1"/>
    <col min="9" max="9" width="6.7109375" style="420" customWidth="1"/>
    <col min="10" max="10" width="6.42578125" style="420" customWidth="1"/>
    <col min="11" max="11" width="6.28515625" style="420" customWidth="1"/>
    <col min="12" max="12" width="6.140625" style="420" customWidth="1"/>
    <col min="13" max="14" width="7.5703125" style="1" customWidth="1"/>
    <col min="15" max="15" width="27.42578125" style="1" customWidth="1"/>
    <col min="16" max="17" width="5.5703125" style="420" customWidth="1"/>
    <col min="18" max="18" width="5.5703125" style="111" customWidth="1"/>
    <col min="19" max="19" width="9.140625" style="111"/>
    <col min="20" max="20" width="22.140625" style="111" customWidth="1"/>
    <col min="21" max="16384" width="9.140625" style="111"/>
  </cols>
  <sheetData>
    <row r="1" spans="1:22" ht="15.75">
      <c r="A1" s="1179" t="s">
        <v>115</v>
      </c>
      <c r="B1" s="1179"/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  <c r="N1" s="1179"/>
      <c r="O1" s="1179"/>
      <c r="P1" s="1179"/>
      <c r="Q1" s="1179"/>
      <c r="R1" s="1179"/>
    </row>
    <row r="2" spans="1:22" ht="12.75" customHeight="1">
      <c r="A2" s="1198" t="s">
        <v>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1198"/>
      <c r="L2" s="1198"/>
      <c r="M2" s="1198"/>
      <c r="N2" s="1198"/>
      <c r="O2" s="1198"/>
      <c r="P2" s="1198"/>
      <c r="Q2" s="1198"/>
      <c r="R2" s="1198"/>
    </row>
    <row r="3" spans="1:22">
      <c r="A3" s="1180" t="s">
        <v>124</v>
      </c>
      <c r="B3" s="1180"/>
      <c r="C3" s="1180"/>
      <c r="D3" s="1180"/>
      <c r="E3" s="1180"/>
      <c r="F3" s="1180"/>
      <c r="G3" s="1180"/>
      <c r="H3" s="1180"/>
      <c r="I3" s="1180"/>
      <c r="J3" s="1180"/>
      <c r="K3" s="1180"/>
      <c r="L3" s="1180"/>
      <c r="M3" s="1180"/>
      <c r="N3" s="1180"/>
      <c r="O3" s="1180"/>
      <c r="P3" s="1180"/>
      <c r="Q3" s="1180"/>
      <c r="R3" s="1180"/>
    </row>
    <row r="4" spans="1:22" ht="13.5" thickBot="1">
      <c r="A4" s="1181" t="s">
        <v>0</v>
      </c>
      <c r="B4" s="1181"/>
      <c r="C4" s="1181"/>
      <c r="D4" s="1181"/>
      <c r="E4" s="1181"/>
      <c r="F4" s="1181"/>
      <c r="G4" s="1181"/>
      <c r="H4" s="1181"/>
      <c r="I4" s="1181"/>
      <c r="J4" s="1181"/>
      <c r="K4" s="1181"/>
      <c r="L4" s="1181"/>
      <c r="M4" s="1181"/>
      <c r="N4" s="1181"/>
      <c r="O4" s="1181"/>
      <c r="P4" s="1181"/>
      <c r="Q4" s="1181"/>
      <c r="R4" s="1181"/>
    </row>
    <row r="5" spans="1:22" ht="27" customHeight="1">
      <c r="A5" s="1182" t="s">
        <v>1</v>
      </c>
      <c r="B5" s="1185" t="s">
        <v>2</v>
      </c>
      <c r="C5" s="1185" t="s">
        <v>3</v>
      </c>
      <c r="D5" s="1188" t="s">
        <v>16</v>
      </c>
      <c r="E5" s="1191" t="s">
        <v>4</v>
      </c>
      <c r="F5" s="1185" t="s">
        <v>130</v>
      </c>
      <c r="G5" s="1216" t="s">
        <v>5</v>
      </c>
      <c r="H5" s="1219" t="s">
        <v>6</v>
      </c>
      <c r="I5" s="1222" t="s">
        <v>93</v>
      </c>
      <c r="J5" s="1223"/>
      <c r="K5" s="1223"/>
      <c r="L5" s="1224"/>
      <c r="M5" s="1205" t="s">
        <v>126</v>
      </c>
      <c r="N5" s="1208" t="s">
        <v>127</v>
      </c>
      <c r="O5" s="1211" t="s">
        <v>125</v>
      </c>
      <c r="P5" s="1212"/>
      <c r="Q5" s="1212"/>
      <c r="R5" s="1213"/>
    </row>
    <row r="6" spans="1:22" ht="12.75" customHeight="1">
      <c r="A6" s="1183"/>
      <c r="B6" s="1186"/>
      <c r="C6" s="1186"/>
      <c r="D6" s="1189"/>
      <c r="E6" s="1192"/>
      <c r="F6" s="1186"/>
      <c r="G6" s="1217"/>
      <c r="H6" s="1220"/>
      <c r="I6" s="1214" t="s">
        <v>7</v>
      </c>
      <c r="J6" s="1225" t="s">
        <v>8</v>
      </c>
      <c r="K6" s="1225"/>
      <c r="L6" s="1226" t="s">
        <v>22</v>
      </c>
      <c r="M6" s="1206"/>
      <c r="N6" s="1209"/>
      <c r="O6" s="1194" t="s">
        <v>16</v>
      </c>
      <c r="P6" s="1186" t="s">
        <v>64</v>
      </c>
      <c r="Q6" s="1186" t="s">
        <v>65</v>
      </c>
      <c r="R6" s="1196" t="s">
        <v>95</v>
      </c>
    </row>
    <row r="7" spans="1:22" ht="101.25" thickBot="1">
      <c r="A7" s="1184"/>
      <c r="B7" s="1187"/>
      <c r="C7" s="1187"/>
      <c r="D7" s="1190"/>
      <c r="E7" s="1193"/>
      <c r="F7" s="1187"/>
      <c r="G7" s="1218"/>
      <c r="H7" s="1221"/>
      <c r="I7" s="1215"/>
      <c r="J7" s="419" t="s">
        <v>7</v>
      </c>
      <c r="K7" s="3" t="s">
        <v>17</v>
      </c>
      <c r="L7" s="1227"/>
      <c r="M7" s="1207"/>
      <c r="N7" s="1210"/>
      <c r="O7" s="1195"/>
      <c r="P7" s="1187"/>
      <c r="Q7" s="1187"/>
      <c r="R7" s="1197"/>
    </row>
    <row r="8" spans="1:22" ht="13.5" thickBot="1">
      <c r="A8" s="1199" t="s">
        <v>33</v>
      </c>
      <c r="B8" s="1200"/>
      <c r="C8" s="1200"/>
      <c r="D8" s="1200"/>
      <c r="E8" s="1200"/>
      <c r="F8" s="1200"/>
      <c r="G8" s="1200"/>
      <c r="H8" s="1200"/>
      <c r="I8" s="1200"/>
      <c r="J8" s="1200"/>
      <c r="K8" s="1200"/>
      <c r="L8" s="1200"/>
      <c r="M8" s="1200"/>
      <c r="N8" s="1200"/>
      <c r="O8" s="1200"/>
      <c r="P8" s="1200"/>
      <c r="Q8" s="1200"/>
      <c r="R8" s="1201"/>
    </row>
    <row r="9" spans="1:22" ht="13.5" thickBot="1">
      <c r="A9" s="1202" t="s">
        <v>55</v>
      </c>
      <c r="B9" s="1203"/>
      <c r="C9" s="1203"/>
      <c r="D9" s="1203"/>
      <c r="E9" s="1203"/>
      <c r="F9" s="1203"/>
      <c r="G9" s="1203"/>
      <c r="H9" s="1203"/>
      <c r="I9" s="1203"/>
      <c r="J9" s="1203"/>
      <c r="K9" s="1203"/>
      <c r="L9" s="1203"/>
      <c r="M9" s="1203"/>
      <c r="N9" s="1203"/>
      <c r="O9" s="1203"/>
      <c r="P9" s="1203"/>
      <c r="Q9" s="1203"/>
      <c r="R9" s="1204"/>
    </row>
    <row r="10" spans="1:22" ht="17.25" customHeight="1" thickBot="1">
      <c r="A10" s="39" t="s">
        <v>9</v>
      </c>
      <c r="B10" s="1242" t="s">
        <v>47</v>
      </c>
      <c r="C10" s="1243"/>
      <c r="D10" s="1243"/>
      <c r="E10" s="1243"/>
      <c r="F10" s="1243"/>
      <c r="G10" s="1243"/>
      <c r="H10" s="1243"/>
      <c r="I10" s="1243"/>
      <c r="J10" s="1243"/>
      <c r="K10" s="1243"/>
      <c r="L10" s="1243"/>
      <c r="M10" s="1243"/>
      <c r="N10" s="1243"/>
      <c r="O10" s="1243"/>
      <c r="P10" s="1243"/>
      <c r="Q10" s="1243"/>
      <c r="R10" s="1244"/>
    </row>
    <row r="11" spans="1:22" ht="13.5" thickBot="1">
      <c r="A11" s="4" t="s">
        <v>9</v>
      </c>
      <c r="B11" s="29" t="s">
        <v>9</v>
      </c>
      <c r="C11" s="1245" t="s">
        <v>35</v>
      </c>
      <c r="D11" s="1246"/>
      <c r="E11" s="1246"/>
      <c r="F11" s="1246"/>
      <c r="G11" s="1246"/>
      <c r="H11" s="1246"/>
      <c r="I11" s="1246"/>
      <c r="J11" s="1246"/>
      <c r="K11" s="1246"/>
      <c r="L11" s="1246"/>
      <c r="M11" s="1246"/>
      <c r="N11" s="1246"/>
      <c r="O11" s="1246"/>
      <c r="P11" s="1246"/>
      <c r="Q11" s="1246"/>
      <c r="R11" s="1247"/>
    </row>
    <row r="12" spans="1:22" ht="34.5" customHeight="1">
      <c r="A12" s="1248" t="s">
        <v>9</v>
      </c>
      <c r="B12" s="1252" t="s">
        <v>9</v>
      </c>
      <c r="C12" s="1256" t="s">
        <v>9</v>
      </c>
      <c r="D12" s="1234" t="s">
        <v>23</v>
      </c>
      <c r="E12" s="471" t="s">
        <v>106</v>
      </c>
      <c r="F12" s="1259" t="s">
        <v>24</v>
      </c>
      <c r="G12" s="1262" t="s">
        <v>43</v>
      </c>
      <c r="H12" s="338" t="s">
        <v>25</v>
      </c>
      <c r="I12" s="305">
        <f t="shared" ref="I12:I14" si="0">J12+L12</f>
        <v>36.799999999999997</v>
      </c>
      <c r="J12" s="306">
        <v>36.799999999999997</v>
      </c>
      <c r="K12" s="306"/>
      <c r="L12" s="307"/>
      <c r="M12" s="292">
        <v>36.799999999999997</v>
      </c>
      <c r="N12" s="62">
        <v>36.799999999999997</v>
      </c>
      <c r="O12" s="1265" t="s">
        <v>122</v>
      </c>
      <c r="P12" s="357">
        <v>100</v>
      </c>
      <c r="Q12" s="357">
        <v>100</v>
      </c>
      <c r="R12" s="358">
        <v>100</v>
      </c>
    </row>
    <row r="13" spans="1:22" ht="15" customHeight="1">
      <c r="A13" s="1249"/>
      <c r="B13" s="1253"/>
      <c r="C13" s="1232"/>
      <c r="D13" s="1235"/>
      <c r="E13" s="1228" t="s">
        <v>107</v>
      </c>
      <c r="F13" s="1260"/>
      <c r="G13" s="1263"/>
      <c r="H13" s="339" t="s">
        <v>26</v>
      </c>
      <c r="I13" s="308">
        <f t="shared" si="0"/>
        <v>318</v>
      </c>
      <c r="J13" s="309">
        <v>318</v>
      </c>
      <c r="K13" s="309"/>
      <c r="L13" s="310"/>
      <c r="M13" s="299">
        <v>318</v>
      </c>
      <c r="N13" s="300">
        <v>318</v>
      </c>
      <c r="O13" s="1266"/>
      <c r="P13" s="359"/>
      <c r="Q13" s="359"/>
      <c r="R13" s="360"/>
    </row>
    <row r="14" spans="1:22" ht="15" customHeight="1">
      <c r="A14" s="1250"/>
      <c r="B14" s="1254"/>
      <c r="C14" s="1257"/>
      <c r="D14" s="1235"/>
      <c r="E14" s="1229"/>
      <c r="F14" s="1260"/>
      <c r="G14" s="1263"/>
      <c r="H14" s="340" t="s">
        <v>50</v>
      </c>
      <c r="I14" s="311">
        <f t="shared" si="0"/>
        <v>127.7</v>
      </c>
      <c r="J14" s="312">
        <v>127.7</v>
      </c>
      <c r="K14" s="312"/>
      <c r="L14" s="313"/>
      <c r="M14" s="301"/>
      <c r="N14" s="302"/>
      <c r="O14" s="1266"/>
      <c r="P14" s="359"/>
      <c r="Q14" s="359"/>
      <c r="R14" s="360"/>
    </row>
    <row r="15" spans="1:22">
      <c r="A15" s="1250"/>
      <c r="B15" s="1254"/>
      <c r="C15" s="1257"/>
      <c r="D15" s="1235"/>
      <c r="E15" s="1228" t="s">
        <v>89</v>
      </c>
      <c r="F15" s="1260"/>
      <c r="G15" s="1263"/>
      <c r="H15" s="457"/>
      <c r="I15" s="308"/>
      <c r="J15" s="309"/>
      <c r="K15" s="309"/>
      <c r="L15" s="310"/>
      <c r="M15" s="299"/>
      <c r="N15" s="300"/>
      <c r="O15" s="1266"/>
      <c r="P15" s="361"/>
      <c r="Q15" s="361"/>
      <c r="R15" s="362"/>
      <c r="V15" s="114"/>
    </row>
    <row r="16" spans="1:22" ht="17.25" customHeight="1" thickBot="1">
      <c r="A16" s="1251"/>
      <c r="B16" s="1255"/>
      <c r="C16" s="1258"/>
      <c r="D16" s="1236"/>
      <c r="E16" s="1230"/>
      <c r="F16" s="1261"/>
      <c r="G16" s="1264"/>
      <c r="H16" s="342" t="s">
        <v>10</v>
      </c>
      <c r="I16" s="314">
        <f t="shared" ref="I16:I20" si="1">J16+L16</f>
        <v>482.5</v>
      </c>
      <c r="J16" s="315">
        <f>SUM(J12:J15)</f>
        <v>482.5</v>
      </c>
      <c r="K16" s="315"/>
      <c r="L16" s="316"/>
      <c r="M16" s="326">
        <f>SUM(M12:M15)</f>
        <v>354.8</v>
      </c>
      <c r="N16" s="327">
        <f>SUM(N12:N15)</f>
        <v>354.8</v>
      </c>
      <c r="O16" s="1267"/>
      <c r="P16" s="363"/>
      <c r="Q16" s="363"/>
      <c r="R16" s="364"/>
    </row>
    <row r="17" spans="1:23" ht="12.75" customHeight="1">
      <c r="A17" s="25" t="s">
        <v>9</v>
      </c>
      <c r="B17" s="26" t="s">
        <v>9</v>
      </c>
      <c r="C17" s="1231" t="s">
        <v>11</v>
      </c>
      <c r="D17" s="1234" t="s">
        <v>116</v>
      </c>
      <c r="E17" s="1237" t="s">
        <v>89</v>
      </c>
      <c r="F17" s="1239" t="s">
        <v>24</v>
      </c>
      <c r="G17" s="1262" t="s">
        <v>43</v>
      </c>
      <c r="H17" s="458" t="s">
        <v>39</v>
      </c>
      <c r="I17" s="442">
        <v>871.8</v>
      </c>
      <c r="J17" s="443">
        <v>871.8</v>
      </c>
      <c r="K17" s="443">
        <v>532.6</v>
      </c>
      <c r="L17" s="444"/>
      <c r="M17" s="459">
        <v>1080</v>
      </c>
      <c r="N17" s="303">
        <v>1080</v>
      </c>
      <c r="O17" s="1268" t="s">
        <v>56</v>
      </c>
      <c r="P17" s="445">
        <v>51</v>
      </c>
      <c r="Q17" s="445">
        <v>51</v>
      </c>
      <c r="R17" s="446">
        <v>51</v>
      </c>
    </row>
    <row r="18" spans="1:23">
      <c r="A18" s="423"/>
      <c r="B18" s="425"/>
      <c r="C18" s="1232"/>
      <c r="D18" s="1235"/>
      <c r="E18" s="1238"/>
      <c r="F18" s="1240"/>
      <c r="G18" s="1263"/>
      <c r="H18" s="457"/>
      <c r="I18" s="308"/>
      <c r="J18" s="309"/>
      <c r="K18" s="309"/>
      <c r="L18" s="310"/>
      <c r="M18" s="298"/>
      <c r="N18" s="300"/>
      <c r="O18" s="1269"/>
      <c r="P18" s="445"/>
      <c r="Q18" s="445"/>
      <c r="R18" s="446"/>
      <c r="V18" s="114"/>
    </row>
    <row r="19" spans="1:23">
      <c r="A19" s="423"/>
      <c r="B19" s="425"/>
      <c r="C19" s="1232"/>
      <c r="D19" s="1235"/>
      <c r="E19" s="1238"/>
      <c r="F19" s="1240"/>
      <c r="G19" s="1263"/>
      <c r="H19" s="457"/>
      <c r="I19" s="450"/>
      <c r="J19" s="460"/>
      <c r="K19" s="460"/>
      <c r="L19" s="461"/>
      <c r="M19" s="462"/>
      <c r="N19" s="463"/>
      <c r="O19" s="1269"/>
      <c r="P19" s="445"/>
      <c r="Q19" s="445"/>
      <c r="R19" s="446"/>
    </row>
    <row r="20" spans="1:23" ht="13.5" thickBot="1">
      <c r="A20" s="28"/>
      <c r="B20" s="29"/>
      <c r="C20" s="1233"/>
      <c r="D20" s="1236"/>
      <c r="E20" s="1230"/>
      <c r="F20" s="1241"/>
      <c r="G20" s="1264"/>
      <c r="H20" s="342" t="s">
        <v>10</v>
      </c>
      <c r="I20" s="318">
        <f t="shared" si="1"/>
        <v>871.8</v>
      </c>
      <c r="J20" s="319">
        <f>SUM(J17:J19)</f>
        <v>871.8</v>
      </c>
      <c r="K20" s="319">
        <f>SUM(K17:K19)</f>
        <v>532.6</v>
      </c>
      <c r="L20" s="325">
        <f>SUM(L17:L19)</f>
        <v>0</v>
      </c>
      <c r="M20" s="323">
        <f>SUM(M17:M19)</f>
        <v>1080</v>
      </c>
      <c r="N20" s="328">
        <f>SUM(N17:N19)</f>
        <v>1080</v>
      </c>
      <c r="O20" s="1269"/>
      <c r="P20" s="445"/>
      <c r="Q20" s="445"/>
      <c r="R20" s="446"/>
    </row>
    <row r="21" spans="1:23" ht="42.75" customHeight="1">
      <c r="A21" s="25" t="s">
        <v>9</v>
      </c>
      <c r="B21" s="455" t="s">
        <v>9</v>
      </c>
      <c r="C21" s="456" t="s">
        <v>29</v>
      </c>
      <c r="D21" s="1276" t="s">
        <v>117</v>
      </c>
      <c r="E21" s="1278"/>
      <c r="F21" s="1280" t="s">
        <v>24</v>
      </c>
      <c r="G21" s="1282" t="s">
        <v>43</v>
      </c>
      <c r="H21" s="341" t="s">
        <v>39</v>
      </c>
      <c r="I21" s="305">
        <f>J21</f>
        <v>557.79999999999995</v>
      </c>
      <c r="J21" s="306">
        <v>557.79999999999995</v>
      </c>
      <c r="K21" s="306">
        <v>232.3</v>
      </c>
      <c r="L21" s="321"/>
      <c r="M21" s="62">
        <v>532</v>
      </c>
      <c r="N21" s="62">
        <v>532</v>
      </c>
      <c r="O21" s="452" t="s">
        <v>118</v>
      </c>
      <c r="P21" s="453">
        <v>260</v>
      </c>
      <c r="Q21" s="453">
        <v>300</v>
      </c>
      <c r="R21" s="454">
        <v>340</v>
      </c>
    </row>
    <row r="22" spans="1:23" ht="27" customHeight="1" thickBot="1">
      <c r="A22" s="17"/>
      <c r="B22" s="18"/>
      <c r="C22" s="99"/>
      <c r="D22" s="1277"/>
      <c r="E22" s="1279"/>
      <c r="F22" s="1281"/>
      <c r="G22" s="1283"/>
      <c r="H22" s="342" t="s">
        <v>10</v>
      </c>
      <c r="I22" s="323">
        <f t="shared" ref="I22:N22" si="2">SUM(I21:I21)</f>
        <v>557.79999999999995</v>
      </c>
      <c r="J22" s="319">
        <f t="shared" si="2"/>
        <v>557.79999999999995</v>
      </c>
      <c r="K22" s="324">
        <f t="shared" si="2"/>
        <v>232.3</v>
      </c>
      <c r="L22" s="325">
        <f t="shared" si="2"/>
        <v>0</v>
      </c>
      <c r="M22" s="323">
        <f t="shared" si="2"/>
        <v>532</v>
      </c>
      <c r="N22" s="328">
        <f t="shared" si="2"/>
        <v>532</v>
      </c>
      <c r="O22" s="418" t="s">
        <v>91</v>
      </c>
      <c r="P22" s="447">
        <v>85</v>
      </c>
      <c r="Q22" s="447">
        <v>92</v>
      </c>
      <c r="R22" s="448">
        <v>102</v>
      </c>
    </row>
    <row r="23" spans="1:23" ht="13.5" thickBot="1">
      <c r="A23" s="9" t="s">
        <v>9</v>
      </c>
      <c r="B23" s="5" t="s">
        <v>9</v>
      </c>
      <c r="C23" s="1297" t="s">
        <v>12</v>
      </c>
      <c r="D23" s="1298"/>
      <c r="E23" s="1298"/>
      <c r="F23" s="1298"/>
      <c r="G23" s="1298"/>
      <c r="H23" s="1299"/>
      <c r="I23" s="40">
        <f t="shared" ref="I23:N23" si="3">I22+I20+I16</f>
        <v>1912.1</v>
      </c>
      <c r="J23" s="40">
        <f t="shared" si="3"/>
        <v>1912.1</v>
      </c>
      <c r="K23" s="40">
        <f t="shared" si="3"/>
        <v>764.90000000000009</v>
      </c>
      <c r="L23" s="40">
        <f t="shared" si="3"/>
        <v>0</v>
      </c>
      <c r="M23" s="40">
        <f t="shared" si="3"/>
        <v>1966.8</v>
      </c>
      <c r="N23" s="40">
        <f t="shared" si="3"/>
        <v>1966.8</v>
      </c>
      <c r="O23" s="1300"/>
      <c r="P23" s="1301"/>
      <c r="Q23" s="1301"/>
      <c r="R23" s="1302"/>
    </row>
    <row r="24" spans="1:23" ht="13.5" thickBot="1">
      <c r="A24" s="4" t="s">
        <v>9</v>
      </c>
      <c r="B24" s="38" t="s">
        <v>11</v>
      </c>
      <c r="C24" s="1288" t="s">
        <v>52</v>
      </c>
      <c r="D24" s="1289"/>
      <c r="E24" s="1289"/>
      <c r="F24" s="1289"/>
      <c r="G24" s="1289"/>
      <c r="H24" s="1289"/>
      <c r="I24" s="1289"/>
      <c r="J24" s="1289"/>
      <c r="K24" s="1289"/>
      <c r="L24" s="1289"/>
      <c r="M24" s="1289"/>
      <c r="N24" s="1289"/>
      <c r="O24" s="1289"/>
      <c r="P24" s="1289"/>
      <c r="Q24" s="1289"/>
      <c r="R24" s="1290"/>
    </row>
    <row r="25" spans="1:23" ht="15" customHeight="1">
      <c r="A25" s="13" t="s">
        <v>9</v>
      </c>
      <c r="B25" s="14" t="s">
        <v>11</v>
      </c>
      <c r="C25" s="104" t="s">
        <v>9</v>
      </c>
      <c r="D25" s="1291" t="s">
        <v>37</v>
      </c>
      <c r="E25" s="1294"/>
      <c r="F25" s="1239" t="s">
        <v>24</v>
      </c>
      <c r="G25" s="1262" t="s">
        <v>43</v>
      </c>
      <c r="H25" s="343" t="s">
        <v>39</v>
      </c>
      <c r="I25" s="465">
        <f>J25+L25</f>
        <v>2910.2999999999997</v>
      </c>
      <c r="J25" s="466">
        <v>2857.1</v>
      </c>
      <c r="K25" s="466">
        <v>1776.1</v>
      </c>
      <c r="L25" s="467">
        <v>53.2</v>
      </c>
      <c r="M25" s="151">
        <v>2922.7</v>
      </c>
      <c r="N25" s="464">
        <v>2922.7</v>
      </c>
      <c r="O25" s="366" t="s">
        <v>58</v>
      </c>
      <c r="P25" s="367">
        <v>55</v>
      </c>
      <c r="Q25" s="368" t="s">
        <v>59</v>
      </c>
      <c r="R25" s="369">
        <v>55</v>
      </c>
      <c r="T25" s="426"/>
      <c r="U25" s="427"/>
      <c r="V25" s="428"/>
      <c r="W25" s="427"/>
    </row>
    <row r="26" spans="1:23" ht="15" customHeight="1">
      <c r="A26" s="15"/>
      <c r="B26" s="16"/>
      <c r="C26" s="98"/>
      <c r="D26" s="1292"/>
      <c r="E26" s="1295"/>
      <c r="F26" s="1240"/>
      <c r="G26" s="1263"/>
      <c r="H26" s="344"/>
      <c r="I26" s="308"/>
      <c r="J26" s="309"/>
      <c r="K26" s="309"/>
      <c r="L26" s="317"/>
      <c r="M26" s="293"/>
      <c r="N26" s="294"/>
      <c r="O26" s="370" t="s">
        <v>97</v>
      </c>
      <c r="P26" s="371" t="s">
        <v>96</v>
      </c>
      <c r="Q26" s="372" t="s">
        <v>96</v>
      </c>
      <c r="R26" s="373" t="s">
        <v>96</v>
      </c>
      <c r="T26" s="429"/>
      <c r="U26" s="430"/>
      <c r="V26" s="430"/>
      <c r="W26" s="430"/>
    </row>
    <row r="27" spans="1:23" ht="54.75" customHeight="1">
      <c r="A27" s="15"/>
      <c r="B27" s="16"/>
      <c r="C27" s="98"/>
      <c r="D27" s="1292"/>
      <c r="E27" s="1295"/>
      <c r="F27" s="1240"/>
      <c r="G27" s="1263"/>
      <c r="H27" s="344"/>
      <c r="I27" s="308"/>
      <c r="J27" s="309"/>
      <c r="K27" s="309"/>
      <c r="L27" s="317"/>
      <c r="M27" s="293"/>
      <c r="N27" s="294"/>
      <c r="O27" s="374" t="s">
        <v>60</v>
      </c>
      <c r="P27" s="375" t="s">
        <v>61</v>
      </c>
      <c r="Q27" s="375" t="s">
        <v>61</v>
      </c>
      <c r="R27" s="376" t="s">
        <v>62</v>
      </c>
      <c r="T27" s="426"/>
      <c r="U27" s="428"/>
      <c r="V27" s="428"/>
      <c r="W27" s="428"/>
    </row>
    <row r="28" spans="1:23" ht="16.5" customHeight="1" thickBot="1">
      <c r="A28" s="17"/>
      <c r="B28" s="18"/>
      <c r="C28" s="99"/>
      <c r="D28" s="1293"/>
      <c r="E28" s="1296"/>
      <c r="F28" s="1241"/>
      <c r="G28" s="1264"/>
      <c r="H28" s="345" t="s">
        <v>10</v>
      </c>
      <c r="I28" s="314">
        <f>J28+L28</f>
        <v>2910.2999999999997</v>
      </c>
      <c r="J28" s="329">
        <f>SUM(J25:J27)</f>
        <v>2857.1</v>
      </c>
      <c r="K28" s="329">
        <f>SUM(K25:K27)</f>
        <v>1776.1</v>
      </c>
      <c r="L28" s="330">
        <f>SUM(L25:L27)</f>
        <v>53.2</v>
      </c>
      <c r="M28" s="331">
        <f>SUM(M25:M27)</f>
        <v>2922.7</v>
      </c>
      <c r="N28" s="327">
        <f>SUM(N25:N27)</f>
        <v>2922.7</v>
      </c>
      <c r="O28" s="470" t="s">
        <v>121</v>
      </c>
      <c r="P28" s="377" t="s">
        <v>63</v>
      </c>
      <c r="Q28" s="377" t="s">
        <v>63</v>
      </c>
      <c r="R28" s="378" t="s">
        <v>63</v>
      </c>
    </row>
    <row r="29" spans="1:23" ht="13.5" thickBot="1">
      <c r="A29" s="4" t="s">
        <v>9</v>
      </c>
      <c r="B29" s="5" t="s">
        <v>11</v>
      </c>
      <c r="C29" s="1270" t="s">
        <v>12</v>
      </c>
      <c r="D29" s="1271"/>
      <c r="E29" s="1271"/>
      <c r="F29" s="1271"/>
      <c r="G29" s="1271"/>
      <c r="H29" s="1272"/>
      <c r="I29" s="304">
        <f>I28</f>
        <v>2910.2999999999997</v>
      </c>
      <c r="J29" s="433">
        <f t="shared" ref="J29:N29" si="4">J28</f>
        <v>2857.1</v>
      </c>
      <c r="K29" s="432">
        <f t="shared" si="4"/>
        <v>1776.1</v>
      </c>
      <c r="L29" s="431">
        <f t="shared" si="4"/>
        <v>53.2</v>
      </c>
      <c r="M29" s="304">
        <f t="shared" si="4"/>
        <v>2922.7</v>
      </c>
      <c r="N29" s="304">
        <f t="shared" si="4"/>
        <v>2922.7</v>
      </c>
      <c r="O29" s="1273"/>
      <c r="P29" s="1274"/>
      <c r="Q29" s="1274"/>
      <c r="R29" s="1275"/>
      <c r="S29" s="114"/>
    </row>
    <row r="30" spans="1:23" ht="13.5" thickBot="1">
      <c r="A30" s="25" t="s">
        <v>9</v>
      </c>
      <c r="B30" s="26" t="s">
        <v>29</v>
      </c>
      <c r="C30" s="1284" t="s">
        <v>34</v>
      </c>
      <c r="D30" s="1285"/>
      <c r="E30" s="1285"/>
      <c r="F30" s="1285"/>
      <c r="G30" s="1285"/>
      <c r="H30" s="1286"/>
      <c r="I30" s="1286"/>
      <c r="J30" s="1286"/>
      <c r="K30" s="1286"/>
      <c r="L30" s="1286"/>
      <c r="M30" s="1286"/>
      <c r="N30" s="1286"/>
      <c r="O30" s="1286"/>
      <c r="P30" s="1286"/>
      <c r="Q30" s="1286"/>
      <c r="R30" s="1287"/>
      <c r="S30" s="114"/>
    </row>
    <row r="31" spans="1:23" ht="39" customHeight="1">
      <c r="A31" s="1307" t="s">
        <v>9</v>
      </c>
      <c r="B31" s="1309" t="s">
        <v>29</v>
      </c>
      <c r="C31" s="1256" t="s">
        <v>9</v>
      </c>
      <c r="D31" s="1311" t="s">
        <v>104</v>
      </c>
      <c r="E31" s="1313" t="s">
        <v>32</v>
      </c>
      <c r="F31" s="1315" t="s">
        <v>24</v>
      </c>
      <c r="G31" s="1303" t="s">
        <v>44</v>
      </c>
      <c r="H31" s="120" t="s">
        <v>108</v>
      </c>
      <c r="I31" s="387">
        <f>J31+L31</f>
        <v>96.4</v>
      </c>
      <c r="J31" s="388"/>
      <c r="K31" s="388"/>
      <c r="L31" s="389">
        <v>96.4</v>
      </c>
      <c r="M31" s="390"/>
      <c r="N31" s="391"/>
      <c r="O31" s="1305" t="s">
        <v>114</v>
      </c>
      <c r="P31" s="379">
        <v>100</v>
      </c>
      <c r="Q31" s="421"/>
      <c r="R31" s="422"/>
      <c r="T31" s="434"/>
      <c r="U31" s="435"/>
      <c r="V31" s="436"/>
      <c r="W31" s="436"/>
    </row>
    <row r="32" spans="1:23" ht="13.5" thickBot="1">
      <c r="A32" s="1308"/>
      <c r="B32" s="1310"/>
      <c r="C32" s="1258"/>
      <c r="D32" s="1312"/>
      <c r="E32" s="1314"/>
      <c r="F32" s="1316"/>
      <c r="G32" s="1304"/>
      <c r="H32" s="392" t="s">
        <v>10</v>
      </c>
      <c r="I32" s="318">
        <f>J32+L32</f>
        <v>96.4</v>
      </c>
      <c r="J32" s="319"/>
      <c r="K32" s="319"/>
      <c r="L32" s="320">
        <f>L31</f>
        <v>96.4</v>
      </c>
      <c r="M32" s="323"/>
      <c r="N32" s="328"/>
      <c r="O32" s="1306"/>
      <c r="P32" s="380"/>
      <c r="Q32" s="365"/>
      <c r="R32" s="381"/>
      <c r="T32" s="437"/>
      <c r="U32" s="435"/>
      <c r="V32" s="436"/>
      <c r="W32" s="436"/>
    </row>
    <row r="33" spans="1:23" ht="17.25" customHeight="1">
      <c r="A33" s="1307" t="s">
        <v>9</v>
      </c>
      <c r="B33" s="1309" t="s">
        <v>29</v>
      </c>
      <c r="C33" s="1256" t="s">
        <v>11</v>
      </c>
      <c r="D33" s="1311" t="s">
        <v>86</v>
      </c>
      <c r="E33" s="1313" t="s">
        <v>32</v>
      </c>
      <c r="F33" s="1315" t="s">
        <v>24</v>
      </c>
      <c r="G33" s="1317" t="s">
        <v>44</v>
      </c>
      <c r="H33" s="67" t="s">
        <v>108</v>
      </c>
      <c r="I33" s="387">
        <f>J33+L33</f>
        <v>200</v>
      </c>
      <c r="J33" s="393"/>
      <c r="K33" s="393"/>
      <c r="L33" s="389">
        <v>200</v>
      </c>
      <c r="M33" s="390"/>
      <c r="N33" s="394"/>
      <c r="O33" s="382" t="s">
        <v>110</v>
      </c>
      <c r="P33" s="379">
        <v>1</v>
      </c>
      <c r="Q33" s="421"/>
      <c r="R33" s="422"/>
      <c r="T33" s="434"/>
      <c r="U33" s="435"/>
      <c r="V33" s="436"/>
      <c r="W33" s="436"/>
    </row>
    <row r="34" spans="1:23" ht="13.5" thickBot="1">
      <c r="A34" s="1308"/>
      <c r="B34" s="1310"/>
      <c r="C34" s="1258"/>
      <c r="D34" s="1312"/>
      <c r="E34" s="1314"/>
      <c r="F34" s="1316"/>
      <c r="G34" s="1318"/>
      <c r="H34" s="392" t="s">
        <v>10</v>
      </c>
      <c r="I34" s="318">
        <f>J34+L34</f>
        <v>200</v>
      </c>
      <c r="J34" s="319">
        <f>SUM(J33)</f>
        <v>0</v>
      </c>
      <c r="K34" s="319"/>
      <c r="L34" s="320">
        <f>L33</f>
        <v>200</v>
      </c>
      <c r="M34" s="323">
        <f>+M33</f>
        <v>0</v>
      </c>
      <c r="N34" s="323"/>
      <c r="O34" s="424"/>
      <c r="P34" s="380"/>
      <c r="Q34" s="365"/>
      <c r="R34" s="381"/>
      <c r="T34" s="437"/>
      <c r="U34" s="435"/>
      <c r="V34" s="436"/>
      <c r="W34" s="436"/>
    </row>
    <row r="35" spans="1:23" ht="28.5" customHeight="1">
      <c r="A35" s="1307" t="s">
        <v>9</v>
      </c>
      <c r="B35" s="1309" t="s">
        <v>29</v>
      </c>
      <c r="C35" s="1326" t="s">
        <v>29</v>
      </c>
      <c r="D35" s="1329" t="s">
        <v>46</v>
      </c>
      <c r="E35" s="1332" t="s">
        <v>32</v>
      </c>
      <c r="F35" s="1315" t="s">
        <v>24</v>
      </c>
      <c r="G35" s="1317" t="s">
        <v>44</v>
      </c>
      <c r="H35" s="68" t="s">
        <v>31</v>
      </c>
      <c r="I35" s="351">
        <f t="shared" ref="I35:I37" si="5">J35+L35</f>
        <v>285</v>
      </c>
      <c r="J35" s="352"/>
      <c r="K35" s="352"/>
      <c r="L35" s="353">
        <v>285</v>
      </c>
      <c r="M35" s="37"/>
      <c r="N35" s="36"/>
      <c r="O35" s="1319" t="s">
        <v>120</v>
      </c>
      <c r="P35" s="121">
        <v>100</v>
      </c>
      <c r="Q35" s="295"/>
      <c r="R35" s="296"/>
      <c r="T35" s="1364"/>
      <c r="U35" s="438"/>
      <c r="V35" s="439"/>
      <c r="W35" s="114"/>
    </row>
    <row r="36" spans="1:23">
      <c r="A36" s="1322"/>
      <c r="B36" s="1324"/>
      <c r="C36" s="1327"/>
      <c r="D36" s="1330"/>
      <c r="E36" s="1333"/>
      <c r="F36" s="1335"/>
      <c r="G36" s="1337"/>
      <c r="H36" s="69" t="s">
        <v>39</v>
      </c>
      <c r="I36" s="354">
        <f t="shared" si="5"/>
        <v>1000</v>
      </c>
      <c r="J36" s="355"/>
      <c r="K36" s="355"/>
      <c r="L36" s="356">
        <v>1000</v>
      </c>
      <c r="M36" s="41"/>
      <c r="N36" s="42"/>
      <c r="O36" s="1320"/>
      <c r="P36" s="122"/>
      <c r="Q36" s="66"/>
      <c r="R36" s="297"/>
      <c r="T36" s="1364"/>
      <c r="U36" s="438"/>
      <c r="V36" s="438"/>
      <c r="W36" s="114"/>
    </row>
    <row r="37" spans="1:23" ht="13.5" thickBot="1">
      <c r="A37" s="1323"/>
      <c r="B37" s="1325"/>
      <c r="C37" s="1328"/>
      <c r="D37" s="1331"/>
      <c r="E37" s="1334"/>
      <c r="F37" s="1336"/>
      <c r="G37" s="1338"/>
      <c r="H37" s="395" t="s">
        <v>10</v>
      </c>
      <c r="I37" s="332">
        <f t="shared" si="5"/>
        <v>1285</v>
      </c>
      <c r="J37" s="333"/>
      <c r="K37" s="333"/>
      <c r="L37" s="334">
        <f>SUM(L35:L36)</f>
        <v>1285</v>
      </c>
      <c r="M37" s="335"/>
      <c r="N37" s="336"/>
      <c r="O37" s="1321"/>
      <c r="P37" s="78"/>
      <c r="Q37" s="79"/>
      <c r="R37" s="115"/>
      <c r="T37" s="440"/>
      <c r="U37" s="440"/>
      <c r="V37" s="440"/>
      <c r="W37" s="114"/>
    </row>
    <row r="38" spans="1:23" ht="16.5" customHeight="1">
      <c r="A38" s="1307" t="s">
        <v>9</v>
      </c>
      <c r="B38" s="1309" t="s">
        <v>29</v>
      </c>
      <c r="C38" s="1256" t="s">
        <v>69</v>
      </c>
      <c r="D38" s="1311" t="s">
        <v>119</v>
      </c>
      <c r="E38" s="1313" t="s">
        <v>32</v>
      </c>
      <c r="F38" s="1315" t="s">
        <v>24</v>
      </c>
      <c r="G38" s="1303" t="s">
        <v>43</v>
      </c>
      <c r="H38" s="120" t="s">
        <v>31</v>
      </c>
      <c r="I38" s="387">
        <f>J38+L38</f>
        <v>8</v>
      </c>
      <c r="J38" s="393"/>
      <c r="K38" s="393"/>
      <c r="L38" s="389">
        <v>8</v>
      </c>
      <c r="M38" s="390">
        <v>393.1</v>
      </c>
      <c r="N38" s="394"/>
      <c r="O38" s="382" t="s">
        <v>100</v>
      </c>
      <c r="P38" s="379">
        <v>1</v>
      </c>
      <c r="Q38" s="421"/>
      <c r="R38" s="422"/>
      <c r="T38" s="441"/>
      <c r="U38" s="438"/>
      <c r="V38" s="439"/>
      <c r="W38" s="114"/>
    </row>
    <row r="39" spans="1:23" ht="26.25" customHeight="1" thickBot="1">
      <c r="A39" s="1308"/>
      <c r="B39" s="1310"/>
      <c r="C39" s="1258"/>
      <c r="D39" s="1312"/>
      <c r="E39" s="1314"/>
      <c r="F39" s="1316"/>
      <c r="G39" s="1304"/>
      <c r="H39" s="392" t="s">
        <v>10</v>
      </c>
      <c r="I39" s="318">
        <f>J39+L39</f>
        <v>8</v>
      </c>
      <c r="J39" s="319"/>
      <c r="K39" s="319"/>
      <c r="L39" s="320">
        <f>L38</f>
        <v>8</v>
      </c>
      <c r="M39" s="323">
        <f>+M38</f>
        <v>393.1</v>
      </c>
      <c r="N39" s="323"/>
      <c r="O39" s="383" t="s">
        <v>113</v>
      </c>
      <c r="P39" s="384"/>
      <c r="Q39" s="385">
        <v>1</v>
      </c>
      <c r="R39" s="386"/>
      <c r="T39" s="440"/>
      <c r="U39" s="440"/>
      <c r="V39" s="440"/>
      <c r="W39" s="114"/>
    </row>
    <row r="40" spans="1:23" ht="28.5" customHeight="1">
      <c r="A40" s="1307" t="s">
        <v>9</v>
      </c>
      <c r="B40" s="1309" t="s">
        <v>29</v>
      </c>
      <c r="C40" s="1256" t="s">
        <v>101</v>
      </c>
      <c r="D40" s="1311" t="s">
        <v>102</v>
      </c>
      <c r="E40" s="1313" t="s">
        <v>32</v>
      </c>
      <c r="F40" s="1315" t="s">
        <v>24</v>
      </c>
      <c r="G40" s="1317" t="s">
        <v>43</v>
      </c>
      <c r="H40" s="67" t="s">
        <v>103</v>
      </c>
      <c r="I40" s="387">
        <f t="shared" ref="I40" si="6">J40+L40</f>
        <v>1076.9000000000001</v>
      </c>
      <c r="J40" s="393"/>
      <c r="K40" s="393"/>
      <c r="L40" s="389">
        <v>1076.9000000000001</v>
      </c>
      <c r="M40" s="390">
        <v>1076.9000000000001</v>
      </c>
      <c r="N40" s="394"/>
      <c r="O40" s="382" t="s">
        <v>112</v>
      </c>
      <c r="P40" s="379"/>
      <c r="Q40" s="421">
        <v>100</v>
      </c>
      <c r="R40" s="422"/>
    </row>
    <row r="41" spans="1:23" ht="13.5" thickBot="1">
      <c r="A41" s="1308"/>
      <c r="B41" s="1310"/>
      <c r="C41" s="1258"/>
      <c r="D41" s="1312"/>
      <c r="E41" s="1314"/>
      <c r="F41" s="1316"/>
      <c r="G41" s="1318"/>
      <c r="H41" s="392" t="s">
        <v>10</v>
      </c>
      <c r="I41" s="318">
        <f>J41+L41</f>
        <v>1076.9000000000001</v>
      </c>
      <c r="J41" s="319">
        <f>SUM(J40)</f>
        <v>0</v>
      </c>
      <c r="K41" s="319"/>
      <c r="L41" s="320">
        <f>L40</f>
        <v>1076.9000000000001</v>
      </c>
      <c r="M41" s="323">
        <f>+M40</f>
        <v>1076.9000000000001</v>
      </c>
      <c r="N41" s="323"/>
      <c r="O41" s="424"/>
      <c r="P41" s="380"/>
      <c r="Q41" s="365"/>
      <c r="R41" s="381"/>
    </row>
    <row r="42" spans="1:23" ht="13.5" customHeight="1" thickBot="1">
      <c r="A42" s="105" t="s">
        <v>9</v>
      </c>
      <c r="B42" s="5" t="s">
        <v>29</v>
      </c>
      <c r="C42" s="1270" t="s">
        <v>12</v>
      </c>
      <c r="D42" s="1271"/>
      <c r="E42" s="1271"/>
      <c r="F42" s="1271"/>
      <c r="G42" s="1271"/>
      <c r="H42" s="1272"/>
      <c r="I42" s="398">
        <f>I37+I34+I32+I41</f>
        <v>2658.3</v>
      </c>
      <c r="J42" s="397">
        <f>J37+J34+J32+J41</f>
        <v>0</v>
      </c>
      <c r="K42" s="396">
        <f>K37+K34+K32+K41</f>
        <v>0</v>
      </c>
      <c r="L42" s="399">
        <f>L37+L34+L32+L41+L39</f>
        <v>2666.3</v>
      </c>
      <c r="M42" s="397">
        <f>M37+M34+M32+M41+M39</f>
        <v>1470</v>
      </c>
      <c r="N42" s="400">
        <f>N37+N34+N32+N41</f>
        <v>0</v>
      </c>
      <c r="O42" s="1349"/>
      <c r="P42" s="1350"/>
      <c r="Q42" s="1350"/>
      <c r="R42" s="1351"/>
    </row>
    <row r="43" spans="1:23" ht="13.5" thickBot="1">
      <c r="A43" s="423" t="s">
        <v>9</v>
      </c>
      <c r="B43" s="1352" t="s">
        <v>13</v>
      </c>
      <c r="C43" s="1353"/>
      <c r="D43" s="1353"/>
      <c r="E43" s="1353"/>
      <c r="F43" s="1353"/>
      <c r="G43" s="1353"/>
      <c r="H43" s="1354"/>
      <c r="I43" s="401">
        <f>J43+L43</f>
        <v>7488.7</v>
      </c>
      <c r="J43" s="402">
        <f>SUM(J42,J29,J23)</f>
        <v>4769.2</v>
      </c>
      <c r="K43" s="403">
        <f>SUM(K42,K29,K23)</f>
        <v>2541</v>
      </c>
      <c r="L43" s="404">
        <f>SUM(L42,L29,L23)</f>
        <v>2719.5</v>
      </c>
      <c r="M43" s="405">
        <f>M42+M29+M23</f>
        <v>6359.5</v>
      </c>
      <c r="N43" s="403">
        <f>N42+N29+N23</f>
        <v>4889.5</v>
      </c>
      <c r="O43" s="1355"/>
      <c r="P43" s="1356"/>
      <c r="Q43" s="1356"/>
      <c r="R43" s="1357"/>
    </row>
    <row r="44" spans="1:23" ht="13.5" thickBot="1">
      <c r="A44" s="11" t="s">
        <v>30</v>
      </c>
      <c r="B44" s="1339" t="s">
        <v>14</v>
      </c>
      <c r="C44" s="1340"/>
      <c r="D44" s="1340"/>
      <c r="E44" s="1340"/>
      <c r="F44" s="1340"/>
      <c r="G44" s="1340"/>
      <c r="H44" s="1341"/>
      <c r="I44" s="406">
        <f>J44+L44</f>
        <v>7488.7</v>
      </c>
      <c r="J44" s="407">
        <f>J43</f>
        <v>4769.2</v>
      </c>
      <c r="K44" s="408">
        <f>K43</f>
        <v>2541</v>
      </c>
      <c r="L44" s="409">
        <f>L43</f>
        <v>2719.5</v>
      </c>
      <c r="M44" s="410">
        <f>M43</f>
        <v>6359.5</v>
      </c>
      <c r="N44" s="408">
        <f>N43</f>
        <v>4889.5</v>
      </c>
      <c r="O44" s="1342"/>
      <c r="P44" s="1343"/>
      <c r="Q44" s="1343"/>
      <c r="R44" s="1344"/>
    </row>
    <row r="45" spans="1:23" ht="29.25" customHeight="1" thickBot="1">
      <c r="A45" s="12"/>
      <c r="B45" s="1345" t="s">
        <v>18</v>
      </c>
      <c r="C45" s="1345"/>
      <c r="D45" s="1345"/>
      <c r="E45" s="1345"/>
      <c r="F45" s="1345"/>
      <c r="G45" s="1345"/>
      <c r="H45" s="1345"/>
      <c r="I45" s="1346"/>
      <c r="J45" s="1346"/>
      <c r="K45" s="1346"/>
      <c r="L45" s="1346"/>
      <c r="M45" s="1346"/>
      <c r="N45" s="1346"/>
      <c r="O45" s="81"/>
      <c r="P45" s="81"/>
      <c r="Q45" s="81"/>
    </row>
    <row r="46" spans="1:23" ht="25.5" customHeight="1">
      <c r="A46" s="1358" t="s">
        <v>15</v>
      </c>
      <c r="B46" s="1359"/>
      <c r="C46" s="1359"/>
      <c r="D46" s="1359"/>
      <c r="E46" s="1359"/>
      <c r="F46" s="1359"/>
      <c r="G46" s="1359"/>
      <c r="H46" s="1360"/>
      <c r="I46" s="1222" t="s">
        <v>98</v>
      </c>
      <c r="J46" s="1223"/>
      <c r="K46" s="1223"/>
      <c r="L46" s="1347"/>
      <c r="M46" s="139" t="s">
        <v>128</v>
      </c>
      <c r="N46" s="474" t="s">
        <v>129</v>
      </c>
      <c r="O46" s="417"/>
      <c r="P46" s="1348"/>
      <c r="Q46" s="1348"/>
    </row>
    <row r="47" spans="1:23" ht="13.5" customHeight="1">
      <c r="A47" s="1170" t="s">
        <v>19</v>
      </c>
      <c r="B47" s="1171"/>
      <c r="C47" s="1171"/>
      <c r="D47" s="1171"/>
      <c r="E47" s="1171"/>
      <c r="F47" s="1171"/>
      <c r="G47" s="1171"/>
      <c r="H47" s="1172"/>
      <c r="I47" s="1370">
        <f>SUM(I48:L52)</f>
        <v>6118.7999999999993</v>
      </c>
      <c r="J47" s="1370"/>
      <c r="K47" s="1370"/>
      <c r="L47" s="1371"/>
      <c r="M47" s="413">
        <f>SUM(M48:M51)</f>
        <v>4889.5</v>
      </c>
      <c r="N47" s="347">
        <f>SUM(N48:N51)</f>
        <v>4889.5</v>
      </c>
      <c r="O47" s="415"/>
      <c r="P47" s="1363"/>
      <c r="Q47" s="1363"/>
    </row>
    <row r="48" spans="1:23" ht="13.5" customHeight="1">
      <c r="A48" s="1173" t="s">
        <v>40</v>
      </c>
      <c r="B48" s="1174"/>
      <c r="C48" s="1174"/>
      <c r="D48" s="1174"/>
      <c r="E48" s="1174"/>
      <c r="F48" s="1174"/>
      <c r="G48" s="1174"/>
      <c r="H48" s="1175"/>
      <c r="I48" s="1365">
        <f>SUMIF(H12:H37,"SB",I12:I37)</f>
        <v>36.799999999999997</v>
      </c>
      <c r="J48" s="1365"/>
      <c r="K48" s="1365"/>
      <c r="L48" s="1366"/>
      <c r="M48" s="412">
        <f>SUMIF(H12:H41,"SB",M12:M41)</f>
        <v>36.799999999999997</v>
      </c>
      <c r="N48" s="348">
        <f>SUMIF(H12:H37,H12,N12:N37)</f>
        <v>36.799999999999997</v>
      </c>
      <c r="O48" s="411"/>
      <c r="P48" s="1372"/>
      <c r="Q48" s="1372"/>
    </row>
    <row r="49" spans="1:17" ht="13.5" customHeight="1">
      <c r="A49" s="1173" t="s">
        <v>41</v>
      </c>
      <c r="B49" s="1174"/>
      <c r="C49" s="1174"/>
      <c r="D49" s="1174"/>
      <c r="E49" s="1174"/>
      <c r="F49" s="1174"/>
      <c r="G49" s="1174"/>
      <c r="H49" s="1175"/>
      <c r="I49" s="1365">
        <f>SUMIF(H12:H42,"SB(AA)",I12:I42)</f>
        <v>318</v>
      </c>
      <c r="J49" s="1365"/>
      <c r="K49" s="1365"/>
      <c r="L49" s="1366"/>
      <c r="M49" s="412">
        <f>SUMIF(H12:H41,H13,M12:M41)</f>
        <v>318</v>
      </c>
      <c r="N49" s="348">
        <f>SUMIF(H12:H37,H13,N12:N37)</f>
        <v>318</v>
      </c>
      <c r="O49" s="411"/>
      <c r="P49" s="1372"/>
      <c r="Q49" s="1372"/>
    </row>
    <row r="50" spans="1:17" ht="13.5" customHeight="1">
      <c r="A50" s="1173" t="s">
        <v>51</v>
      </c>
      <c r="B50" s="1174"/>
      <c r="C50" s="1174"/>
      <c r="D50" s="1174"/>
      <c r="E50" s="1174"/>
      <c r="F50" s="1174"/>
      <c r="G50" s="1174"/>
      <c r="H50" s="1175"/>
      <c r="I50" s="1373">
        <f>SUMIF(H12:H37,"SB(AAL)",I12:I37)</f>
        <v>127.7</v>
      </c>
      <c r="J50" s="1373"/>
      <c r="K50" s="1373"/>
      <c r="L50" s="1374"/>
      <c r="M50" s="412">
        <f>SUMIF(H12:H40,H14,M12:M40)</f>
        <v>0</v>
      </c>
      <c r="N50" s="348">
        <f>SUMIF(H12:H37,H14,N12:N37)</f>
        <v>0</v>
      </c>
      <c r="O50" s="411"/>
      <c r="P50" s="1372"/>
      <c r="Q50" s="1372"/>
    </row>
    <row r="51" spans="1:17" ht="15.75" customHeight="1">
      <c r="A51" s="1173" t="s">
        <v>123</v>
      </c>
      <c r="B51" s="1174"/>
      <c r="C51" s="1174"/>
      <c r="D51" s="1174"/>
      <c r="E51" s="1174"/>
      <c r="F51" s="1174"/>
      <c r="G51" s="1174"/>
      <c r="H51" s="1175"/>
      <c r="I51" s="1365">
        <f>SUMIF(H12:H37,"SB(VB)",I12:I37)</f>
        <v>5339.9</v>
      </c>
      <c r="J51" s="1365"/>
      <c r="K51" s="1365"/>
      <c r="L51" s="1366"/>
      <c r="M51" s="412">
        <f>SUMIF(H12:H40,H25,M12:M40)</f>
        <v>4534.7</v>
      </c>
      <c r="N51" s="348">
        <f>SUMIF(H12:H37,H25,N12:N37)</f>
        <v>4534.7</v>
      </c>
      <c r="O51" s="416"/>
      <c r="P51" s="1372"/>
      <c r="Q51" s="1372"/>
    </row>
    <row r="52" spans="1:17" ht="13.5" customHeight="1">
      <c r="A52" s="1167" t="s">
        <v>109</v>
      </c>
      <c r="B52" s="1168"/>
      <c r="C52" s="1168"/>
      <c r="D52" s="1168"/>
      <c r="E52" s="1168"/>
      <c r="F52" s="1168"/>
      <c r="G52" s="1168"/>
      <c r="H52" s="1169"/>
      <c r="I52" s="1368">
        <f>SUMIF(H12:H40,"pf",I12:I40)</f>
        <v>296.39999999999998</v>
      </c>
      <c r="J52" s="1368"/>
      <c r="K52" s="1368"/>
      <c r="L52" s="1369"/>
      <c r="M52" s="414"/>
      <c r="N52" s="349"/>
      <c r="O52" s="416"/>
      <c r="P52" s="411"/>
      <c r="Q52" s="411"/>
    </row>
    <row r="53" spans="1:17" ht="13.5" customHeight="1">
      <c r="A53" s="1170" t="s">
        <v>20</v>
      </c>
      <c r="B53" s="1171"/>
      <c r="C53" s="1171"/>
      <c r="D53" s="1171"/>
      <c r="E53" s="1171"/>
      <c r="F53" s="1171"/>
      <c r="G53" s="1171"/>
      <c r="H53" s="1172"/>
      <c r="I53" s="1370">
        <f>SUM(I54:I55)</f>
        <v>1369.9</v>
      </c>
      <c r="J53" s="1370"/>
      <c r="K53" s="1370"/>
      <c r="L53" s="1371"/>
      <c r="M53" s="413">
        <f>SUM(M54:M55)</f>
        <v>1470</v>
      </c>
      <c r="N53" s="347">
        <f>SUM(N54:N55)</f>
        <v>0</v>
      </c>
      <c r="O53" s="415"/>
      <c r="P53" s="1363"/>
      <c r="Q53" s="1363"/>
    </row>
    <row r="54" spans="1:17" ht="13.5" customHeight="1">
      <c r="A54" s="1173" t="s">
        <v>105</v>
      </c>
      <c r="B54" s="1174"/>
      <c r="C54" s="1174"/>
      <c r="D54" s="1174"/>
      <c r="E54" s="1174"/>
      <c r="F54" s="1174"/>
      <c r="G54" s="1174"/>
      <c r="H54" s="1175"/>
      <c r="I54" s="1365">
        <f>SUMIF(H12:H40,"es",I12:I40)</f>
        <v>1076.9000000000001</v>
      </c>
      <c r="J54" s="1365"/>
      <c r="K54" s="1365"/>
      <c r="L54" s="1366"/>
      <c r="M54" s="412">
        <f>SUMIF(H12:H40,"es",M12:M40)</f>
        <v>1076.9000000000001</v>
      </c>
      <c r="N54" s="348">
        <f>SUMIF(H12:H40,"es",N12:N40)</f>
        <v>0</v>
      </c>
      <c r="O54" s="416"/>
      <c r="P54" s="416"/>
      <c r="Q54" s="416"/>
    </row>
    <row r="55" spans="1:17" ht="13.5" customHeight="1">
      <c r="A55" s="1173" t="s">
        <v>92</v>
      </c>
      <c r="B55" s="1174"/>
      <c r="C55" s="1174"/>
      <c r="D55" s="1174"/>
      <c r="E55" s="1174"/>
      <c r="F55" s="1174"/>
      <c r="G55" s="1174"/>
      <c r="H55" s="1175"/>
      <c r="I55" s="1365">
        <f>SUMIF(H12:H42,"KT",I12:I42)</f>
        <v>293</v>
      </c>
      <c r="J55" s="1365"/>
      <c r="K55" s="1365"/>
      <c r="L55" s="1366"/>
      <c r="M55" s="412">
        <f>SUMIF(H12:H40,H35,M12:M40)</f>
        <v>393.1</v>
      </c>
      <c r="N55" s="348">
        <f>SUMIF(H12:H37,H35,N12:N37)</f>
        <v>0</v>
      </c>
      <c r="O55" s="416"/>
      <c r="P55" s="1367"/>
      <c r="Q55" s="1367"/>
    </row>
    <row r="56" spans="1:17" ht="13.5" customHeight="1" thickBot="1">
      <c r="A56" s="1176" t="s">
        <v>21</v>
      </c>
      <c r="B56" s="1177"/>
      <c r="C56" s="1177"/>
      <c r="D56" s="1177"/>
      <c r="E56" s="1177"/>
      <c r="F56" s="1177"/>
      <c r="G56" s="1177"/>
      <c r="H56" s="1178"/>
      <c r="I56" s="1361">
        <f>SUM(I47,I53)</f>
        <v>7488.6999999999989</v>
      </c>
      <c r="J56" s="1361"/>
      <c r="K56" s="1361"/>
      <c r="L56" s="1362"/>
      <c r="M56" s="468">
        <f>M47+M53</f>
        <v>6359.5</v>
      </c>
      <c r="N56" s="469">
        <f>N53+N47</f>
        <v>4889.5</v>
      </c>
      <c r="O56" s="415"/>
      <c r="P56" s="1363"/>
      <c r="Q56" s="1363"/>
    </row>
    <row r="57" spans="1:17">
      <c r="A57" s="44"/>
      <c r="B57" s="43"/>
      <c r="C57" s="43"/>
      <c r="D57" s="43"/>
      <c r="E57" s="43"/>
      <c r="F57" s="43"/>
      <c r="J57" s="350"/>
      <c r="M57" s="337"/>
    </row>
  </sheetData>
  <mergeCells count="132">
    <mergeCell ref="A50:H50"/>
    <mergeCell ref="A49:H49"/>
    <mergeCell ref="A48:H48"/>
    <mergeCell ref="A47:H47"/>
    <mergeCell ref="A51:H51"/>
    <mergeCell ref="I56:L56"/>
    <mergeCell ref="P56:Q56"/>
    <mergeCell ref="T35:T36"/>
    <mergeCell ref="I55:L55"/>
    <mergeCell ref="P55:Q55"/>
    <mergeCell ref="I54:L54"/>
    <mergeCell ref="P53:Q53"/>
    <mergeCell ref="I52:L52"/>
    <mergeCell ref="I53:L53"/>
    <mergeCell ref="I51:L51"/>
    <mergeCell ref="P51:Q51"/>
    <mergeCell ref="I49:L49"/>
    <mergeCell ref="P49:Q49"/>
    <mergeCell ref="I50:L50"/>
    <mergeCell ref="P50:Q50"/>
    <mergeCell ref="I47:L47"/>
    <mergeCell ref="P47:Q47"/>
    <mergeCell ref="I48:L48"/>
    <mergeCell ref="P48:Q48"/>
    <mergeCell ref="B44:H44"/>
    <mergeCell ref="O44:R44"/>
    <mergeCell ref="B45:N45"/>
    <mergeCell ref="I46:L46"/>
    <mergeCell ref="P46:Q46"/>
    <mergeCell ref="G40:G41"/>
    <mergeCell ref="C42:H42"/>
    <mergeCell ref="O42:R42"/>
    <mergeCell ref="B43:H43"/>
    <mergeCell ref="O43:R43"/>
    <mergeCell ref="A46:H46"/>
    <mergeCell ref="A40:A41"/>
    <mergeCell ref="B40:B41"/>
    <mergeCell ref="C40:C41"/>
    <mergeCell ref="D40:D41"/>
    <mergeCell ref="E40:E41"/>
    <mergeCell ref="F40:F41"/>
    <mergeCell ref="O35:O37"/>
    <mergeCell ref="A38:A39"/>
    <mergeCell ref="B38:B39"/>
    <mergeCell ref="C38:C39"/>
    <mergeCell ref="D38:D39"/>
    <mergeCell ref="E38:E39"/>
    <mergeCell ref="F38:F39"/>
    <mergeCell ref="G38:G39"/>
    <mergeCell ref="A35:A37"/>
    <mergeCell ref="B35:B37"/>
    <mergeCell ref="C35:C37"/>
    <mergeCell ref="D35:D37"/>
    <mergeCell ref="E35:E37"/>
    <mergeCell ref="F35:F37"/>
    <mergeCell ref="G35:G37"/>
    <mergeCell ref="G31:G32"/>
    <mergeCell ref="O31:O32"/>
    <mergeCell ref="A33:A34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C29:H29"/>
    <mergeCell ref="O29:R29"/>
    <mergeCell ref="D21:D22"/>
    <mergeCell ref="E21:E22"/>
    <mergeCell ref="F21:F22"/>
    <mergeCell ref="G21:G22"/>
    <mergeCell ref="C30:R30"/>
    <mergeCell ref="C24:R24"/>
    <mergeCell ref="D25:D28"/>
    <mergeCell ref="E25:E28"/>
    <mergeCell ref="F25:F28"/>
    <mergeCell ref="G25:G28"/>
    <mergeCell ref="C23:H23"/>
    <mergeCell ref="O23:R23"/>
    <mergeCell ref="A12:A16"/>
    <mergeCell ref="B12:B16"/>
    <mergeCell ref="C12:C16"/>
    <mergeCell ref="D12:D16"/>
    <mergeCell ref="F12:F16"/>
    <mergeCell ref="G12:G16"/>
    <mergeCell ref="O12:O16"/>
    <mergeCell ref="G17:G20"/>
    <mergeCell ref="O17:O20"/>
    <mergeCell ref="I6:I7"/>
    <mergeCell ref="G5:G7"/>
    <mergeCell ref="H5:H7"/>
    <mergeCell ref="I5:L5"/>
    <mergeCell ref="J6:K6"/>
    <mergeCell ref="L6:L7"/>
    <mergeCell ref="E13:E14"/>
    <mergeCell ref="E15:E16"/>
    <mergeCell ref="C17:C20"/>
    <mergeCell ref="D17:D20"/>
    <mergeCell ref="E17:E20"/>
    <mergeCell ref="F17:F20"/>
    <mergeCell ref="B10:R10"/>
    <mergeCell ref="C11:R11"/>
    <mergeCell ref="A52:H52"/>
    <mergeCell ref="A53:H53"/>
    <mergeCell ref="A54:H54"/>
    <mergeCell ref="A55:H55"/>
    <mergeCell ref="A56:H56"/>
    <mergeCell ref="A1:R1"/>
    <mergeCell ref="A3:R3"/>
    <mergeCell ref="A4:R4"/>
    <mergeCell ref="A5:A7"/>
    <mergeCell ref="B5:B7"/>
    <mergeCell ref="C5:C7"/>
    <mergeCell ref="D5:D7"/>
    <mergeCell ref="E5:E7"/>
    <mergeCell ref="F5:F7"/>
    <mergeCell ref="O6:O7"/>
    <mergeCell ref="P6:P7"/>
    <mergeCell ref="Q6:Q7"/>
    <mergeCell ref="R6:R7"/>
    <mergeCell ref="A2:R2"/>
    <mergeCell ref="A8:R8"/>
    <mergeCell ref="A9:R9"/>
    <mergeCell ref="M5:M7"/>
    <mergeCell ref="N5:N7"/>
    <mergeCell ref="O5:R5"/>
  </mergeCells>
  <printOptions horizontalCentered="1"/>
  <pageMargins left="0" right="0" top="0.39370078740157483" bottom="0.39370078740157483" header="0.31496062992125984" footer="0.31496062992125984"/>
  <pageSetup paperSize="9" orientation="landscape" r:id="rId1"/>
  <rowBreaks count="2" manualBreakCount="2">
    <brk id="23" max="17" man="1"/>
    <brk id="4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tabSelected="1" zoomScaleNormal="100" zoomScaleSheetLayoutView="70" workbookViewId="0">
      <selection activeCell="W29" sqref="W29"/>
    </sheetView>
  </sheetViews>
  <sheetFormatPr defaultRowHeight="12"/>
  <cols>
    <col min="1" max="3" width="2.7109375" style="600" customWidth="1"/>
    <col min="4" max="4" width="37.7109375" style="600" customWidth="1"/>
    <col min="5" max="5" width="3" style="600" customWidth="1"/>
    <col min="6" max="6" width="3" style="607" customWidth="1"/>
    <col min="7" max="7" width="7.28515625" style="608" customWidth="1"/>
    <col min="8" max="8" width="6.5703125" style="609" hidden="1" customWidth="1"/>
    <col min="9" max="10" width="6.140625" style="609" hidden="1" customWidth="1"/>
    <col min="11" max="11" width="6.42578125" style="609" hidden="1" customWidth="1"/>
    <col min="12" max="12" width="8.85546875" style="861" customWidth="1"/>
    <col min="13" max="13" width="6.85546875" style="861" hidden="1" customWidth="1"/>
    <col min="14" max="14" width="7.28515625" style="861" hidden="1" customWidth="1"/>
    <col min="15" max="16" width="6.42578125" style="861" hidden="1" customWidth="1"/>
    <col min="17" max="17" width="6.7109375" style="862" hidden="1" customWidth="1"/>
    <col min="18" max="20" width="6.5703125" style="862" hidden="1" customWidth="1"/>
    <col min="21" max="21" width="9" style="861" customWidth="1"/>
    <col min="22" max="22" width="9.140625" style="861" customWidth="1"/>
    <col min="23" max="23" width="26.28515625" style="600" customWidth="1"/>
    <col min="24" max="25" width="5.5703125" style="783" customWidth="1"/>
    <col min="26" max="26" width="5.5703125" style="513" customWidth="1"/>
    <col min="27" max="16384" width="9.140625" style="513"/>
  </cols>
  <sheetData>
    <row r="1" spans="1:30" ht="12.75">
      <c r="A1" s="1526" t="s">
        <v>131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  <c r="L1" s="1526"/>
      <c r="M1" s="1526"/>
      <c r="N1" s="1526"/>
      <c r="O1" s="1526"/>
      <c r="P1" s="1526"/>
      <c r="Q1" s="1526"/>
      <c r="R1" s="1526"/>
      <c r="S1" s="1526"/>
      <c r="T1" s="1526"/>
      <c r="U1" s="1526"/>
      <c r="V1" s="1526"/>
      <c r="W1" s="1526"/>
      <c r="X1" s="1526"/>
      <c r="Y1" s="1526"/>
      <c r="Z1" s="1526"/>
    </row>
    <row r="2" spans="1:30" ht="12.75">
      <c r="A2" s="1198" t="s">
        <v>72</v>
      </c>
      <c r="B2" s="1198"/>
      <c r="C2" s="1198"/>
      <c r="D2" s="1198"/>
      <c r="E2" s="1198"/>
      <c r="F2" s="1198"/>
      <c r="G2" s="1198"/>
      <c r="H2" s="1198"/>
      <c r="I2" s="1198"/>
      <c r="J2" s="1198"/>
      <c r="K2" s="1198"/>
      <c r="L2" s="1198"/>
      <c r="M2" s="1198"/>
      <c r="N2" s="1198"/>
      <c r="O2" s="1198"/>
      <c r="P2" s="1198"/>
      <c r="Q2" s="1198"/>
      <c r="R2" s="1198"/>
      <c r="S2" s="1198"/>
      <c r="T2" s="1198"/>
      <c r="U2" s="1198"/>
      <c r="V2" s="1198"/>
      <c r="W2" s="1198"/>
      <c r="X2" s="1198"/>
      <c r="Y2" s="1198"/>
      <c r="Z2" s="1198"/>
    </row>
    <row r="3" spans="1:30" ht="12.75">
      <c r="A3" s="1180" t="s">
        <v>124</v>
      </c>
      <c r="B3" s="1180"/>
      <c r="C3" s="1180"/>
      <c r="D3" s="1180"/>
      <c r="E3" s="1180"/>
      <c r="F3" s="1180"/>
      <c r="G3" s="1180"/>
      <c r="H3" s="1180"/>
      <c r="I3" s="1180"/>
      <c r="J3" s="1180"/>
      <c r="K3" s="1180"/>
      <c r="L3" s="1180"/>
      <c r="M3" s="1180"/>
      <c r="N3" s="1180"/>
      <c r="O3" s="1180"/>
      <c r="P3" s="1180"/>
      <c r="Q3" s="1180"/>
      <c r="R3" s="1180"/>
      <c r="S3" s="1180"/>
      <c r="T3" s="1180"/>
      <c r="U3" s="1180"/>
      <c r="V3" s="1180"/>
      <c r="W3" s="1180"/>
      <c r="X3" s="1180"/>
      <c r="Y3" s="1180"/>
      <c r="Z3" s="1180"/>
    </row>
    <row r="4" spans="1:30" ht="13.5" thickBot="1">
      <c r="A4" s="1181" t="s">
        <v>198</v>
      </c>
      <c r="B4" s="1181"/>
      <c r="C4" s="1181"/>
      <c r="D4" s="1181"/>
      <c r="E4" s="1181"/>
      <c r="F4" s="1181"/>
      <c r="G4" s="1181"/>
      <c r="H4" s="1181"/>
      <c r="I4" s="1181"/>
      <c r="J4" s="1181"/>
      <c r="K4" s="1181"/>
      <c r="L4" s="1181"/>
      <c r="M4" s="1181"/>
      <c r="N4" s="1181"/>
      <c r="O4" s="1181"/>
      <c r="P4" s="1181"/>
      <c r="Q4" s="1181"/>
      <c r="R4" s="1181"/>
      <c r="S4" s="1181"/>
      <c r="T4" s="1181"/>
      <c r="U4" s="1181"/>
      <c r="V4" s="1181"/>
      <c r="W4" s="1181"/>
      <c r="X4" s="1181"/>
      <c r="Y4" s="1181"/>
      <c r="Z4" s="1181"/>
    </row>
    <row r="5" spans="1:30" ht="12" customHeight="1">
      <c r="A5" s="1182" t="s">
        <v>1</v>
      </c>
      <c r="B5" s="1185" t="s">
        <v>2</v>
      </c>
      <c r="C5" s="1185" t="s">
        <v>3</v>
      </c>
      <c r="D5" s="1188" t="s">
        <v>16</v>
      </c>
      <c r="E5" s="1191" t="s">
        <v>4</v>
      </c>
      <c r="F5" s="1216" t="s">
        <v>5</v>
      </c>
      <c r="G5" s="1219" t="s">
        <v>6</v>
      </c>
      <c r="H5" s="1517" t="s">
        <v>132</v>
      </c>
      <c r="I5" s="1518"/>
      <c r="J5" s="1518"/>
      <c r="K5" s="1519"/>
      <c r="L5" s="1497" t="s">
        <v>193</v>
      </c>
      <c r="M5" s="1495" t="s">
        <v>193</v>
      </c>
      <c r="N5" s="1496"/>
      <c r="O5" s="1496"/>
      <c r="P5" s="1497"/>
      <c r="Q5" s="1520" t="s">
        <v>134</v>
      </c>
      <c r="R5" s="1521"/>
      <c r="S5" s="1521"/>
      <c r="T5" s="1522"/>
      <c r="U5" s="1504" t="s">
        <v>94</v>
      </c>
      <c r="V5" s="1495" t="s">
        <v>135</v>
      </c>
      <c r="W5" s="1211" t="s">
        <v>125</v>
      </c>
      <c r="X5" s="1212"/>
      <c r="Y5" s="1212"/>
      <c r="Z5" s="1213"/>
    </row>
    <row r="6" spans="1:30" ht="12" customHeight="1">
      <c r="A6" s="1183"/>
      <c r="B6" s="1186"/>
      <c r="C6" s="1186"/>
      <c r="D6" s="1189"/>
      <c r="E6" s="1192"/>
      <c r="F6" s="1217"/>
      <c r="G6" s="1220"/>
      <c r="H6" s="1507" t="s">
        <v>7</v>
      </c>
      <c r="I6" s="1509" t="s">
        <v>8</v>
      </c>
      <c r="J6" s="1509"/>
      <c r="K6" s="1510" t="s">
        <v>22</v>
      </c>
      <c r="L6" s="1500"/>
      <c r="M6" s="1498"/>
      <c r="N6" s="1499"/>
      <c r="O6" s="1499"/>
      <c r="P6" s="1500"/>
      <c r="Q6" s="1512" t="s">
        <v>7</v>
      </c>
      <c r="R6" s="1523" t="s">
        <v>8</v>
      </c>
      <c r="S6" s="1523"/>
      <c r="T6" s="1524" t="s">
        <v>22</v>
      </c>
      <c r="U6" s="1505"/>
      <c r="V6" s="1498"/>
      <c r="W6" s="1194" t="s">
        <v>16</v>
      </c>
      <c r="X6" s="1514" t="s">
        <v>209</v>
      </c>
      <c r="Y6" s="1515"/>
      <c r="Z6" s="1516"/>
    </row>
    <row r="7" spans="1:30" ht="86.25" customHeight="1" thickBot="1">
      <c r="A7" s="1184"/>
      <c r="B7" s="1187"/>
      <c r="C7" s="1187"/>
      <c r="D7" s="1190"/>
      <c r="E7" s="1193"/>
      <c r="F7" s="1218"/>
      <c r="G7" s="1221"/>
      <c r="H7" s="1508"/>
      <c r="I7" s="874" t="s">
        <v>7</v>
      </c>
      <c r="J7" s="160" t="s">
        <v>17</v>
      </c>
      <c r="K7" s="1511"/>
      <c r="L7" s="1503"/>
      <c r="M7" s="1501"/>
      <c r="N7" s="1502"/>
      <c r="O7" s="1502"/>
      <c r="P7" s="1503"/>
      <c r="Q7" s="1513"/>
      <c r="R7" s="875" t="s">
        <v>7</v>
      </c>
      <c r="S7" s="876" t="s">
        <v>17</v>
      </c>
      <c r="T7" s="1525"/>
      <c r="U7" s="1506"/>
      <c r="V7" s="1501"/>
      <c r="W7" s="1195"/>
      <c r="X7" s="877" t="s">
        <v>65</v>
      </c>
      <c r="Y7" s="877" t="s">
        <v>95</v>
      </c>
      <c r="Z7" s="878" t="s">
        <v>136</v>
      </c>
    </row>
    <row r="8" spans="1:30" ht="13.5" thickBot="1">
      <c r="A8" s="1199" t="s">
        <v>33</v>
      </c>
      <c r="B8" s="1200"/>
      <c r="C8" s="1200"/>
      <c r="D8" s="1200"/>
      <c r="E8" s="1200"/>
      <c r="F8" s="1200"/>
      <c r="G8" s="1200"/>
      <c r="H8" s="1200"/>
      <c r="I8" s="1200"/>
      <c r="J8" s="1200"/>
      <c r="K8" s="1200"/>
      <c r="L8" s="1200"/>
      <c r="M8" s="1200"/>
      <c r="N8" s="1200"/>
      <c r="O8" s="1200"/>
      <c r="P8" s="1200"/>
      <c r="Q8" s="1200"/>
      <c r="R8" s="1200"/>
      <c r="S8" s="1200"/>
      <c r="T8" s="1200"/>
      <c r="U8" s="1200"/>
      <c r="V8" s="1200"/>
      <c r="W8" s="1200"/>
      <c r="X8" s="1200"/>
      <c r="Y8" s="1200"/>
      <c r="Z8" s="1201"/>
    </row>
    <row r="9" spans="1:30" ht="13.5" thickBot="1">
      <c r="A9" s="1202" t="s">
        <v>55</v>
      </c>
      <c r="B9" s="1203"/>
      <c r="C9" s="1203"/>
      <c r="D9" s="1203"/>
      <c r="E9" s="1203"/>
      <c r="F9" s="1203"/>
      <c r="G9" s="1203"/>
      <c r="H9" s="1203"/>
      <c r="I9" s="1203"/>
      <c r="J9" s="1203"/>
      <c r="K9" s="1203"/>
      <c r="L9" s="1203"/>
      <c r="M9" s="1203"/>
      <c r="N9" s="1203"/>
      <c r="O9" s="1203"/>
      <c r="P9" s="1203"/>
      <c r="Q9" s="1203"/>
      <c r="R9" s="1203"/>
      <c r="S9" s="1203"/>
      <c r="T9" s="1203"/>
      <c r="U9" s="1203"/>
      <c r="V9" s="1203"/>
      <c r="W9" s="1203"/>
      <c r="X9" s="1203"/>
      <c r="Y9" s="1203"/>
      <c r="Z9" s="1204"/>
    </row>
    <row r="10" spans="1:30" ht="17.25" customHeight="1" thickBot="1">
      <c r="A10" s="39" t="s">
        <v>9</v>
      </c>
      <c r="B10" s="1242" t="s">
        <v>47</v>
      </c>
      <c r="C10" s="1243"/>
      <c r="D10" s="1243"/>
      <c r="E10" s="1243"/>
      <c r="F10" s="1243"/>
      <c r="G10" s="1243"/>
      <c r="H10" s="1243"/>
      <c r="I10" s="1243"/>
      <c r="J10" s="1243"/>
      <c r="K10" s="1243"/>
      <c r="L10" s="1243"/>
      <c r="M10" s="1243"/>
      <c r="N10" s="1243"/>
      <c r="O10" s="1243"/>
      <c r="P10" s="1243"/>
      <c r="Q10" s="1243"/>
      <c r="R10" s="1243"/>
      <c r="S10" s="1243"/>
      <c r="T10" s="1243"/>
      <c r="U10" s="1243"/>
      <c r="V10" s="1243"/>
      <c r="W10" s="1243"/>
      <c r="X10" s="1243"/>
      <c r="Y10" s="1243"/>
      <c r="Z10" s="1244"/>
    </row>
    <row r="11" spans="1:30" ht="13.5" customHeight="1" thickBot="1">
      <c r="A11" s="4" t="s">
        <v>9</v>
      </c>
      <c r="B11" s="29" t="s">
        <v>9</v>
      </c>
      <c r="C11" s="1245" t="s">
        <v>35</v>
      </c>
      <c r="D11" s="1246"/>
      <c r="E11" s="1246"/>
      <c r="F11" s="1246"/>
      <c r="G11" s="1246"/>
      <c r="H11" s="1246"/>
      <c r="I11" s="1246"/>
      <c r="J11" s="1246"/>
      <c r="K11" s="1246"/>
      <c r="L11" s="1246"/>
      <c r="M11" s="1246"/>
      <c r="N11" s="1246"/>
      <c r="O11" s="1246"/>
      <c r="P11" s="1246"/>
      <c r="Q11" s="1246"/>
      <c r="R11" s="1246"/>
      <c r="S11" s="1246"/>
      <c r="T11" s="1246"/>
      <c r="U11" s="1246"/>
      <c r="V11" s="1246"/>
      <c r="W11" s="1246"/>
      <c r="X11" s="1246"/>
      <c r="Y11" s="1246"/>
      <c r="Z11" s="1247"/>
    </row>
    <row r="12" spans="1:30" ht="19.5" customHeight="1">
      <c r="A12" s="1248" t="s">
        <v>9</v>
      </c>
      <c r="B12" s="1252" t="s">
        <v>9</v>
      </c>
      <c r="C12" s="1256" t="s">
        <v>9</v>
      </c>
      <c r="D12" s="1527" t="s">
        <v>23</v>
      </c>
      <c r="E12" s="1278" t="s">
        <v>199</v>
      </c>
      <c r="F12" s="1468" t="s">
        <v>43</v>
      </c>
      <c r="G12" s="338" t="s">
        <v>25</v>
      </c>
      <c r="H12" s="879">
        <f t="shared" ref="H12:H14" si="0">I12+K12</f>
        <v>36.799999999999997</v>
      </c>
      <c r="I12" s="880">
        <v>36.799999999999997</v>
      </c>
      <c r="J12" s="880"/>
      <c r="K12" s="881"/>
      <c r="L12" s="882">
        <f>36.8/3.4528*1000</f>
        <v>10658.016682113066</v>
      </c>
      <c r="M12" s="882">
        <f>N12+P12</f>
        <v>36.799999999999997</v>
      </c>
      <c r="N12" s="883">
        <v>36.799999999999997</v>
      </c>
      <c r="O12" s="884"/>
      <c r="P12" s="885"/>
      <c r="Q12" s="886">
        <f t="shared" ref="Q12:Q14" si="1">R12+T12</f>
        <v>0</v>
      </c>
      <c r="R12" s="887">
        <v>0</v>
      </c>
      <c r="S12" s="887"/>
      <c r="T12" s="888"/>
      <c r="U12" s="889">
        <f>36.8/3.4528*1000</f>
        <v>10658.016682113066</v>
      </c>
      <c r="V12" s="889">
        <f>36.8/3.4528*1000</f>
        <v>10658.016682113066</v>
      </c>
      <c r="W12" s="1265" t="s">
        <v>122</v>
      </c>
      <c r="X12" s="357">
        <v>100</v>
      </c>
      <c r="Y12" s="357">
        <v>100</v>
      </c>
      <c r="Z12" s="358">
        <v>100</v>
      </c>
      <c r="AD12" s="569"/>
    </row>
    <row r="13" spans="1:30" ht="19.5" customHeight="1">
      <c r="A13" s="1249"/>
      <c r="B13" s="1253"/>
      <c r="C13" s="1232"/>
      <c r="D13" s="1528"/>
      <c r="E13" s="1487"/>
      <c r="F13" s="1473"/>
      <c r="G13" s="1161" t="s">
        <v>26</v>
      </c>
      <c r="H13" s="908">
        <f t="shared" si="0"/>
        <v>318</v>
      </c>
      <c r="I13" s="909">
        <v>318</v>
      </c>
      <c r="J13" s="909"/>
      <c r="K13" s="910"/>
      <c r="L13" s="911">
        <f>332/3.4528*1000</f>
        <v>96153.846153846156</v>
      </c>
      <c r="M13" s="911">
        <f>N13+P13</f>
        <v>332</v>
      </c>
      <c r="N13" s="912">
        <v>332</v>
      </c>
      <c r="O13" s="913"/>
      <c r="P13" s="914"/>
      <c r="Q13" s="1162">
        <f>R13+T13</f>
        <v>0</v>
      </c>
      <c r="R13" s="1163">
        <v>0</v>
      </c>
      <c r="S13" s="1163"/>
      <c r="T13" s="1164"/>
      <c r="U13" s="1165">
        <f>332/3.4528*1000</f>
        <v>96153.846153846156</v>
      </c>
      <c r="V13" s="1165">
        <f>332/3.4528*1000</f>
        <v>96153.846153846156</v>
      </c>
      <c r="W13" s="1266"/>
      <c r="X13" s="359"/>
      <c r="Y13" s="359"/>
      <c r="Z13" s="360"/>
    </row>
    <row r="14" spans="1:30" ht="19.5" customHeight="1">
      <c r="A14" s="1250"/>
      <c r="B14" s="1254"/>
      <c r="C14" s="1257"/>
      <c r="D14" s="1528"/>
      <c r="E14" s="1487"/>
      <c r="F14" s="1473"/>
      <c r="G14" s="1160"/>
      <c r="H14" s="890">
        <f t="shared" si="0"/>
        <v>127.7</v>
      </c>
      <c r="I14" s="891">
        <v>127.7</v>
      </c>
      <c r="J14" s="891"/>
      <c r="K14" s="892"/>
      <c r="L14" s="893"/>
      <c r="M14" s="893"/>
      <c r="N14" s="894"/>
      <c r="O14" s="895"/>
      <c r="P14" s="896"/>
      <c r="Q14" s="961">
        <f t="shared" si="1"/>
        <v>0</v>
      </c>
      <c r="R14" s="962">
        <v>0</v>
      </c>
      <c r="S14" s="962"/>
      <c r="T14" s="1166"/>
      <c r="U14" s="1109"/>
      <c r="V14" s="942"/>
      <c r="W14" s="1266"/>
      <c r="X14" s="359"/>
      <c r="Y14" s="359"/>
      <c r="Z14" s="360"/>
    </row>
    <row r="15" spans="1:30" ht="19.5" customHeight="1">
      <c r="A15" s="1250"/>
      <c r="B15" s="1254"/>
      <c r="C15" s="1257"/>
      <c r="D15" s="1528"/>
      <c r="E15" s="1487"/>
      <c r="F15" s="1473"/>
      <c r="G15" s="1160"/>
      <c r="H15" s="890"/>
      <c r="I15" s="891"/>
      <c r="J15" s="891"/>
      <c r="K15" s="892"/>
      <c r="L15" s="893"/>
      <c r="M15" s="893"/>
      <c r="N15" s="894"/>
      <c r="O15" s="895"/>
      <c r="P15" s="896"/>
      <c r="Q15" s="961"/>
      <c r="R15" s="962"/>
      <c r="S15" s="962"/>
      <c r="T15" s="1166"/>
      <c r="U15" s="1109"/>
      <c r="V15" s="942"/>
      <c r="W15" s="1266"/>
      <c r="X15" s="361"/>
      <c r="Y15" s="361"/>
      <c r="Z15" s="362"/>
    </row>
    <row r="16" spans="1:30" ht="13.5" customHeight="1" thickBot="1">
      <c r="A16" s="1251"/>
      <c r="B16" s="1255"/>
      <c r="C16" s="1258"/>
      <c r="D16" s="1529"/>
      <c r="E16" s="1279"/>
      <c r="F16" s="1469"/>
      <c r="G16" s="915" t="s">
        <v>10</v>
      </c>
      <c r="H16" s="916">
        <f t="shared" ref="H16" si="2">I16+K16</f>
        <v>482.5</v>
      </c>
      <c r="I16" s="917">
        <f>SUM(I12:I15)</f>
        <v>482.5</v>
      </c>
      <c r="J16" s="917"/>
      <c r="K16" s="918"/>
      <c r="L16" s="919">
        <f>SUM(L12:L15)</f>
        <v>106811.86283595923</v>
      </c>
      <c r="M16" s="919">
        <f>N16+P16</f>
        <v>368.8</v>
      </c>
      <c r="N16" s="920">
        <f>SUM(N12:N15)</f>
        <v>368.8</v>
      </c>
      <c r="O16" s="920"/>
      <c r="P16" s="921"/>
      <c r="Q16" s="922">
        <f t="shared" ref="Q16:Q19" si="3">R16+T16</f>
        <v>0</v>
      </c>
      <c r="R16" s="923">
        <f>SUM(R12:R15)</f>
        <v>0</v>
      </c>
      <c r="S16" s="923"/>
      <c r="T16" s="924"/>
      <c r="U16" s="925">
        <f>SUM(U12:U15)</f>
        <v>106811.86283595923</v>
      </c>
      <c r="V16" s="926">
        <f>SUM(V12:V15)</f>
        <v>106811.86283595923</v>
      </c>
      <c r="W16" s="1267"/>
      <c r="X16" s="363"/>
      <c r="Y16" s="363"/>
      <c r="Z16" s="364"/>
    </row>
    <row r="17" spans="1:32" ht="25.5" customHeight="1">
      <c r="A17" s="25" t="s">
        <v>9</v>
      </c>
      <c r="B17" s="26" t="s">
        <v>9</v>
      </c>
      <c r="C17" s="1231" t="s">
        <v>11</v>
      </c>
      <c r="D17" s="1234" t="s">
        <v>116</v>
      </c>
      <c r="E17" s="1278" t="s">
        <v>89</v>
      </c>
      <c r="F17" s="1468" t="s">
        <v>43</v>
      </c>
      <c r="G17" s="927" t="s">
        <v>39</v>
      </c>
      <c r="H17" s="928">
        <v>871.8</v>
      </c>
      <c r="I17" s="929">
        <v>871.8</v>
      </c>
      <c r="J17" s="929">
        <v>532.6</v>
      </c>
      <c r="K17" s="930"/>
      <c r="L17" s="931">
        <f>871.8/3.4528*1000</f>
        <v>252490.73215940685</v>
      </c>
      <c r="M17" s="931">
        <f>N17</f>
        <v>871.8</v>
      </c>
      <c r="N17" s="932">
        <v>871.8</v>
      </c>
      <c r="O17" s="933">
        <v>540.4</v>
      </c>
      <c r="P17" s="885"/>
      <c r="Q17" s="934">
        <f>R17+T17</f>
        <v>0</v>
      </c>
      <c r="R17" s="935">
        <v>0</v>
      </c>
      <c r="S17" s="935">
        <v>0</v>
      </c>
      <c r="T17" s="936"/>
      <c r="U17" s="937">
        <f>888.6/3.4528*1000</f>
        <v>257356.34847080632</v>
      </c>
      <c r="V17" s="937">
        <f>888.6/3.4528*1000</f>
        <v>257356.34847080632</v>
      </c>
      <c r="W17" s="1268" t="s">
        <v>56</v>
      </c>
      <c r="X17" s="938">
        <v>51</v>
      </c>
      <c r="Y17" s="938">
        <v>51</v>
      </c>
      <c r="Z17" s="939">
        <v>51</v>
      </c>
    </row>
    <row r="18" spans="1:32" ht="25.5" customHeight="1">
      <c r="A18" s="869"/>
      <c r="B18" s="870"/>
      <c r="C18" s="1232"/>
      <c r="D18" s="1235"/>
      <c r="E18" s="1487"/>
      <c r="F18" s="1473"/>
      <c r="G18" s="940" t="s">
        <v>25</v>
      </c>
      <c r="H18" s="898"/>
      <c r="I18" s="899"/>
      <c r="J18" s="899"/>
      <c r="K18" s="900"/>
      <c r="L18" s="901"/>
      <c r="M18" s="901"/>
      <c r="N18" s="902"/>
      <c r="O18" s="903"/>
      <c r="P18" s="904"/>
      <c r="Q18" s="905"/>
      <c r="R18" s="906"/>
      <c r="S18" s="906"/>
      <c r="T18" s="907"/>
      <c r="U18" s="941"/>
      <c r="V18" s="942"/>
      <c r="W18" s="1488"/>
      <c r="X18" s="938"/>
      <c r="Y18" s="938"/>
      <c r="Z18" s="939"/>
    </row>
    <row r="19" spans="1:32" ht="13.5" thickBot="1">
      <c r="A19" s="28"/>
      <c r="B19" s="29"/>
      <c r="C19" s="1233"/>
      <c r="D19" s="1236"/>
      <c r="E19" s="1279"/>
      <c r="F19" s="1469"/>
      <c r="G19" s="915" t="s">
        <v>10</v>
      </c>
      <c r="H19" s="916">
        <f t="shared" ref="H19" si="4">I19+K19</f>
        <v>871.8</v>
      </c>
      <c r="I19" s="943">
        <f>SUM(I17:I18)</f>
        <v>871.8</v>
      </c>
      <c r="J19" s="943">
        <f>SUM(J17:J18)</f>
        <v>532.6</v>
      </c>
      <c r="K19" s="944">
        <f>SUM(K17:K18)</f>
        <v>0</v>
      </c>
      <c r="L19" s="926">
        <f>SUM(L17:L18)</f>
        <v>252490.73215940685</v>
      </c>
      <c r="M19" s="926">
        <f>N19+P19</f>
        <v>871.8</v>
      </c>
      <c r="N19" s="923">
        <f>SUM(N17:N18)</f>
        <v>871.8</v>
      </c>
      <c r="O19" s="945">
        <f>SUM(O17:O18)</f>
        <v>540.4</v>
      </c>
      <c r="P19" s="924"/>
      <c r="Q19" s="922">
        <f t="shared" si="3"/>
        <v>0</v>
      </c>
      <c r="R19" s="945">
        <f>SUM(R17:R18)</f>
        <v>0</v>
      </c>
      <c r="S19" s="945">
        <f>SUM(S17:S18)</f>
        <v>0</v>
      </c>
      <c r="T19" s="946">
        <f>SUM(T17:T18)</f>
        <v>0</v>
      </c>
      <c r="U19" s="947">
        <f>SUM(U17:U18)</f>
        <v>257356.34847080632</v>
      </c>
      <c r="V19" s="926">
        <f>SUM(V17:V18)</f>
        <v>257356.34847080632</v>
      </c>
      <c r="W19" s="1488"/>
      <c r="X19" s="938"/>
      <c r="Y19" s="938"/>
      <c r="Z19" s="939"/>
    </row>
    <row r="20" spans="1:32" ht="12" customHeight="1">
      <c r="A20" s="1248" t="s">
        <v>9</v>
      </c>
      <c r="B20" s="1309" t="s">
        <v>9</v>
      </c>
      <c r="C20" s="1256" t="s">
        <v>29</v>
      </c>
      <c r="D20" s="1276" t="s">
        <v>117</v>
      </c>
      <c r="E20" s="1278"/>
      <c r="F20" s="1468" t="s">
        <v>43</v>
      </c>
      <c r="G20" s="341" t="s">
        <v>39</v>
      </c>
      <c r="H20" s="879">
        <f>I20</f>
        <v>557.79999999999995</v>
      </c>
      <c r="I20" s="880">
        <v>557.79999999999995</v>
      </c>
      <c r="J20" s="880">
        <v>232.3</v>
      </c>
      <c r="K20" s="948"/>
      <c r="L20" s="949">
        <f>566.3/3.4528*1000</f>
        <v>164011.81649675625</v>
      </c>
      <c r="M20" s="882">
        <f>N20</f>
        <v>566.29999999999995</v>
      </c>
      <c r="N20" s="950">
        <v>566.29999999999995</v>
      </c>
      <c r="O20" s="951">
        <v>330.4</v>
      </c>
      <c r="P20" s="952"/>
      <c r="Q20" s="886">
        <f>R20</f>
        <v>0</v>
      </c>
      <c r="R20" s="887">
        <v>0</v>
      </c>
      <c r="S20" s="887">
        <v>0</v>
      </c>
      <c r="T20" s="953"/>
      <c r="U20" s="954">
        <f>566.3/3.4528*1000</f>
        <v>164011.81649675625</v>
      </c>
      <c r="V20" s="954">
        <f>566.3/3.4528*1000</f>
        <v>164011.81649675625</v>
      </c>
      <c r="W20" s="1437" t="s">
        <v>57</v>
      </c>
      <c r="X20" s="1489">
        <v>300</v>
      </c>
      <c r="Y20" s="1489">
        <v>340</v>
      </c>
      <c r="Z20" s="1491">
        <v>380</v>
      </c>
    </row>
    <row r="21" spans="1:32" ht="30.75" customHeight="1">
      <c r="A21" s="1249"/>
      <c r="B21" s="1324"/>
      <c r="C21" s="1232"/>
      <c r="D21" s="1494"/>
      <c r="E21" s="1487"/>
      <c r="F21" s="1473"/>
      <c r="G21" s="955" t="s">
        <v>166</v>
      </c>
      <c r="H21" s="956">
        <v>5</v>
      </c>
      <c r="I21" s="957">
        <v>5</v>
      </c>
      <c r="J21" s="891"/>
      <c r="K21" s="958"/>
      <c r="L21" s="959"/>
      <c r="M21" s="893"/>
      <c r="N21" s="894"/>
      <c r="O21" s="895"/>
      <c r="P21" s="960"/>
      <c r="Q21" s="961"/>
      <c r="R21" s="962"/>
      <c r="S21" s="962"/>
      <c r="T21" s="963"/>
      <c r="U21" s="942"/>
      <c r="V21" s="942"/>
      <c r="W21" s="1488" t="s">
        <v>57</v>
      </c>
      <c r="X21" s="1490">
        <v>260</v>
      </c>
      <c r="Y21" s="1490">
        <v>300</v>
      </c>
      <c r="Z21" s="1492">
        <v>340</v>
      </c>
    </row>
    <row r="22" spans="1:32" ht="29.25" customHeight="1">
      <c r="A22" s="1249"/>
      <c r="B22" s="1324"/>
      <c r="C22" s="1232"/>
      <c r="D22" s="1494"/>
      <c r="E22" s="1487"/>
      <c r="F22" s="1473"/>
      <c r="G22" s="964" t="s">
        <v>25</v>
      </c>
      <c r="H22" s="898"/>
      <c r="I22" s="899"/>
      <c r="J22" s="899"/>
      <c r="K22" s="900"/>
      <c r="L22" s="911"/>
      <c r="M22" s="911"/>
      <c r="N22" s="965"/>
      <c r="O22" s="966"/>
      <c r="P22" s="967"/>
      <c r="Q22" s="905"/>
      <c r="R22" s="906"/>
      <c r="S22" s="906"/>
      <c r="T22" s="907"/>
      <c r="U22" s="968"/>
      <c r="V22" s="968"/>
      <c r="W22" s="1493" t="s">
        <v>91</v>
      </c>
      <c r="X22" s="969">
        <v>92</v>
      </c>
      <c r="Y22" s="969">
        <v>102</v>
      </c>
      <c r="Z22" s="970">
        <v>105</v>
      </c>
    </row>
    <row r="23" spans="1:32" ht="13.5" thickBot="1">
      <c r="A23" s="17"/>
      <c r="B23" s="18"/>
      <c r="C23" s="99"/>
      <c r="D23" s="1277"/>
      <c r="E23" s="1279"/>
      <c r="F23" s="1469"/>
      <c r="G23" s="342" t="s">
        <v>10</v>
      </c>
      <c r="H23" s="971">
        <f t="shared" ref="H23:K23" si="5">SUM(H20:H22)</f>
        <v>562.79999999999995</v>
      </c>
      <c r="I23" s="943">
        <f t="shared" si="5"/>
        <v>562.79999999999995</v>
      </c>
      <c r="J23" s="918">
        <f t="shared" si="5"/>
        <v>232.3</v>
      </c>
      <c r="K23" s="944">
        <f t="shared" si="5"/>
        <v>0</v>
      </c>
      <c r="L23" s="926">
        <f>SUM(L20:L22)</f>
        <v>164011.81649675625</v>
      </c>
      <c r="M23" s="926">
        <f>SUM(M20:M22)</f>
        <v>566.29999999999995</v>
      </c>
      <c r="N23" s="925">
        <f>SUM(N20:N22)</f>
        <v>566.29999999999995</v>
      </c>
      <c r="O23" s="945">
        <f>SUM(O20:O22)</f>
        <v>330.4</v>
      </c>
      <c r="P23" s="925"/>
      <c r="Q23" s="947">
        <f t="shared" ref="Q23:V23" si="6">SUM(Q20:Q22)</f>
        <v>0</v>
      </c>
      <c r="R23" s="945">
        <f t="shared" si="6"/>
        <v>0</v>
      </c>
      <c r="S23" s="925">
        <f t="shared" si="6"/>
        <v>0</v>
      </c>
      <c r="T23" s="972">
        <f t="shared" si="6"/>
        <v>0</v>
      </c>
      <c r="U23" s="947">
        <f t="shared" si="6"/>
        <v>164011.81649675625</v>
      </c>
      <c r="V23" s="926">
        <f t="shared" si="6"/>
        <v>164011.81649675625</v>
      </c>
      <c r="W23" s="1438"/>
      <c r="X23" s="938"/>
      <c r="Y23" s="938"/>
      <c r="Z23" s="939"/>
      <c r="AF23" s="569"/>
    </row>
    <row r="24" spans="1:32" ht="12" customHeight="1">
      <c r="A24" s="1248" t="s">
        <v>9</v>
      </c>
      <c r="B24" s="1309" t="s">
        <v>9</v>
      </c>
      <c r="C24" s="1256" t="s">
        <v>69</v>
      </c>
      <c r="D24" s="1484" t="s">
        <v>140</v>
      </c>
      <c r="E24" s="1278"/>
      <c r="F24" s="1468" t="s">
        <v>43</v>
      </c>
      <c r="G24" s="973" t="s">
        <v>103</v>
      </c>
      <c r="H24" s="974">
        <f>I24</f>
        <v>92.6</v>
      </c>
      <c r="I24" s="975">
        <v>92.6</v>
      </c>
      <c r="J24" s="975">
        <v>3</v>
      </c>
      <c r="K24" s="976"/>
      <c r="L24" s="977">
        <f>66.6/3.4528*1000</f>
        <v>19288.693234476366</v>
      </c>
      <c r="M24" s="931">
        <f>N24+P24</f>
        <v>66.599999999999994</v>
      </c>
      <c r="N24" s="932">
        <v>66.599999999999994</v>
      </c>
      <c r="O24" s="933">
        <v>2.2999999999999998</v>
      </c>
      <c r="P24" s="978"/>
      <c r="Q24" s="934"/>
      <c r="R24" s="935"/>
      <c r="S24" s="935"/>
      <c r="T24" s="979"/>
      <c r="U24" s="980"/>
      <c r="V24" s="980"/>
      <c r="W24" s="871" t="s">
        <v>141</v>
      </c>
      <c r="X24" s="981">
        <v>1</v>
      </c>
      <c r="Y24" s="379"/>
      <c r="Z24" s="982"/>
    </row>
    <row r="25" spans="1:32" ht="17.25" customHeight="1">
      <c r="A25" s="1249"/>
      <c r="B25" s="1324"/>
      <c r="C25" s="1232"/>
      <c r="D25" s="1485"/>
      <c r="E25" s="1487"/>
      <c r="F25" s="1473"/>
      <c r="G25" s="983"/>
      <c r="H25" s="984"/>
      <c r="I25" s="985"/>
      <c r="J25" s="985"/>
      <c r="K25" s="986"/>
      <c r="L25" s="959"/>
      <c r="M25" s="987"/>
      <c r="N25" s="988"/>
      <c r="O25" s="989"/>
      <c r="P25" s="990"/>
      <c r="Q25" s="961"/>
      <c r="R25" s="962"/>
      <c r="S25" s="962"/>
      <c r="T25" s="963"/>
      <c r="U25" s="942"/>
      <c r="V25" s="942"/>
      <c r="W25" s="1476" t="s">
        <v>142</v>
      </c>
      <c r="X25" s="991">
        <v>1</v>
      </c>
      <c r="Y25" s="969"/>
      <c r="Z25" s="970"/>
    </row>
    <row r="26" spans="1:32" ht="13.5" thickBot="1">
      <c r="A26" s="17"/>
      <c r="B26" s="18"/>
      <c r="C26" s="99"/>
      <c r="D26" s="1486"/>
      <c r="E26" s="1279"/>
      <c r="F26" s="1469"/>
      <c r="G26" s="342" t="s">
        <v>10</v>
      </c>
      <c r="H26" s="971">
        <f>SUM(H24:H25)</f>
        <v>92.6</v>
      </c>
      <c r="I26" s="943">
        <f>SUM(I24:I25)</f>
        <v>92.6</v>
      </c>
      <c r="J26" s="918">
        <f>SUM(J24:J25)</f>
        <v>3</v>
      </c>
      <c r="K26" s="944"/>
      <c r="L26" s="926">
        <f>SUM(L24:L25)</f>
        <v>19288.693234476366</v>
      </c>
      <c r="M26" s="926">
        <f>SUM(M24:M25)</f>
        <v>66.599999999999994</v>
      </c>
      <c r="N26" s="925">
        <f>SUM(N24:N25)</f>
        <v>66.599999999999994</v>
      </c>
      <c r="O26" s="945">
        <f>SUM(O24:O25)</f>
        <v>2.2999999999999998</v>
      </c>
      <c r="P26" s="925"/>
      <c r="Q26" s="947">
        <f t="shared" ref="Q26:T26" si="7">SUM(Q24:Q25)</f>
        <v>0</v>
      </c>
      <c r="R26" s="945">
        <f t="shared" si="7"/>
        <v>0</v>
      </c>
      <c r="S26" s="925">
        <f t="shared" si="7"/>
        <v>0</v>
      </c>
      <c r="T26" s="972">
        <f t="shared" si="7"/>
        <v>0</v>
      </c>
      <c r="U26" s="947"/>
      <c r="V26" s="926"/>
      <c r="W26" s="1477"/>
      <c r="X26" s="938"/>
      <c r="Y26" s="380"/>
      <c r="Z26" s="992"/>
    </row>
    <row r="27" spans="1:32" ht="13.5" thickBot="1">
      <c r="A27" s="9" t="s">
        <v>9</v>
      </c>
      <c r="B27" s="5" t="s">
        <v>9</v>
      </c>
      <c r="C27" s="1478" t="s">
        <v>12</v>
      </c>
      <c r="D27" s="1479"/>
      <c r="E27" s="1479"/>
      <c r="F27" s="1479"/>
      <c r="G27" s="1480"/>
      <c r="H27" s="993">
        <f>H23+H19+H16+H26</f>
        <v>2009.6999999999998</v>
      </c>
      <c r="I27" s="993">
        <f>I23+I19+I16+I26</f>
        <v>2009.6999999999998</v>
      </c>
      <c r="J27" s="993">
        <f>J23+J19+J16+J26</f>
        <v>767.90000000000009</v>
      </c>
      <c r="K27" s="994">
        <f>K23+K19+K16</f>
        <v>0</v>
      </c>
      <c r="L27" s="995">
        <f>L26+L23+L19+L16</f>
        <v>542603.10472659871</v>
      </c>
      <c r="M27" s="996">
        <f>M23+M19+M16+M26</f>
        <v>1873.4999999999998</v>
      </c>
      <c r="N27" s="997">
        <f>N23+N19+N16+N26</f>
        <v>1873.4999999999998</v>
      </c>
      <c r="O27" s="997">
        <f>O23+O19+O16+O26</f>
        <v>873.09999999999991</v>
      </c>
      <c r="P27" s="998">
        <f t="shared" ref="P27:V27" si="8">P23+P19+P16</f>
        <v>0</v>
      </c>
      <c r="Q27" s="999">
        <f t="shared" si="8"/>
        <v>0</v>
      </c>
      <c r="R27" s="999">
        <f t="shared" si="8"/>
        <v>0</v>
      </c>
      <c r="S27" s="999">
        <f t="shared" si="8"/>
        <v>0</v>
      </c>
      <c r="T27" s="1000">
        <f t="shared" si="8"/>
        <v>0</v>
      </c>
      <c r="U27" s="995">
        <f t="shared" si="8"/>
        <v>528180.02780352172</v>
      </c>
      <c r="V27" s="999">
        <f t="shared" si="8"/>
        <v>528180.02780352172</v>
      </c>
      <c r="W27" s="1481"/>
      <c r="X27" s="1482"/>
      <c r="Y27" s="1482"/>
      <c r="Z27" s="1483"/>
      <c r="AA27" s="618"/>
    </row>
    <row r="28" spans="1:32" ht="13.5" thickBot="1">
      <c r="A28" s="4" t="s">
        <v>9</v>
      </c>
      <c r="B28" s="38" t="s">
        <v>11</v>
      </c>
      <c r="C28" s="1288" t="s">
        <v>52</v>
      </c>
      <c r="D28" s="1289"/>
      <c r="E28" s="1289"/>
      <c r="F28" s="1289"/>
      <c r="G28" s="1289"/>
      <c r="H28" s="1289"/>
      <c r="I28" s="1289"/>
      <c r="J28" s="1289"/>
      <c r="K28" s="1289"/>
      <c r="L28" s="1289"/>
      <c r="M28" s="1289"/>
      <c r="N28" s="1289"/>
      <c r="O28" s="1289"/>
      <c r="P28" s="1289"/>
      <c r="Q28" s="1289"/>
      <c r="R28" s="1289"/>
      <c r="S28" s="1289"/>
      <c r="T28" s="1289"/>
      <c r="U28" s="1289"/>
      <c r="V28" s="1289"/>
      <c r="W28" s="1289"/>
      <c r="X28" s="1289"/>
      <c r="Y28" s="1289"/>
      <c r="Z28" s="1290"/>
    </row>
    <row r="29" spans="1:32" ht="17.25" customHeight="1">
      <c r="A29" s="13" t="s">
        <v>9</v>
      </c>
      <c r="B29" s="14" t="s">
        <v>11</v>
      </c>
      <c r="C29" s="104" t="s">
        <v>9</v>
      </c>
      <c r="D29" s="1291" t="s">
        <v>37</v>
      </c>
      <c r="E29" s="1466"/>
      <c r="F29" s="1468" t="s">
        <v>43</v>
      </c>
      <c r="G29" s="343" t="s">
        <v>39</v>
      </c>
      <c r="H29" s="928">
        <f>I29+K29</f>
        <v>2910.2999999999997</v>
      </c>
      <c r="I29" s="929">
        <v>2857.1</v>
      </c>
      <c r="J29" s="929">
        <v>1776.1</v>
      </c>
      <c r="K29" s="930">
        <v>53.2</v>
      </c>
      <c r="L29" s="1001">
        <f>2910.3/3.4528*1000</f>
        <v>842881.13994439295</v>
      </c>
      <c r="M29" s="931">
        <f>N29+P29</f>
        <v>2910.2999999999997</v>
      </c>
      <c r="N29" s="932">
        <v>2853.7</v>
      </c>
      <c r="O29" s="932">
        <v>1775.9</v>
      </c>
      <c r="P29" s="1002">
        <v>56.6</v>
      </c>
      <c r="Q29" s="934">
        <f>R29+T29</f>
        <v>0</v>
      </c>
      <c r="R29" s="935">
        <v>0</v>
      </c>
      <c r="S29" s="935">
        <v>0</v>
      </c>
      <c r="T29" s="936">
        <v>0</v>
      </c>
      <c r="U29" s="1003">
        <f>2910.3/3.4528*1000</f>
        <v>842881.13994439295</v>
      </c>
      <c r="V29" s="1004">
        <f>2910.3/3.4528*1000</f>
        <v>842881.13994439295</v>
      </c>
      <c r="W29" s="366" t="s">
        <v>58</v>
      </c>
      <c r="X29" s="367">
        <v>55</v>
      </c>
      <c r="Y29" s="368" t="s">
        <v>59</v>
      </c>
      <c r="Z29" s="369">
        <v>55</v>
      </c>
    </row>
    <row r="30" spans="1:32" ht="15.75" customHeight="1">
      <c r="A30" s="15"/>
      <c r="B30" s="16"/>
      <c r="C30" s="98"/>
      <c r="D30" s="1292"/>
      <c r="E30" s="1472"/>
      <c r="F30" s="1473"/>
      <c r="G30" s="344"/>
      <c r="H30" s="890"/>
      <c r="I30" s="891"/>
      <c r="J30" s="891"/>
      <c r="K30" s="892"/>
      <c r="L30" s="1005"/>
      <c r="M30" s="893"/>
      <c r="N30" s="894"/>
      <c r="O30" s="894"/>
      <c r="P30" s="896"/>
      <c r="Q30" s="961"/>
      <c r="R30" s="962"/>
      <c r="S30" s="962"/>
      <c r="T30" s="1006"/>
      <c r="U30" s="897"/>
      <c r="V30" s="1007"/>
      <c r="W30" s="370" t="s">
        <v>97</v>
      </c>
      <c r="X30" s="1008" t="s">
        <v>96</v>
      </c>
      <c r="Y30" s="1009" t="s">
        <v>96</v>
      </c>
      <c r="Z30" s="1010" t="s">
        <v>96</v>
      </c>
    </row>
    <row r="31" spans="1:32" ht="54.75" customHeight="1">
      <c r="A31" s="15"/>
      <c r="B31" s="16"/>
      <c r="C31" s="98"/>
      <c r="D31" s="1292"/>
      <c r="E31" s="1472"/>
      <c r="F31" s="1473"/>
      <c r="G31" s="344"/>
      <c r="H31" s="890"/>
      <c r="I31" s="891"/>
      <c r="J31" s="891"/>
      <c r="K31" s="892"/>
      <c r="L31" s="1005"/>
      <c r="M31" s="893"/>
      <c r="N31" s="1011"/>
      <c r="O31" s="1011"/>
      <c r="P31" s="1012"/>
      <c r="Q31" s="961"/>
      <c r="R31" s="962"/>
      <c r="S31" s="962"/>
      <c r="T31" s="1006"/>
      <c r="U31" s="897"/>
      <c r="V31" s="1007"/>
      <c r="W31" s="374" t="s">
        <v>60</v>
      </c>
      <c r="X31" s="375" t="s">
        <v>61</v>
      </c>
      <c r="Y31" s="375" t="s">
        <v>62</v>
      </c>
      <c r="Z31" s="376" t="s">
        <v>62</v>
      </c>
      <c r="AB31" s="569"/>
    </row>
    <row r="32" spans="1:32" ht="18" customHeight="1">
      <c r="A32" s="15"/>
      <c r="B32" s="16"/>
      <c r="C32" s="98"/>
      <c r="D32" s="1292"/>
      <c r="E32" s="1472"/>
      <c r="F32" s="1473"/>
      <c r="G32" s="344"/>
      <c r="H32" s="890"/>
      <c r="I32" s="891"/>
      <c r="J32" s="891"/>
      <c r="K32" s="892"/>
      <c r="L32" s="1005"/>
      <c r="M32" s="893"/>
      <c r="N32" s="1011"/>
      <c r="O32" s="1011"/>
      <c r="P32" s="1012"/>
      <c r="Q32" s="961"/>
      <c r="R32" s="962"/>
      <c r="S32" s="962"/>
      <c r="T32" s="1006"/>
      <c r="U32" s="897"/>
      <c r="V32" s="1007"/>
      <c r="W32" s="374" t="s">
        <v>121</v>
      </c>
      <c r="X32" s="375" t="s">
        <v>63</v>
      </c>
      <c r="Y32" s="375" t="s">
        <v>63</v>
      </c>
      <c r="Z32" s="376" t="s">
        <v>63</v>
      </c>
      <c r="AB32" s="569"/>
    </row>
    <row r="33" spans="1:29" ht="25.5" customHeight="1">
      <c r="A33" s="15"/>
      <c r="B33" s="16"/>
      <c r="C33" s="98"/>
      <c r="D33" s="1292"/>
      <c r="E33" s="1472"/>
      <c r="F33" s="1473"/>
      <c r="G33" s="1013" t="s">
        <v>27</v>
      </c>
      <c r="H33" s="898"/>
      <c r="I33" s="899"/>
      <c r="J33" s="899"/>
      <c r="K33" s="900"/>
      <c r="L33" s="1014">
        <f>3.7/3.4528*1000</f>
        <v>1071.5940685820206</v>
      </c>
      <c r="M33" s="901">
        <v>3.7</v>
      </c>
      <c r="N33" s="902">
        <v>3.7</v>
      </c>
      <c r="O33" s="902">
        <v>2.8</v>
      </c>
      <c r="P33" s="1015"/>
      <c r="Q33" s="905"/>
      <c r="R33" s="906"/>
      <c r="S33" s="906"/>
      <c r="T33" s="1016"/>
      <c r="U33" s="1017">
        <f>3.7/3.4528*1000</f>
        <v>1071.5940685820206</v>
      </c>
      <c r="V33" s="1018">
        <f>3.7/3.4528*1000</f>
        <v>1071.5940685820206</v>
      </c>
      <c r="W33" s="1474" t="s">
        <v>143</v>
      </c>
      <c r="X33" s="1019" t="s">
        <v>144</v>
      </c>
      <c r="Y33" s="1019" t="s">
        <v>145</v>
      </c>
      <c r="Z33" s="1020" t="s">
        <v>145</v>
      </c>
    </row>
    <row r="34" spans="1:29" ht="16.5" customHeight="1" thickBot="1">
      <c r="A34" s="17"/>
      <c r="B34" s="18"/>
      <c r="C34" s="99"/>
      <c r="D34" s="1293"/>
      <c r="E34" s="1467"/>
      <c r="F34" s="1469"/>
      <c r="G34" s="345" t="s">
        <v>10</v>
      </c>
      <c r="H34" s="916">
        <f>I34+K34</f>
        <v>2910.2999999999997</v>
      </c>
      <c r="I34" s="943">
        <f>SUM(I29:I31)</f>
        <v>2857.1</v>
      </c>
      <c r="J34" s="943">
        <f>SUM(J29:J31)</f>
        <v>1776.1</v>
      </c>
      <c r="K34" s="944">
        <f>SUM(K29:K33)</f>
        <v>53.2</v>
      </c>
      <c r="L34" s="925">
        <f>SUM(L29:L33)</f>
        <v>843952.73401297501</v>
      </c>
      <c r="M34" s="926">
        <f>N34+P34</f>
        <v>2913.9999999999995</v>
      </c>
      <c r="N34" s="923">
        <f>SUM(N29:N33)</f>
        <v>2857.3999999999996</v>
      </c>
      <c r="O34" s="945">
        <f>SUM(O29:O33)</f>
        <v>1778.7</v>
      </c>
      <c r="P34" s="972">
        <f>SUM(P29:P33)</f>
        <v>56.6</v>
      </c>
      <c r="Q34" s="922">
        <f>R34+T34</f>
        <v>0</v>
      </c>
      <c r="R34" s="945">
        <f>SUM(R29:R31)</f>
        <v>0</v>
      </c>
      <c r="S34" s="945">
        <f>SUM(S29:S31)</f>
        <v>0</v>
      </c>
      <c r="T34" s="946">
        <f>SUM(T29:T33)</f>
        <v>0</v>
      </c>
      <c r="U34" s="926">
        <f>SUM(U29:U31)</f>
        <v>842881.13994439295</v>
      </c>
      <c r="V34" s="924">
        <f>SUM(V29:V31)</f>
        <v>842881.13994439295</v>
      </c>
      <c r="W34" s="1475"/>
      <c r="X34" s="1021"/>
      <c r="Y34" s="1021"/>
      <c r="Z34" s="1022"/>
      <c r="AC34" s="569"/>
    </row>
    <row r="35" spans="1:29" ht="29.25" customHeight="1">
      <c r="A35" s="13" t="s">
        <v>9</v>
      </c>
      <c r="B35" s="14" t="s">
        <v>11</v>
      </c>
      <c r="C35" s="104" t="s">
        <v>11</v>
      </c>
      <c r="D35" s="1470" t="s">
        <v>191</v>
      </c>
      <c r="E35" s="1466"/>
      <c r="F35" s="1468" t="s">
        <v>43</v>
      </c>
      <c r="G35" s="343" t="s">
        <v>36</v>
      </c>
      <c r="H35" s="974"/>
      <c r="I35" s="975"/>
      <c r="J35" s="975"/>
      <c r="K35" s="1023"/>
      <c r="L35" s="1001">
        <f>83/3.4528*1000</f>
        <v>24038.461538461539</v>
      </c>
      <c r="M35" s="931">
        <v>83</v>
      </c>
      <c r="N35" s="932">
        <v>83</v>
      </c>
      <c r="O35" s="932">
        <v>30.9</v>
      </c>
      <c r="P35" s="1002"/>
      <c r="Q35" s="1024"/>
      <c r="R35" s="935"/>
      <c r="S35" s="935"/>
      <c r="T35" s="936"/>
      <c r="U35" s="1003">
        <f>83/3.4528*1000</f>
        <v>24038.461538461539</v>
      </c>
      <c r="V35" s="1004">
        <f>83/3.4528*1000</f>
        <v>24038.461538461539</v>
      </c>
      <c r="W35" s="1025" t="s">
        <v>146</v>
      </c>
      <c r="X35" s="1026">
        <v>12</v>
      </c>
      <c r="Y35" s="1027" t="s">
        <v>147</v>
      </c>
      <c r="Z35" s="1028">
        <v>12</v>
      </c>
    </row>
    <row r="36" spans="1:29" ht="15" customHeight="1" thickBot="1">
      <c r="A36" s="17"/>
      <c r="B36" s="18"/>
      <c r="C36" s="99"/>
      <c r="D36" s="1471"/>
      <c r="E36" s="1467"/>
      <c r="F36" s="1469"/>
      <c r="G36" s="345" t="s">
        <v>10</v>
      </c>
      <c r="H36" s="916">
        <f>I36+K36</f>
        <v>0</v>
      </c>
      <c r="I36" s="943">
        <f t="shared" ref="I36:V36" si="9">SUM(I35:I35)</f>
        <v>0</v>
      </c>
      <c r="J36" s="943">
        <f t="shared" si="9"/>
        <v>0</v>
      </c>
      <c r="K36" s="944">
        <f t="shared" si="9"/>
        <v>0</v>
      </c>
      <c r="L36" s="925">
        <f>L35</f>
        <v>24038.461538461539</v>
      </c>
      <c r="M36" s="926">
        <f t="shared" si="9"/>
        <v>83</v>
      </c>
      <c r="N36" s="923">
        <f t="shared" si="9"/>
        <v>83</v>
      </c>
      <c r="O36" s="945">
        <f t="shared" si="9"/>
        <v>30.9</v>
      </c>
      <c r="P36" s="972">
        <f t="shared" si="9"/>
        <v>0</v>
      </c>
      <c r="Q36" s="923">
        <f t="shared" si="9"/>
        <v>0</v>
      </c>
      <c r="R36" s="945">
        <f t="shared" si="9"/>
        <v>0</v>
      </c>
      <c r="S36" s="945">
        <f t="shared" si="9"/>
        <v>0</v>
      </c>
      <c r="T36" s="946">
        <f t="shared" si="9"/>
        <v>0</v>
      </c>
      <c r="U36" s="926">
        <f>SUM(U35:U35)</f>
        <v>24038.461538461539</v>
      </c>
      <c r="V36" s="925">
        <f t="shared" si="9"/>
        <v>24038.461538461539</v>
      </c>
      <c r="W36" s="1029"/>
      <c r="X36" s="1030"/>
      <c r="Y36" s="1030"/>
      <c r="Z36" s="1031"/>
    </row>
    <row r="37" spans="1:29" ht="26.25" customHeight="1">
      <c r="A37" s="13" t="s">
        <v>9</v>
      </c>
      <c r="B37" s="14" t="s">
        <v>11</v>
      </c>
      <c r="C37" s="104" t="s">
        <v>29</v>
      </c>
      <c r="D37" s="1464" t="s">
        <v>148</v>
      </c>
      <c r="E37" s="1466"/>
      <c r="F37" s="1468" t="s">
        <v>43</v>
      </c>
      <c r="G37" s="338" t="s">
        <v>25</v>
      </c>
      <c r="H37" s="974"/>
      <c r="I37" s="975"/>
      <c r="J37" s="975"/>
      <c r="K37" s="1023"/>
      <c r="L37" s="1001"/>
      <c r="M37" s="931"/>
      <c r="N37" s="932"/>
      <c r="O37" s="932"/>
      <c r="P37" s="1002"/>
      <c r="Q37" s="1024"/>
      <c r="R37" s="935"/>
      <c r="S37" s="935"/>
      <c r="T37" s="936"/>
      <c r="U37" s="1032">
        <f>59.9/3.4528*1000</f>
        <v>17348.239110287301</v>
      </c>
      <c r="V37" s="1032">
        <f>59.9/3.4528*1000</f>
        <v>17348.239110287301</v>
      </c>
      <c r="W37" s="1025" t="s">
        <v>200</v>
      </c>
      <c r="X37" s="1026"/>
      <c r="Y37" s="1027" t="s">
        <v>197</v>
      </c>
      <c r="Z37" s="1033" t="s">
        <v>197</v>
      </c>
      <c r="AB37" s="569"/>
    </row>
    <row r="38" spans="1:29" ht="16.5" customHeight="1" thickBot="1">
      <c r="A38" s="17"/>
      <c r="B38" s="18"/>
      <c r="C38" s="99"/>
      <c r="D38" s="1465"/>
      <c r="E38" s="1467"/>
      <c r="F38" s="1469"/>
      <c r="G38" s="345" t="s">
        <v>10</v>
      </c>
      <c r="H38" s="916">
        <f>I38+K38</f>
        <v>0</v>
      </c>
      <c r="I38" s="943">
        <f t="shared" ref="I38:V38" si="10">SUM(I37:I37)</f>
        <v>0</v>
      </c>
      <c r="J38" s="943">
        <f t="shared" si="10"/>
        <v>0</v>
      </c>
      <c r="K38" s="944">
        <f t="shared" si="10"/>
        <v>0</v>
      </c>
      <c r="L38" s="925"/>
      <c r="M38" s="926">
        <f t="shared" si="10"/>
        <v>0</v>
      </c>
      <c r="N38" s="923">
        <f t="shared" si="10"/>
        <v>0</v>
      </c>
      <c r="O38" s="945">
        <f t="shared" si="10"/>
        <v>0</v>
      </c>
      <c r="P38" s="972">
        <f t="shared" si="10"/>
        <v>0</v>
      </c>
      <c r="Q38" s="923">
        <f t="shared" si="10"/>
        <v>0</v>
      </c>
      <c r="R38" s="945">
        <f t="shared" si="10"/>
        <v>0</v>
      </c>
      <c r="S38" s="945">
        <f t="shared" si="10"/>
        <v>0</v>
      </c>
      <c r="T38" s="946">
        <f t="shared" si="10"/>
        <v>0</v>
      </c>
      <c r="U38" s="926">
        <f t="shared" si="10"/>
        <v>17348.239110287301</v>
      </c>
      <c r="V38" s="925">
        <f t="shared" si="10"/>
        <v>17348.239110287301</v>
      </c>
      <c r="W38" s="1034"/>
      <c r="X38" s="1021"/>
      <c r="Y38" s="1021"/>
      <c r="Z38" s="1035"/>
      <c r="AB38" s="569"/>
    </row>
    <row r="39" spans="1:29" ht="24.75" customHeight="1">
      <c r="A39" s="13" t="s">
        <v>9</v>
      </c>
      <c r="B39" s="14" t="s">
        <v>11</v>
      </c>
      <c r="C39" s="104" t="s">
        <v>69</v>
      </c>
      <c r="D39" s="1464" t="s">
        <v>150</v>
      </c>
      <c r="E39" s="1466"/>
      <c r="F39" s="1468" t="s">
        <v>43</v>
      </c>
      <c r="G39" s="338" t="s">
        <v>25</v>
      </c>
      <c r="H39" s="974"/>
      <c r="I39" s="975"/>
      <c r="J39" s="975"/>
      <c r="K39" s="1023"/>
      <c r="L39" s="1001"/>
      <c r="M39" s="931"/>
      <c r="N39" s="1036"/>
      <c r="O39" s="932"/>
      <c r="P39" s="1002"/>
      <c r="Q39" s="1024"/>
      <c r="R39" s="935"/>
      <c r="S39" s="935"/>
      <c r="T39" s="936"/>
      <c r="U39" s="1032">
        <f>100/3.4528*1000</f>
        <v>28962.001853568119</v>
      </c>
      <c r="V39" s="1032">
        <f>100/3.4528*1000</f>
        <v>28962.001853568119</v>
      </c>
      <c r="W39" s="1437" t="s">
        <v>201</v>
      </c>
      <c r="X39" s="1026"/>
      <c r="Y39" s="1027" t="s">
        <v>152</v>
      </c>
      <c r="Z39" s="1028">
        <v>92</v>
      </c>
    </row>
    <row r="40" spans="1:29" ht="16.5" customHeight="1" thickBot="1">
      <c r="A40" s="17"/>
      <c r="B40" s="18"/>
      <c r="C40" s="99"/>
      <c r="D40" s="1465"/>
      <c r="E40" s="1467"/>
      <c r="F40" s="1469"/>
      <c r="G40" s="345" t="s">
        <v>10</v>
      </c>
      <c r="H40" s="916">
        <f>I40+K40</f>
        <v>0</v>
      </c>
      <c r="I40" s="943">
        <f t="shared" ref="I40:V40" si="11">SUM(I39:I39)</f>
        <v>0</v>
      </c>
      <c r="J40" s="943">
        <f t="shared" si="11"/>
        <v>0</v>
      </c>
      <c r="K40" s="944">
        <f t="shared" si="11"/>
        <v>0</v>
      </c>
      <c r="L40" s="925"/>
      <c r="M40" s="926">
        <f t="shared" si="11"/>
        <v>0</v>
      </c>
      <c r="N40" s="923">
        <f t="shared" si="11"/>
        <v>0</v>
      </c>
      <c r="O40" s="945">
        <f t="shared" si="11"/>
        <v>0</v>
      </c>
      <c r="P40" s="972">
        <f t="shared" si="11"/>
        <v>0</v>
      </c>
      <c r="Q40" s="923">
        <f t="shared" si="11"/>
        <v>0</v>
      </c>
      <c r="R40" s="945">
        <f t="shared" si="11"/>
        <v>0</v>
      </c>
      <c r="S40" s="945">
        <f t="shared" si="11"/>
        <v>0</v>
      </c>
      <c r="T40" s="946">
        <f t="shared" si="11"/>
        <v>0</v>
      </c>
      <c r="U40" s="926">
        <f t="shared" si="11"/>
        <v>28962.001853568119</v>
      </c>
      <c r="V40" s="925">
        <f t="shared" si="11"/>
        <v>28962.001853568119</v>
      </c>
      <c r="W40" s="1438"/>
      <c r="X40" s="1021"/>
      <c r="Y40" s="1021"/>
      <c r="Z40" s="1035"/>
    </row>
    <row r="41" spans="1:29" ht="13.5" thickBot="1">
      <c r="A41" s="4" t="s">
        <v>9</v>
      </c>
      <c r="B41" s="5" t="s">
        <v>11</v>
      </c>
      <c r="C41" s="1270" t="s">
        <v>12</v>
      </c>
      <c r="D41" s="1271"/>
      <c r="E41" s="1271"/>
      <c r="F41" s="1271"/>
      <c r="G41" s="1272"/>
      <c r="H41" s="1037">
        <f>+H34</f>
        <v>2910.2999999999997</v>
      </c>
      <c r="I41" s="1038">
        <f>+I34</f>
        <v>2857.1</v>
      </c>
      <c r="J41" s="1039">
        <f>+J34</f>
        <v>1776.1</v>
      </c>
      <c r="K41" s="1040">
        <f>+K34</f>
        <v>53.2</v>
      </c>
      <c r="L41" s="1041">
        <f>L40+L38+L36+L34</f>
        <v>867991.19555143651</v>
      </c>
      <c r="M41" s="1042">
        <f>+M34+M40+M36</f>
        <v>2996.9999999999995</v>
      </c>
      <c r="N41" s="1041">
        <f>+N34+N40+N36</f>
        <v>2940.3999999999996</v>
      </c>
      <c r="O41" s="1043">
        <f>+O34+O36</f>
        <v>1809.6000000000001</v>
      </c>
      <c r="P41" s="1044">
        <f>+P34</f>
        <v>56.6</v>
      </c>
      <c r="Q41" s="1041">
        <f t="shared" ref="Q41:T41" si="12">+Q34</f>
        <v>0</v>
      </c>
      <c r="R41" s="1043">
        <f t="shared" si="12"/>
        <v>0</v>
      </c>
      <c r="S41" s="1041">
        <f t="shared" si="12"/>
        <v>0</v>
      </c>
      <c r="T41" s="1045">
        <f t="shared" si="12"/>
        <v>0</v>
      </c>
      <c r="U41" s="1046">
        <f>+U34+U40+U38+U36</f>
        <v>913229.84244670987</v>
      </c>
      <c r="V41" s="1041">
        <f>+V34+V36+V38+V40</f>
        <v>913229.84244670987</v>
      </c>
      <c r="W41" s="1454"/>
      <c r="X41" s="1455"/>
      <c r="Y41" s="1455"/>
      <c r="Z41" s="1456"/>
      <c r="AA41" s="569"/>
    </row>
    <row r="42" spans="1:29" ht="13.5" thickBot="1">
      <c r="A42" s="4" t="s">
        <v>9</v>
      </c>
      <c r="B42" s="38" t="s">
        <v>29</v>
      </c>
      <c r="C42" s="1457" t="s">
        <v>34</v>
      </c>
      <c r="D42" s="1286"/>
      <c r="E42" s="1286"/>
      <c r="F42" s="1286"/>
      <c r="G42" s="1286"/>
      <c r="H42" s="1286"/>
      <c r="I42" s="1286"/>
      <c r="J42" s="1286"/>
      <c r="K42" s="1286"/>
      <c r="L42" s="1286"/>
      <c r="M42" s="1286"/>
      <c r="N42" s="1286"/>
      <c r="O42" s="1286"/>
      <c r="P42" s="1286"/>
      <c r="Q42" s="1286"/>
      <c r="R42" s="1286"/>
      <c r="S42" s="1286"/>
      <c r="T42" s="1286"/>
      <c r="U42" s="1286"/>
      <c r="V42" s="1286"/>
      <c r="W42" s="1286"/>
      <c r="X42" s="1286"/>
      <c r="Y42" s="1286"/>
      <c r="Z42" s="1287"/>
      <c r="AA42" s="569"/>
    </row>
    <row r="43" spans="1:29" ht="14.25" customHeight="1">
      <c r="A43" s="1307" t="s">
        <v>9</v>
      </c>
      <c r="B43" s="1309" t="s">
        <v>29</v>
      </c>
      <c r="C43" s="1326" t="s">
        <v>9</v>
      </c>
      <c r="D43" s="1329" t="s">
        <v>46</v>
      </c>
      <c r="E43" s="1460" t="s">
        <v>32</v>
      </c>
      <c r="F43" s="1435" t="s">
        <v>44</v>
      </c>
      <c r="G43" s="68" t="s">
        <v>31</v>
      </c>
      <c r="H43" s="1047">
        <f t="shared" ref="H43:H45" si="13">I43+K43</f>
        <v>285</v>
      </c>
      <c r="I43" s="1048"/>
      <c r="J43" s="1048"/>
      <c r="K43" s="1049">
        <v>285</v>
      </c>
      <c r="L43" s="1050"/>
      <c r="M43" s="1051"/>
      <c r="N43" s="1052"/>
      <c r="O43" s="1053"/>
      <c r="P43" s="1054"/>
      <c r="Q43" s="1055">
        <f t="shared" ref="Q43:Q45" si="14">R43+T43</f>
        <v>0</v>
      </c>
      <c r="R43" s="1056"/>
      <c r="S43" s="1056"/>
      <c r="T43" s="1057">
        <v>0</v>
      </c>
      <c r="U43" s="1058"/>
      <c r="V43" s="1059"/>
      <c r="W43" s="1319" t="s">
        <v>184</v>
      </c>
      <c r="X43" s="121"/>
      <c r="Y43" s="295"/>
      <c r="Z43" s="296"/>
    </row>
    <row r="44" spans="1:29" ht="12.75">
      <c r="A44" s="1322"/>
      <c r="B44" s="1324"/>
      <c r="C44" s="1327"/>
      <c r="D44" s="1330"/>
      <c r="E44" s="1461"/>
      <c r="F44" s="1463"/>
      <c r="G44" s="69" t="s">
        <v>39</v>
      </c>
      <c r="H44" s="1060">
        <f t="shared" si="13"/>
        <v>1000</v>
      </c>
      <c r="I44" s="1061"/>
      <c r="J44" s="1061"/>
      <c r="K44" s="1062">
        <v>1000</v>
      </c>
      <c r="L44" s="1063">
        <f>285.5/3.4528*1000</f>
        <v>82686.515291936987</v>
      </c>
      <c r="M44" s="1064">
        <f t="shared" ref="M44" si="15">N44+P44</f>
        <v>285.5</v>
      </c>
      <c r="N44" s="1065"/>
      <c r="O44" s="1066"/>
      <c r="P44" s="1067">
        <v>285.5</v>
      </c>
      <c r="Q44" s="1068">
        <f t="shared" si="14"/>
        <v>0</v>
      </c>
      <c r="R44" s="1069"/>
      <c r="S44" s="1069"/>
      <c r="T44" s="1070">
        <v>0</v>
      </c>
      <c r="U44" s="1071"/>
      <c r="V44" s="1072"/>
      <c r="W44" s="1320"/>
      <c r="X44" s="122"/>
      <c r="Y44" s="66"/>
      <c r="Z44" s="297"/>
    </row>
    <row r="45" spans="1:29" ht="13.5" thickBot="1">
      <c r="A45" s="1308"/>
      <c r="B45" s="1310"/>
      <c r="C45" s="1458"/>
      <c r="D45" s="1459"/>
      <c r="E45" s="1462"/>
      <c r="F45" s="1436"/>
      <c r="G45" s="867" t="s">
        <v>10</v>
      </c>
      <c r="H45" s="1073">
        <f t="shared" si="13"/>
        <v>1285</v>
      </c>
      <c r="I45" s="1074"/>
      <c r="J45" s="1074"/>
      <c r="K45" s="1075">
        <f>SUM(K43:K44)</f>
        <v>1285</v>
      </c>
      <c r="L45" s="1076">
        <f>L44</f>
        <v>82686.515291936987</v>
      </c>
      <c r="M45" s="1077">
        <f>N45+P45</f>
        <v>285.5</v>
      </c>
      <c r="N45" s="1078"/>
      <c r="O45" s="1079"/>
      <c r="P45" s="1080">
        <f>SUM(P43:P44)</f>
        <v>285.5</v>
      </c>
      <c r="Q45" s="1081">
        <f t="shared" si="14"/>
        <v>0</v>
      </c>
      <c r="R45" s="1079"/>
      <c r="S45" s="1079"/>
      <c r="T45" s="1080">
        <f>SUM(T43:T44)</f>
        <v>0</v>
      </c>
      <c r="U45" s="1076"/>
      <c r="V45" s="1077"/>
      <c r="W45" s="1321"/>
      <c r="X45" s="1082">
        <v>100</v>
      </c>
      <c r="Y45" s="1083"/>
      <c r="Z45" s="1084"/>
      <c r="AB45" s="569"/>
    </row>
    <row r="46" spans="1:29" ht="15.75" customHeight="1">
      <c r="A46" s="1307" t="s">
        <v>9</v>
      </c>
      <c r="B46" s="1309" t="s">
        <v>29</v>
      </c>
      <c r="C46" s="1256" t="s">
        <v>11</v>
      </c>
      <c r="D46" s="1311" t="s">
        <v>190</v>
      </c>
      <c r="E46" s="1443" t="s">
        <v>32</v>
      </c>
      <c r="F46" s="1451" t="s">
        <v>44</v>
      </c>
      <c r="G46" s="120" t="s">
        <v>31</v>
      </c>
      <c r="H46" s="879">
        <f>I46+K46</f>
        <v>8</v>
      </c>
      <c r="I46" s="880"/>
      <c r="J46" s="880"/>
      <c r="K46" s="881">
        <v>8</v>
      </c>
      <c r="L46" s="882">
        <f>20.6/3.4528*1000</f>
        <v>5966.1723818350329</v>
      </c>
      <c r="M46" s="1085">
        <f>N46+P46</f>
        <v>20.6</v>
      </c>
      <c r="N46" s="883"/>
      <c r="O46" s="1086"/>
      <c r="P46" s="1087">
        <v>20.6</v>
      </c>
      <c r="Q46" s="886">
        <f>R46+T46</f>
        <v>0</v>
      </c>
      <c r="R46" s="887"/>
      <c r="S46" s="887"/>
      <c r="T46" s="1088">
        <v>0</v>
      </c>
      <c r="U46" s="937"/>
      <c r="V46" s="1089"/>
      <c r="W46" s="382" t="s">
        <v>185</v>
      </c>
      <c r="X46" s="379">
        <v>1</v>
      </c>
      <c r="Y46" s="379"/>
      <c r="Z46" s="422"/>
      <c r="AA46" s="618"/>
    </row>
    <row r="47" spans="1:29" ht="15.75" customHeight="1">
      <c r="A47" s="1322"/>
      <c r="B47" s="1324"/>
      <c r="C47" s="1232"/>
      <c r="D47" s="1450"/>
      <c r="E47" s="1447"/>
      <c r="F47" s="1452"/>
      <c r="G47" s="1090" t="s">
        <v>108</v>
      </c>
      <c r="H47" s="890"/>
      <c r="I47" s="891"/>
      <c r="J47" s="891"/>
      <c r="K47" s="892"/>
      <c r="L47" s="893">
        <f>250/3.4528*1000</f>
        <v>72405.004633920296</v>
      </c>
      <c r="M47" s="1091">
        <v>250</v>
      </c>
      <c r="N47" s="1092"/>
      <c r="O47" s="1093"/>
      <c r="P47" s="1094">
        <v>250</v>
      </c>
      <c r="Q47" s="961"/>
      <c r="R47" s="962"/>
      <c r="S47" s="962"/>
      <c r="T47" s="1006"/>
      <c r="U47" s="1095">
        <f>143.1/3.4528*1000</f>
        <v>41444.624652455976</v>
      </c>
      <c r="V47" s="1096"/>
      <c r="W47" s="1097" t="s">
        <v>186</v>
      </c>
      <c r="X47" s="938"/>
      <c r="Y47" s="938">
        <v>1</v>
      </c>
      <c r="Z47" s="1098"/>
    </row>
    <row r="48" spans="1:29" ht="13.5" thickBot="1">
      <c r="A48" s="1308"/>
      <c r="B48" s="1310"/>
      <c r="C48" s="1258"/>
      <c r="D48" s="1312"/>
      <c r="E48" s="1444"/>
      <c r="F48" s="1453"/>
      <c r="G48" s="868" t="s">
        <v>10</v>
      </c>
      <c r="H48" s="916">
        <f>I48+K48</f>
        <v>8</v>
      </c>
      <c r="I48" s="943"/>
      <c r="J48" s="943"/>
      <c r="K48" s="944">
        <f>K46</f>
        <v>8</v>
      </c>
      <c r="L48" s="926">
        <f>SUM(L46:L47)</f>
        <v>78371.177015755326</v>
      </c>
      <c r="M48" s="924">
        <f>SUM(M46:M47)</f>
        <v>270.60000000000002</v>
      </c>
      <c r="N48" s="923"/>
      <c r="O48" s="945"/>
      <c r="P48" s="946">
        <f>SUM(P46:P47)</f>
        <v>270.60000000000002</v>
      </c>
      <c r="Q48" s="922">
        <f>R48+T48</f>
        <v>0</v>
      </c>
      <c r="R48" s="945"/>
      <c r="S48" s="945"/>
      <c r="T48" s="946">
        <f>T46</f>
        <v>0</v>
      </c>
      <c r="U48" s="947">
        <f>SUM(U46:U47)</f>
        <v>41444.624652455976</v>
      </c>
      <c r="V48" s="947"/>
      <c r="W48" s="872"/>
      <c r="X48" s="380"/>
      <c r="Y48" s="365"/>
      <c r="Z48" s="381"/>
    </row>
    <row r="49" spans="1:27" ht="18" customHeight="1">
      <c r="A49" s="1307" t="s">
        <v>9</v>
      </c>
      <c r="B49" s="1309" t="s">
        <v>29</v>
      </c>
      <c r="C49" s="1256" t="s">
        <v>29</v>
      </c>
      <c r="D49" s="1311" t="s">
        <v>210</v>
      </c>
      <c r="E49" s="1443" t="s">
        <v>32</v>
      </c>
      <c r="F49" s="1435" t="s">
        <v>43</v>
      </c>
      <c r="G49" s="1099" t="s">
        <v>103</v>
      </c>
      <c r="H49" s="928">
        <f t="shared" ref="H49" si="16">I49+K49</f>
        <v>1076.9000000000001</v>
      </c>
      <c r="I49" s="929"/>
      <c r="J49" s="929"/>
      <c r="K49" s="930">
        <v>1076.9000000000001</v>
      </c>
      <c r="L49" s="931">
        <f>340/3.4528*1000</f>
        <v>98470.806302131605</v>
      </c>
      <c r="M49" s="1100">
        <v>340</v>
      </c>
      <c r="N49" s="932"/>
      <c r="O49" s="1101"/>
      <c r="P49" s="1102">
        <v>340</v>
      </c>
      <c r="Q49" s="934">
        <f t="shared" ref="Q49" si="17">R49+T49</f>
        <v>0</v>
      </c>
      <c r="R49" s="935"/>
      <c r="S49" s="935"/>
      <c r="T49" s="936">
        <v>0</v>
      </c>
      <c r="U49" s="1103">
        <f>828.4/3.4528*1000</f>
        <v>239921.22335495829</v>
      </c>
      <c r="V49" s="1103">
        <f>828.4/3.4528*1000</f>
        <v>239921.22335495829</v>
      </c>
      <c r="W49" s="1104" t="s">
        <v>153</v>
      </c>
      <c r="X49" s="1105">
        <v>1</v>
      </c>
      <c r="Y49" s="1105"/>
      <c r="Z49" s="1106"/>
    </row>
    <row r="50" spans="1:27" ht="30" customHeight="1">
      <c r="A50" s="1322"/>
      <c r="B50" s="1324"/>
      <c r="C50" s="1232"/>
      <c r="D50" s="1450"/>
      <c r="E50" s="1447"/>
      <c r="F50" s="1445"/>
      <c r="G50" s="1090"/>
      <c r="H50" s="890"/>
      <c r="I50" s="891"/>
      <c r="J50" s="891"/>
      <c r="K50" s="892"/>
      <c r="L50" s="893"/>
      <c r="M50" s="1107"/>
      <c r="N50" s="894"/>
      <c r="O50" s="1108"/>
      <c r="P50" s="1109"/>
      <c r="Q50" s="961"/>
      <c r="R50" s="962"/>
      <c r="S50" s="962"/>
      <c r="T50" s="1006"/>
      <c r="U50" s="941"/>
      <c r="V50" s="941"/>
      <c r="W50" s="1110" t="s">
        <v>154</v>
      </c>
      <c r="X50" s="1111"/>
      <c r="Y50" s="1111">
        <v>100</v>
      </c>
      <c r="Z50" s="1112"/>
      <c r="AA50" s="618"/>
    </row>
    <row r="51" spans="1:27" ht="30" customHeight="1">
      <c r="A51" s="1322"/>
      <c r="B51" s="1324"/>
      <c r="C51" s="1232"/>
      <c r="D51" s="1450"/>
      <c r="E51" s="1447"/>
      <c r="F51" s="1445"/>
      <c r="G51" s="1090"/>
      <c r="H51" s="890"/>
      <c r="I51" s="891"/>
      <c r="J51" s="891"/>
      <c r="K51" s="892"/>
      <c r="L51" s="893"/>
      <c r="M51" s="1107"/>
      <c r="N51" s="894"/>
      <c r="O51" s="1108"/>
      <c r="P51" s="1109"/>
      <c r="Q51" s="961"/>
      <c r="R51" s="962"/>
      <c r="S51" s="962"/>
      <c r="T51" s="1006"/>
      <c r="U51" s="941"/>
      <c r="V51" s="941"/>
      <c r="W51" s="1110" t="s">
        <v>155</v>
      </c>
      <c r="X51" s="1111"/>
      <c r="Y51" s="1111"/>
      <c r="Z51" s="1112">
        <v>66</v>
      </c>
    </row>
    <row r="52" spans="1:27" ht="28.5" customHeight="1" thickBot="1">
      <c r="A52" s="1308"/>
      <c r="B52" s="1310"/>
      <c r="C52" s="1258"/>
      <c r="D52" s="1312"/>
      <c r="E52" s="1444"/>
      <c r="F52" s="1436"/>
      <c r="G52" s="868" t="s">
        <v>10</v>
      </c>
      <c r="H52" s="916">
        <f>I52+K52</f>
        <v>1076.9000000000001</v>
      </c>
      <c r="I52" s="943"/>
      <c r="J52" s="943"/>
      <c r="K52" s="944">
        <f>K49</f>
        <v>1076.9000000000001</v>
      </c>
      <c r="L52" s="926">
        <f>SUM(L49:L51)</f>
        <v>98470.806302131605</v>
      </c>
      <c r="M52" s="924">
        <f t="shared" ref="M52" si="18">N52+P52</f>
        <v>340</v>
      </c>
      <c r="N52" s="923"/>
      <c r="O52" s="945"/>
      <c r="P52" s="946">
        <f>P49</f>
        <v>340</v>
      </c>
      <c r="Q52" s="922">
        <f>R52+T52</f>
        <v>0</v>
      </c>
      <c r="R52" s="945">
        <f>SUM(R49)</f>
        <v>0</v>
      </c>
      <c r="S52" s="945"/>
      <c r="T52" s="946">
        <f>T49</f>
        <v>0</v>
      </c>
      <c r="U52" s="947">
        <f>+U49</f>
        <v>239921.22335495829</v>
      </c>
      <c r="V52" s="947">
        <f>SUM(V49:V51)</f>
        <v>239921.22335495829</v>
      </c>
      <c r="W52" s="1113" t="s">
        <v>156</v>
      </c>
      <c r="X52" s="1114"/>
      <c r="Y52" s="1114">
        <v>100</v>
      </c>
      <c r="Z52" s="1115"/>
    </row>
    <row r="53" spans="1:27" ht="30" customHeight="1">
      <c r="A53" s="1307" t="s">
        <v>9</v>
      </c>
      <c r="B53" s="1309" t="s">
        <v>29</v>
      </c>
      <c r="C53" s="1256" t="s">
        <v>69</v>
      </c>
      <c r="D53" s="1448" t="s">
        <v>212</v>
      </c>
      <c r="E53" s="1443"/>
      <c r="F53" s="1435" t="s">
        <v>44</v>
      </c>
      <c r="G53" s="1116" t="s">
        <v>25</v>
      </c>
      <c r="H53" s="1117"/>
      <c r="I53" s="1118"/>
      <c r="J53" s="1118"/>
      <c r="K53" s="1119"/>
      <c r="L53" s="882">
        <f>297.2/3.4528*1000</f>
        <v>86075.069508804445</v>
      </c>
      <c r="M53" s="1085">
        <v>297.2</v>
      </c>
      <c r="N53" s="883"/>
      <c r="O53" s="884"/>
      <c r="P53" s="1087">
        <v>297.2</v>
      </c>
      <c r="Q53" s="886"/>
      <c r="R53" s="887"/>
      <c r="S53" s="887"/>
      <c r="T53" s="1088"/>
      <c r="U53" s="937"/>
      <c r="V53" s="937"/>
      <c r="W53" s="1437" t="s">
        <v>211</v>
      </c>
      <c r="X53" s="1439">
        <v>897.9</v>
      </c>
      <c r="Y53" s="421"/>
      <c r="Z53" s="422"/>
    </row>
    <row r="54" spans="1:27" ht="13.5" thickBot="1">
      <c r="A54" s="1308"/>
      <c r="B54" s="1310"/>
      <c r="C54" s="1258"/>
      <c r="D54" s="1449"/>
      <c r="E54" s="1444"/>
      <c r="F54" s="1436"/>
      <c r="G54" s="868" t="s">
        <v>10</v>
      </c>
      <c r="H54" s="1120"/>
      <c r="I54" s="1074"/>
      <c r="J54" s="873"/>
      <c r="K54" s="1075"/>
      <c r="L54" s="1076">
        <f>L53</f>
        <v>86075.069508804445</v>
      </c>
      <c r="M54" s="1077">
        <f t="shared" ref="M54:T54" si="19">M53</f>
        <v>297.2</v>
      </c>
      <c r="N54" s="1078">
        <f t="shared" si="19"/>
        <v>0</v>
      </c>
      <c r="O54" s="1121">
        <f t="shared" si="19"/>
        <v>0</v>
      </c>
      <c r="P54" s="1079">
        <f t="shared" si="19"/>
        <v>297.2</v>
      </c>
      <c r="Q54" s="1081">
        <f t="shared" si="19"/>
        <v>0</v>
      </c>
      <c r="R54" s="1121">
        <f t="shared" si="19"/>
        <v>0</v>
      </c>
      <c r="S54" s="1079">
        <f t="shared" si="19"/>
        <v>0</v>
      </c>
      <c r="T54" s="1078">
        <f t="shared" si="19"/>
        <v>0</v>
      </c>
      <c r="U54" s="1081"/>
      <c r="V54" s="1081"/>
      <c r="W54" s="1438"/>
      <c r="X54" s="1440"/>
      <c r="Y54" s="365"/>
      <c r="Z54" s="381"/>
    </row>
    <row r="55" spans="1:27" ht="15" customHeight="1">
      <c r="A55" s="1307" t="s">
        <v>9</v>
      </c>
      <c r="B55" s="1309" t="s">
        <v>29</v>
      </c>
      <c r="C55" s="1256" t="s">
        <v>101</v>
      </c>
      <c r="D55" s="1441" t="s">
        <v>158</v>
      </c>
      <c r="E55" s="1443" t="s">
        <v>32</v>
      </c>
      <c r="F55" s="1435" t="s">
        <v>43</v>
      </c>
      <c r="G55" s="1116" t="s">
        <v>31</v>
      </c>
      <c r="H55" s="1117"/>
      <c r="I55" s="1118"/>
      <c r="J55" s="1118"/>
      <c r="K55" s="1119"/>
      <c r="L55" s="882">
        <f>4726.4/3.4528*1000</f>
        <v>1368860.0556070434</v>
      </c>
      <c r="M55" s="1085">
        <f>N55+P55</f>
        <v>4726.3999999999996</v>
      </c>
      <c r="N55" s="883"/>
      <c r="O55" s="1086"/>
      <c r="P55" s="1087">
        <v>4726.3999999999996</v>
      </c>
      <c r="Q55" s="886"/>
      <c r="R55" s="887"/>
      <c r="S55" s="887"/>
      <c r="T55" s="1088"/>
      <c r="U55" s="937">
        <f>10730/3.4528*1000</f>
        <v>3107622.7988878591</v>
      </c>
      <c r="V55" s="937">
        <f>8098/3.4528*1000</f>
        <v>2345342.9101019464</v>
      </c>
      <c r="W55" s="1122"/>
      <c r="X55" s="379"/>
      <c r="Y55" s="421"/>
      <c r="Z55" s="422"/>
    </row>
    <row r="56" spans="1:27" ht="13.5" thickBot="1">
      <c r="A56" s="1308"/>
      <c r="B56" s="1310"/>
      <c r="C56" s="1258"/>
      <c r="D56" s="1442"/>
      <c r="E56" s="1444"/>
      <c r="F56" s="1436"/>
      <c r="G56" s="868" t="s">
        <v>10</v>
      </c>
      <c r="H56" s="1120"/>
      <c r="I56" s="1074"/>
      <c r="J56" s="873"/>
      <c r="K56" s="1075"/>
      <c r="L56" s="1076">
        <f>L55</f>
        <v>1368860.0556070434</v>
      </c>
      <c r="M56" s="1077">
        <f t="shared" ref="M56:V56" si="20">M55</f>
        <v>4726.3999999999996</v>
      </c>
      <c r="N56" s="1078">
        <f t="shared" si="20"/>
        <v>0</v>
      </c>
      <c r="O56" s="1121">
        <f t="shared" si="20"/>
        <v>0</v>
      </c>
      <c r="P56" s="1079">
        <f t="shared" si="20"/>
        <v>4726.3999999999996</v>
      </c>
      <c r="Q56" s="1081">
        <f t="shared" si="20"/>
        <v>0</v>
      </c>
      <c r="R56" s="1121">
        <f t="shared" si="20"/>
        <v>0</v>
      </c>
      <c r="S56" s="1079">
        <f t="shared" si="20"/>
        <v>0</v>
      </c>
      <c r="T56" s="1078">
        <f t="shared" si="20"/>
        <v>0</v>
      </c>
      <c r="U56" s="1081">
        <f t="shared" si="20"/>
        <v>3107622.7988878591</v>
      </c>
      <c r="V56" s="1081">
        <f t="shared" si="20"/>
        <v>2345342.9101019464</v>
      </c>
      <c r="W56" s="872"/>
      <c r="X56" s="380"/>
      <c r="Y56" s="365"/>
      <c r="Z56" s="381"/>
    </row>
    <row r="57" spans="1:27" ht="12.75">
      <c r="A57" s="1307" t="s">
        <v>9</v>
      </c>
      <c r="B57" s="1309" t="s">
        <v>29</v>
      </c>
      <c r="C57" s="1256" t="s">
        <v>157</v>
      </c>
      <c r="D57" s="1441" t="s">
        <v>202</v>
      </c>
      <c r="E57" s="1443" t="s">
        <v>32</v>
      </c>
      <c r="F57" s="1435" t="s">
        <v>43</v>
      </c>
      <c r="G57" s="1123" t="s">
        <v>31</v>
      </c>
      <c r="H57" s="1124"/>
      <c r="I57" s="975"/>
      <c r="J57" s="1125"/>
      <c r="K57" s="1023"/>
      <c r="L57" s="931">
        <f>260/3.4528*1000</f>
        <v>75301.204819277118</v>
      </c>
      <c r="M57" s="1100">
        <v>260</v>
      </c>
      <c r="N57" s="932"/>
      <c r="O57" s="1126"/>
      <c r="P57" s="1102">
        <v>260</v>
      </c>
      <c r="Q57" s="934"/>
      <c r="R57" s="1001"/>
      <c r="S57" s="935"/>
      <c r="T57" s="1001"/>
      <c r="U57" s="1103">
        <f>1220/3.4528*1000</f>
        <v>353336.42261353106</v>
      </c>
      <c r="V57" s="980">
        <f>3100/3.4528*1000</f>
        <v>897822.0574606118</v>
      </c>
      <c r="W57" s="1104" t="s">
        <v>183</v>
      </c>
      <c r="X57" s="1105">
        <v>1</v>
      </c>
      <c r="Y57" s="1105"/>
      <c r="Z57" s="1106"/>
    </row>
    <row r="58" spans="1:27" ht="17.25" customHeight="1">
      <c r="A58" s="1322"/>
      <c r="B58" s="1324"/>
      <c r="C58" s="1232"/>
      <c r="D58" s="1446"/>
      <c r="E58" s="1447"/>
      <c r="F58" s="1445"/>
      <c r="G58" s="1090"/>
      <c r="H58" s="1127"/>
      <c r="I58" s="985"/>
      <c r="J58" s="1128"/>
      <c r="K58" s="1129"/>
      <c r="L58" s="893"/>
      <c r="M58" s="1107"/>
      <c r="N58" s="894"/>
      <c r="O58" s="1130"/>
      <c r="P58" s="1109"/>
      <c r="Q58" s="961"/>
      <c r="R58" s="1005"/>
      <c r="S58" s="962"/>
      <c r="T58" s="1005"/>
      <c r="U58" s="941"/>
      <c r="V58" s="941"/>
      <c r="W58" s="1110" t="s">
        <v>160</v>
      </c>
      <c r="X58" s="1111"/>
      <c r="Y58" s="1111"/>
      <c r="Z58" s="1112">
        <v>100</v>
      </c>
    </row>
    <row r="59" spans="1:27" ht="17.25" customHeight="1">
      <c r="A59" s="1322"/>
      <c r="B59" s="1324"/>
      <c r="C59" s="1232"/>
      <c r="D59" s="1446"/>
      <c r="E59" s="1447"/>
      <c r="F59" s="1445"/>
      <c r="G59" s="1090"/>
      <c r="H59" s="1127"/>
      <c r="I59" s="985"/>
      <c r="J59" s="1128"/>
      <c r="K59" s="1129"/>
      <c r="L59" s="893"/>
      <c r="M59" s="1107"/>
      <c r="N59" s="894"/>
      <c r="O59" s="1130"/>
      <c r="P59" s="1109"/>
      <c r="Q59" s="961"/>
      <c r="R59" s="1005"/>
      <c r="S59" s="962"/>
      <c r="T59" s="1005"/>
      <c r="U59" s="941"/>
      <c r="V59" s="941"/>
      <c r="W59" s="1110" t="s">
        <v>178</v>
      </c>
      <c r="X59" s="1111"/>
      <c r="Y59" s="1111"/>
      <c r="Z59" s="1112">
        <v>5</v>
      </c>
    </row>
    <row r="60" spans="1:27" ht="14.25" customHeight="1" thickBot="1">
      <c r="A60" s="1308"/>
      <c r="B60" s="1310"/>
      <c r="C60" s="1258"/>
      <c r="D60" s="1442"/>
      <c r="E60" s="1444"/>
      <c r="F60" s="1436"/>
      <c r="G60" s="868" t="s">
        <v>10</v>
      </c>
      <c r="H60" s="1120"/>
      <c r="I60" s="1074"/>
      <c r="J60" s="873"/>
      <c r="K60" s="1075"/>
      <c r="L60" s="1076">
        <f>L57</f>
        <v>75301.204819277118</v>
      </c>
      <c r="M60" s="1077">
        <f t="shared" ref="M60:V60" si="21">M57</f>
        <v>260</v>
      </c>
      <c r="N60" s="1078">
        <f t="shared" si="21"/>
        <v>0</v>
      </c>
      <c r="O60" s="1121">
        <f t="shared" si="21"/>
        <v>0</v>
      </c>
      <c r="P60" s="1079">
        <f t="shared" si="21"/>
        <v>260</v>
      </c>
      <c r="Q60" s="1081">
        <f t="shared" si="21"/>
        <v>0</v>
      </c>
      <c r="R60" s="1121">
        <f t="shared" si="21"/>
        <v>0</v>
      </c>
      <c r="S60" s="1079">
        <f t="shared" si="21"/>
        <v>0</v>
      </c>
      <c r="T60" s="1078">
        <f t="shared" si="21"/>
        <v>0</v>
      </c>
      <c r="U60" s="1081">
        <f t="shared" si="21"/>
        <v>353336.42261353106</v>
      </c>
      <c r="V60" s="1081">
        <f t="shared" si="21"/>
        <v>897822.0574606118</v>
      </c>
      <c r="W60" s="1110" t="s">
        <v>179</v>
      </c>
      <c r="X60" s="1111"/>
      <c r="Y60" s="1111"/>
      <c r="Z60" s="1112">
        <v>293</v>
      </c>
    </row>
    <row r="61" spans="1:27" ht="21.75" customHeight="1">
      <c r="A61" s="1307" t="s">
        <v>9</v>
      </c>
      <c r="B61" s="1309" t="s">
        <v>29</v>
      </c>
      <c r="C61" s="1256" t="s">
        <v>24</v>
      </c>
      <c r="D61" s="1441" t="s">
        <v>203</v>
      </c>
      <c r="E61" s="1443" t="s">
        <v>32</v>
      </c>
      <c r="F61" s="1435" t="s">
        <v>43</v>
      </c>
      <c r="G61" s="1116" t="s">
        <v>31</v>
      </c>
      <c r="H61" s="1131"/>
      <c r="I61" s="1118"/>
      <c r="J61" s="1132"/>
      <c r="K61" s="1119"/>
      <c r="L61" s="882">
        <f>571.4/3.4528*1000</f>
        <v>165488.87859128823</v>
      </c>
      <c r="M61" s="1085">
        <v>571.4</v>
      </c>
      <c r="N61" s="883"/>
      <c r="O61" s="1133"/>
      <c r="P61" s="1087">
        <v>571.4</v>
      </c>
      <c r="Q61" s="886"/>
      <c r="R61" s="1134"/>
      <c r="S61" s="887"/>
      <c r="T61" s="1134"/>
      <c r="U61" s="937"/>
      <c r="V61" s="1089"/>
      <c r="W61" s="1104" t="s">
        <v>180</v>
      </c>
      <c r="X61" s="1105">
        <v>1</v>
      </c>
      <c r="Y61" s="1105"/>
      <c r="Z61" s="1106"/>
    </row>
    <row r="62" spans="1:27" ht="17.25" customHeight="1" thickBot="1">
      <c r="A62" s="1308"/>
      <c r="B62" s="1310"/>
      <c r="C62" s="1258"/>
      <c r="D62" s="1442"/>
      <c r="E62" s="1444"/>
      <c r="F62" s="1436"/>
      <c r="G62" s="868" t="s">
        <v>10</v>
      </c>
      <c r="H62" s="1120"/>
      <c r="I62" s="1074"/>
      <c r="J62" s="873"/>
      <c r="K62" s="1075"/>
      <c r="L62" s="1076">
        <f>L61</f>
        <v>165488.87859128823</v>
      </c>
      <c r="M62" s="1077">
        <f t="shared" ref="M62:T62" si="22">M61</f>
        <v>571.4</v>
      </c>
      <c r="N62" s="1078">
        <f t="shared" si="22"/>
        <v>0</v>
      </c>
      <c r="O62" s="1121">
        <f t="shared" si="22"/>
        <v>0</v>
      </c>
      <c r="P62" s="1079">
        <f t="shared" si="22"/>
        <v>571.4</v>
      </c>
      <c r="Q62" s="1081">
        <f t="shared" si="22"/>
        <v>0</v>
      </c>
      <c r="R62" s="1121">
        <f t="shared" si="22"/>
        <v>0</v>
      </c>
      <c r="S62" s="1079">
        <f t="shared" si="22"/>
        <v>0</v>
      </c>
      <c r="T62" s="1078">
        <f t="shared" si="22"/>
        <v>0</v>
      </c>
      <c r="U62" s="1081"/>
      <c r="V62" s="1081"/>
      <c r="W62" s="1113" t="s">
        <v>181</v>
      </c>
      <c r="X62" s="1114">
        <v>22</v>
      </c>
      <c r="Y62" s="1114"/>
      <c r="Z62" s="1115"/>
    </row>
    <row r="63" spans="1:27" ht="14.25" customHeight="1">
      <c r="A63" s="1307" t="s">
        <v>9</v>
      </c>
      <c r="B63" s="1309" t="s">
        <v>29</v>
      </c>
      <c r="C63" s="1256" t="s">
        <v>161</v>
      </c>
      <c r="D63" s="1441" t="s">
        <v>204</v>
      </c>
      <c r="E63" s="1443" t="s">
        <v>32</v>
      </c>
      <c r="F63" s="1435" t="s">
        <v>43</v>
      </c>
      <c r="G63" s="1116" t="s">
        <v>31</v>
      </c>
      <c r="H63" s="1131"/>
      <c r="I63" s="1118"/>
      <c r="J63" s="1132"/>
      <c r="K63" s="1119"/>
      <c r="L63" s="882">
        <f>82.8/3.4528*1000</f>
        <v>23980.5375347544</v>
      </c>
      <c r="M63" s="1085">
        <v>82.8</v>
      </c>
      <c r="N63" s="883">
        <v>82.8</v>
      </c>
      <c r="O63" s="1133"/>
      <c r="P63" s="1087"/>
      <c r="Q63" s="886"/>
      <c r="R63" s="1134"/>
      <c r="S63" s="887"/>
      <c r="T63" s="1134"/>
      <c r="U63" s="937"/>
      <c r="V63" s="1089"/>
      <c r="W63" s="1437" t="s">
        <v>165</v>
      </c>
      <c r="X63" s="1439">
        <v>100</v>
      </c>
      <c r="Y63" s="421"/>
      <c r="Z63" s="422"/>
    </row>
    <row r="64" spans="1:27" ht="24" customHeight="1" thickBot="1">
      <c r="A64" s="1308"/>
      <c r="B64" s="1310"/>
      <c r="C64" s="1258"/>
      <c r="D64" s="1442"/>
      <c r="E64" s="1444"/>
      <c r="F64" s="1436"/>
      <c r="G64" s="868" t="s">
        <v>10</v>
      </c>
      <c r="H64" s="1120"/>
      <c r="I64" s="1074"/>
      <c r="J64" s="873"/>
      <c r="K64" s="1075"/>
      <c r="L64" s="1076">
        <f>L63</f>
        <v>23980.5375347544</v>
      </c>
      <c r="M64" s="1077">
        <f t="shared" ref="M64:T64" si="23">M63</f>
        <v>82.8</v>
      </c>
      <c r="N64" s="1078">
        <f t="shared" si="23"/>
        <v>82.8</v>
      </c>
      <c r="O64" s="1121">
        <f t="shared" si="23"/>
        <v>0</v>
      </c>
      <c r="P64" s="1079">
        <f t="shared" si="23"/>
        <v>0</v>
      </c>
      <c r="Q64" s="1081">
        <f t="shared" si="23"/>
        <v>0</v>
      </c>
      <c r="R64" s="1121">
        <f t="shared" si="23"/>
        <v>0</v>
      </c>
      <c r="S64" s="1079">
        <f t="shared" si="23"/>
        <v>0</v>
      </c>
      <c r="T64" s="1078">
        <f t="shared" si="23"/>
        <v>0</v>
      </c>
      <c r="U64" s="1081"/>
      <c r="V64" s="1081"/>
      <c r="W64" s="1438"/>
      <c r="X64" s="1440"/>
      <c r="Y64" s="365"/>
      <c r="Z64" s="381"/>
    </row>
    <row r="65" spans="1:26" ht="16.5" customHeight="1" thickBot="1">
      <c r="A65" s="105" t="s">
        <v>9</v>
      </c>
      <c r="B65" s="5" t="s">
        <v>29</v>
      </c>
      <c r="C65" s="1270" t="s">
        <v>12</v>
      </c>
      <c r="D65" s="1271"/>
      <c r="E65" s="1271"/>
      <c r="F65" s="1271"/>
      <c r="G65" s="1272"/>
      <c r="H65" s="1135" t="e">
        <f>#REF!+#REF!+H64+H62+H60+H56+H45+H52+H48+H54</f>
        <v>#REF!</v>
      </c>
      <c r="I65" s="1136"/>
      <c r="J65" s="1137"/>
      <c r="K65" s="1138" t="e">
        <f>#REF!+#REF!+K64+K62+K60+K56+K45+K52+K48+K54</f>
        <v>#REF!</v>
      </c>
      <c r="L65" s="1157">
        <f>L64+L62+L60+L56+L54+L52+L48+L45</f>
        <v>1979234.2446709916</v>
      </c>
      <c r="M65" s="1158">
        <f>M64+M62+M60+M56+M54+M52+M48+M45</f>
        <v>6833.9</v>
      </c>
      <c r="N65" s="1159">
        <f t="shared" ref="N65:V65" si="24">N64+N62+N60+N56+N54+N52+N48+N45</f>
        <v>82.8</v>
      </c>
      <c r="O65" s="1159">
        <f t="shared" si="24"/>
        <v>0</v>
      </c>
      <c r="P65" s="1159">
        <f t="shared" si="24"/>
        <v>6751.0999999999995</v>
      </c>
      <c r="Q65" s="1159">
        <f t="shared" si="24"/>
        <v>0</v>
      </c>
      <c r="R65" s="1159">
        <f t="shared" si="24"/>
        <v>0</v>
      </c>
      <c r="S65" s="1159">
        <f t="shared" si="24"/>
        <v>0</v>
      </c>
      <c r="T65" s="1159">
        <f t="shared" si="24"/>
        <v>0</v>
      </c>
      <c r="U65" s="1159">
        <f t="shared" si="24"/>
        <v>3742325.0695088045</v>
      </c>
      <c r="V65" s="1159">
        <f t="shared" si="24"/>
        <v>3483086.1909175166</v>
      </c>
      <c r="W65" s="1423"/>
      <c r="X65" s="1424"/>
      <c r="Y65" s="1424"/>
      <c r="Z65" s="1425"/>
    </row>
    <row r="66" spans="1:26" ht="13.5" thickBot="1">
      <c r="A66" s="869" t="s">
        <v>9</v>
      </c>
      <c r="B66" s="1352" t="s">
        <v>13</v>
      </c>
      <c r="C66" s="1353"/>
      <c r="D66" s="1353"/>
      <c r="E66" s="1353"/>
      <c r="F66" s="1353"/>
      <c r="G66" s="1354"/>
      <c r="H66" s="1139" t="e">
        <f>I66+K66</f>
        <v>#REF!</v>
      </c>
      <c r="I66" s="1140">
        <f t="shared" ref="I66:P66" si="25">SUM(I65,I41,I27)</f>
        <v>4866.7999999999993</v>
      </c>
      <c r="J66" s="1141">
        <f t="shared" si="25"/>
        <v>2544</v>
      </c>
      <c r="K66" s="1142" t="e">
        <f t="shared" si="25"/>
        <v>#REF!</v>
      </c>
      <c r="L66" s="1143">
        <f>L65+L41+L27</f>
        <v>3389828.5449490268</v>
      </c>
      <c r="M66" s="1144">
        <f t="shared" si="25"/>
        <v>11704.4</v>
      </c>
      <c r="N66" s="1145">
        <f t="shared" si="25"/>
        <v>4896.7</v>
      </c>
      <c r="O66" s="1144">
        <f t="shared" si="25"/>
        <v>2682.7</v>
      </c>
      <c r="P66" s="1146">
        <f t="shared" si="25"/>
        <v>6807.7</v>
      </c>
      <c r="Q66" s="1147">
        <f>R66+T66</f>
        <v>0</v>
      </c>
      <c r="R66" s="1145">
        <f>SUM(R65,R41,R27)</f>
        <v>0</v>
      </c>
      <c r="S66" s="1144">
        <f>SUM(S65,S41,S27)</f>
        <v>0</v>
      </c>
      <c r="T66" s="1146">
        <f>SUM(T65,T41,T27)</f>
        <v>0</v>
      </c>
      <c r="U66" s="1143">
        <f>U65+U41+U27</f>
        <v>5183734.9397590356</v>
      </c>
      <c r="V66" s="1144">
        <f>V65+V41+V27</f>
        <v>4924496.0611677477</v>
      </c>
      <c r="W66" s="1426"/>
      <c r="X66" s="1427"/>
      <c r="Y66" s="1427"/>
      <c r="Z66" s="1428"/>
    </row>
    <row r="67" spans="1:26" ht="13.5" thickBot="1">
      <c r="A67" s="11" t="s">
        <v>30</v>
      </c>
      <c r="B67" s="1339" t="s">
        <v>14</v>
      </c>
      <c r="C67" s="1340"/>
      <c r="D67" s="1340"/>
      <c r="E67" s="1340"/>
      <c r="F67" s="1340"/>
      <c r="G67" s="1341"/>
      <c r="H67" s="1148" t="e">
        <f>I67+K67</f>
        <v>#REF!</v>
      </c>
      <c r="I67" s="1149">
        <f t="shared" ref="I67:P67" si="26">I66</f>
        <v>4866.7999999999993</v>
      </c>
      <c r="J67" s="1150">
        <f t="shared" si="26"/>
        <v>2544</v>
      </c>
      <c r="K67" s="1151" t="e">
        <f t="shared" si="26"/>
        <v>#REF!</v>
      </c>
      <c r="L67" s="1152">
        <f>L66</f>
        <v>3389828.5449490268</v>
      </c>
      <c r="M67" s="1153">
        <f t="shared" si="26"/>
        <v>11704.4</v>
      </c>
      <c r="N67" s="1154">
        <f t="shared" si="26"/>
        <v>4896.7</v>
      </c>
      <c r="O67" s="1153">
        <f t="shared" si="26"/>
        <v>2682.7</v>
      </c>
      <c r="P67" s="1155">
        <f t="shared" si="26"/>
        <v>6807.7</v>
      </c>
      <c r="Q67" s="1156">
        <f>R67+T67</f>
        <v>0</v>
      </c>
      <c r="R67" s="1154">
        <f>R66</f>
        <v>0</v>
      </c>
      <c r="S67" s="1153">
        <f>S66</f>
        <v>0</v>
      </c>
      <c r="T67" s="1155">
        <f>T66</f>
        <v>0</v>
      </c>
      <c r="U67" s="1152">
        <f>U66</f>
        <v>5183734.9397590356</v>
      </c>
      <c r="V67" s="1153">
        <f>V66</f>
        <v>4924496.0611677477</v>
      </c>
      <c r="W67" s="1429"/>
      <c r="X67" s="1430"/>
      <c r="Y67" s="1430"/>
      <c r="Z67" s="1431"/>
    </row>
    <row r="68" spans="1:26" s="613" customFormat="1">
      <c r="A68" s="788"/>
      <c r="B68" s="790"/>
      <c r="C68" s="790"/>
      <c r="D68" s="790"/>
      <c r="E68" s="790"/>
      <c r="F68" s="790"/>
      <c r="G68" s="790"/>
      <c r="H68" s="791"/>
      <c r="I68" s="791"/>
      <c r="J68" s="791"/>
      <c r="K68" s="791"/>
      <c r="L68" s="853"/>
      <c r="M68" s="853"/>
      <c r="N68" s="853"/>
      <c r="O68" s="853"/>
      <c r="P68" s="853"/>
      <c r="Q68" s="853"/>
      <c r="R68" s="853"/>
      <c r="S68" s="853"/>
      <c r="T68" s="853"/>
      <c r="U68" s="853"/>
      <c r="V68" s="853"/>
      <c r="W68" s="789"/>
      <c r="X68" s="789"/>
      <c r="Y68" s="789"/>
      <c r="Z68" s="789"/>
    </row>
    <row r="69" spans="1:26" ht="12.75" thickBot="1">
      <c r="A69" s="598"/>
      <c r="B69" s="1413" t="s">
        <v>18</v>
      </c>
      <c r="C69" s="1413"/>
      <c r="D69" s="1413"/>
      <c r="E69" s="1413"/>
      <c r="F69" s="1413"/>
      <c r="G69" s="1413"/>
      <c r="H69" s="1414"/>
      <c r="I69" s="1414"/>
      <c r="J69" s="1414"/>
      <c r="K69" s="1414"/>
      <c r="L69" s="1414"/>
      <c r="M69" s="1414"/>
      <c r="N69" s="1414"/>
      <c r="O69" s="1414"/>
      <c r="P69" s="1414"/>
      <c r="Q69" s="1414"/>
      <c r="R69" s="1414"/>
      <c r="S69" s="1414"/>
      <c r="T69" s="1414"/>
      <c r="U69" s="1414"/>
      <c r="V69" s="1414"/>
      <c r="W69" s="599"/>
      <c r="X69" s="599"/>
      <c r="Y69" s="599"/>
    </row>
    <row r="70" spans="1:26" ht="36.75" customHeight="1">
      <c r="A70" s="1432" t="s">
        <v>15</v>
      </c>
      <c r="B70" s="1433"/>
      <c r="C70" s="1433"/>
      <c r="D70" s="1433"/>
      <c r="E70" s="1433"/>
      <c r="F70" s="1433"/>
      <c r="G70" s="1434"/>
      <c r="H70" s="1415" t="s">
        <v>98</v>
      </c>
      <c r="I70" s="1416"/>
      <c r="J70" s="1416"/>
      <c r="K70" s="1417"/>
      <c r="L70" s="864" t="s">
        <v>196</v>
      </c>
      <c r="M70" s="1418" t="s">
        <v>138</v>
      </c>
      <c r="N70" s="1419"/>
      <c r="O70" s="1419"/>
      <c r="P70" s="1420"/>
      <c r="Q70" s="1418" t="s">
        <v>138</v>
      </c>
      <c r="R70" s="1419"/>
      <c r="S70" s="1419"/>
      <c r="T70" s="1421"/>
      <c r="U70" s="865" t="s">
        <v>194</v>
      </c>
      <c r="V70" s="865" t="s">
        <v>195</v>
      </c>
      <c r="W70" s="782"/>
      <c r="X70" s="1422"/>
      <c r="Y70" s="1422"/>
    </row>
    <row r="71" spans="1:26" ht="12" customHeight="1">
      <c r="A71" s="1381" t="s">
        <v>19</v>
      </c>
      <c r="B71" s="1382"/>
      <c r="C71" s="1382"/>
      <c r="D71" s="1382"/>
      <c r="E71" s="1382"/>
      <c r="F71" s="1382"/>
      <c r="G71" s="1383"/>
      <c r="H71" s="1408">
        <f>SUM(H72:K76)</f>
        <v>5694.7</v>
      </c>
      <c r="I71" s="1408"/>
      <c r="J71" s="1408"/>
      <c r="K71" s="1409"/>
      <c r="L71" s="854">
        <f>SUM(L72:L76)</f>
        <v>1631400.6024096385</v>
      </c>
      <c r="M71" s="1412">
        <f>SUM(M72:P76)</f>
        <v>5632.9</v>
      </c>
      <c r="N71" s="1410"/>
      <c r="O71" s="1410"/>
      <c r="P71" s="1411"/>
      <c r="Q71" s="1412">
        <f>SUM(Q72:T76)</f>
        <v>0</v>
      </c>
      <c r="R71" s="1410"/>
      <c r="S71" s="1410"/>
      <c r="T71" s="1410"/>
      <c r="U71" s="855">
        <f>SUM(U72:U76)</f>
        <v>1482854.4949026876</v>
      </c>
      <c r="V71" s="855">
        <f>SUM(V72:V75)</f>
        <v>1441409.8702502316</v>
      </c>
      <c r="W71" s="784"/>
      <c r="X71" s="1389"/>
      <c r="Y71" s="1389"/>
    </row>
    <row r="72" spans="1:26" ht="12" customHeight="1">
      <c r="A72" s="1375" t="s">
        <v>168</v>
      </c>
      <c r="B72" s="1376"/>
      <c r="C72" s="1376"/>
      <c r="D72" s="1376"/>
      <c r="E72" s="1376"/>
      <c r="F72" s="1376"/>
      <c r="G72" s="1377"/>
      <c r="H72" s="1395">
        <f>SUMIF(G12:G52,G12,H12:H52)</f>
        <v>36.799999999999997</v>
      </c>
      <c r="I72" s="1395"/>
      <c r="J72" s="1395"/>
      <c r="K72" s="1396"/>
      <c r="L72" s="856">
        <f>SUMIF(G12:G63,"sb",L12:L63)</f>
        <v>96733.086190917515</v>
      </c>
      <c r="M72" s="1397">
        <f>SUMIF(G12:G64,"sb",M12:M64)</f>
        <v>334</v>
      </c>
      <c r="N72" s="1398"/>
      <c r="O72" s="1398"/>
      <c r="P72" s="1399"/>
      <c r="Q72" s="1397">
        <f>SUMIF(G12:G45,"SB",Q12:Q45)</f>
        <v>0</v>
      </c>
      <c r="R72" s="1398"/>
      <c r="S72" s="1398"/>
      <c r="T72" s="1398"/>
      <c r="U72" s="857">
        <f>SUMIF(G12:G64,"SB",U12:U64)</f>
        <v>56968.257645968486</v>
      </c>
      <c r="V72" s="857">
        <f>SUMIF(G12:G64,G12,V12:V64)</f>
        <v>56968.257645968486</v>
      </c>
      <c r="W72" s="781"/>
      <c r="X72" s="1372"/>
      <c r="Y72" s="1372"/>
    </row>
    <row r="73" spans="1:26" ht="12" customHeight="1">
      <c r="A73" s="1375" t="s">
        <v>169</v>
      </c>
      <c r="B73" s="1376"/>
      <c r="C73" s="1376"/>
      <c r="D73" s="1376"/>
      <c r="E73" s="1376"/>
      <c r="F73" s="1376"/>
      <c r="G73" s="1377"/>
      <c r="H73" s="1395">
        <f>SUMIF(G12:G52,G13,H12:H52)</f>
        <v>318</v>
      </c>
      <c r="I73" s="1395"/>
      <c r="J73" s="1395"/>
      <c r="K73" s="1396"/>
      <c r="L73" s="856">
        <f>SUMIF(G12:G63,"sb(aa)",L12:L63)</f>
        <v>96153.846153846156</v>
      </c>
      <c r="M73" s="1397">
        <f>SUMIF(G12:G64,G13,M12:M64)</f>
        <v>332</v>
      </c>
      <c r="N73" s="1398"/>
      <c r="O73" s="1398"/>
      <c r="P73" s="1399"/>
      <c r="Q73" s="1397">
        <f>SUMIF(G12:G65,"SB(AA)",Q12:Q65)</f>
        <v>0</v>
      </c>
      <c r="R73" s="1398"/>
      <c r="S73" s="1398"/>
      <c r="T73" s="1398"/>
      <c r="U73" s="857">
        <f>SUMIF(G12:G64,G13,U12:U64)</f>
        <v>96153.846153846156</v>
      </c>
      <c r="V73" s="857">
        <f>SUMIF(G12:G64,G13,V12:V64)</f>
        <v>96153.846153846156</v>
      </c>
      <c r="W73" s="781"/>
      <c r="X73" s="1372"/>
      <c r="Y73" s="1372"/>
    </row>
    <row r="74" spans="1:26" ht="12" customHeight="1">
      <c r="A74" s="1375" t="s">
        <v>172</v>
      </c>
      <c r="B74" s="1376"/>
      <c r="C74" s="1376"/>
      <c r="D74" s="1376"/>
      <c r="E74" s="1376"/>
      <c r="F74" s="1376"/>
      <c r="G74" s="1377"/>
      <c r="H74" s="1395">
        <f>SUMIF(G12:G52,"sb(sp)",H12:H52)</f>
        <v>0</v>
      </c>
      <c r="I74" s="1395"/>
      <c r="J74" s="1395"/>
      <c r="K74" s="1396"/>
      <c r="L74" s="856">
        <f>SUMIF(G12:G63,"sb(sp)",L12:L63)</f>
        <v>24038.461538461539</v>
      </c>
      <c r="M74" s="1397">
        <f>SUMIF(G12:G64,"sb(sp)",M12:M64)</f>
        <v>83</v>
      </c>
      <c r="N74" s="1398"/>
      <c r="O74" s="1398"/>
      <c r="P74" s="1399"/>
      <c r="Q74" s="1397">
        <f>SUMIF(G12:G45,"SB(SP)",Q12:Q45)</f>
        <v>0</v>
      </c>
      <c r="R74" s="1398"/>
      <c r="S74" s="1398"/>
      <c r="T74" s="1398"/>
      <c r="U74" s="857">
        <f>SUMIF(G12:G64,"sb(sp)",U12:U64)</f>
        <v>24038.461538461539</v>
      </c>
      <c r="V74" s="857">
        <f>SUMIF(G12:G45,"sb(sp)",V12:V45)</f>
        <v>24038.461538461539</v>
      </c>
      <c r="W74" s="781"/>
      <c r="X74" s="1372"/>
      <c r="Y74" s="1372"/>
    </row>
    <row r="75" spans="1:26" ht="12" customHeight="1">
      <c r="A75" s="1375" t="s">
        <v>173</v>
      </c>
      <c r="B75" s="1376"/>
      <c r="C75" s="1376"/>
      <c r="D75" s="1376"/>
      <c r="E75" s="1376"/>
      <c r="F75" s="1376"/>
      <c r="G75" s="1377"/>
      <c r="H75" s="1395">
        <f>SUMIF(G12:G45,"sb(vb)",H12:H45)</f>
        <v>5339.9</v>
      </c>
      <c r="I75" s="1395"/>
      <c r="J75" s="1395"/>
      <c r="K75" s="1396"/>
      <c r="L75" s="856">
        <f>SUMIF(G12:G63,"sb(vb)",L12:L63)</f>
        <v>1342070.2038924929</v>
      </c>
      <c r="M75" s="1397">
        <f>SUMIF(G12:G64,"sb(vb)",M12:M64)</f>
        <v>4633.8999999999996</v>
      </c>
      <c r="N75" s="1398"/>
      <c r="O75" s="1398"/>
      <c r="P75" s="1399"/>
      <c r="Q75" s="1397">
        <f>SUMIF(G12:G45,"SB(VB)",Q12:Q45)</f>
        <v>0</v>
      </c>
      <c r="R75" s="1398"/>
      <c r="S75" s="1398"/>
      <c r="T75" s="1398"/>
      <c r="U75" s="857">
        <f>SUMIF(G12:G49,G29,U12:U49)</f>
        <v>1264249.3049119555</v>
      </c>
      <c r="V75" s="857">
        <f>SUMIF(G12:G45,G29,V12:V45)</f>
        <v>1264249.3049119555</v>
      </c>
      <c r="W75" s="781"/>
      <c r="X75" s="1372"/>
      <c r="Y75" s="1372"/>
    </row>
    <row r="76" spans="1:26" ht="12" customHeight="1">
      <c r="A76" s="1378" t="s">
        <v>174</v>
      </c>
      <c r="B76" s="1379"/>
      <c r="C76" s="1379"/>
      <c r="D76" s="1379"/>
      <c r="E76" s="1379"/>
      <c r="F76" s="1379"/>
      <c r="G76" s="1380"/>
      <c r="H76" s="1406">
        <f>SUMIF(G12:G64,"pf",H12:H64)</f>
        <v>0</v>
      </c>
      <c r="I76" s="1406"/>
      <c r="J76" s="1406"/>
      <c r="K76" s="1407"/>
      <c r="L76" s="858">
        <f>SUMIF(G12:G63,"pf",L12:L63)</f>
        <v>72405.004633920296</v>
      </c>
      <c r="M76" s="1392">
        <f>SUMIF(G12:G64,"pf",M12:M64)</f>
        <v>250</v>
      </c>
      <c r="N76" s="1393"/>
      <c r="O76" s="1393"/>
      <c r="P76" s="1394"/>
      <c r="Q76" s="1392">
        <f>SUMIF(G12:G49,"pf",Q12:Q49)</f>
        <v>0</v>
      </c>
      <c r="R76" s="1393"/>
      <c r="S76" s="1393"/>
      <c r="T76" s="1393"/>
      <c r="U76" s="859">
        <f>SUMIF(G12:G64,"pf",U12:U64)</f>
        <v>41444.624652455976</v>
      </c>
      <c r="V76" s="859"/>
      <c r="W76" s="781"/>
      <c r="X76" s="781"/>
      <c r="Y76" s="781"/>
    </row>
    <row r="77" spans="1:26" ht="12" customHeight="1">
      <c r="A77" s="1381" t="s">
        <v>20</v>
      </c>
      <c r="B77" s="1382"/>
      <c r="C77" s="1382"/>
      <c r="D77" s="1382"/>
      <c r="E77" s="1382"/>
      <c r="F77" s="1382"/>
      <c r="G77" s="1383"/>
      <c r="H77" s="1408">
        <f ca="1">SUM(H79:H80)</f>
        <v>1462.5</v>
      </c>
      <c r="I77" s="1408"/>
      <c r="J77" s="1408"/>
      <c r="K77" s="1409"/>
      <c r="L77" s="854">
        <f>SUM(L78:L80)</f>
        <v>1758427.9425393885</v>
      </c>
      <c r="M77" s="1410">
        <f>SUM(M78:P80)</f>
        <v>6071.5</v>
      </c>
      <c r="N77" s="1410"/>
      <c r="O77" s="1410"/>
      <c r="P77" s="1411"/>
      <c r="Q77" s="1412">
        <f>SUM(Q79:Q80)</f>
        <v>0</v>
      </c>
      <c r="R77" s="1410"/>
      <c r="S77" s="1410"/>
      <c r="T77" s="1410"/>
      <c r="U77" s="855">
        <f>SUM(U79:U80)</f>
        <v>3700880.4448563484</v>
      </c>
      <c r="V77" s="855">
        <f>SUM(V79:V80)</f>
        <v>3483086.1909175166</v>
      </c>
      <c r="W77" s="784"/>
      <c r="X77" s="1389"/>
      <c r="Y77" s="1389"/>
    </row>
    <row r="78" spans="1:26" s="613" customFormat="1" ht="12" customHeight="1">
      <c r="A78" s="1400" t="s">
        <v>177</v>
      </c>
      <c r="B78" s="1401"/>
      <c r="C78" s="1401"/>
      <c r="D78" s="1401"/>
      <c r="E78" s="1401"/>
      <c r="F78" s="1401"/>
      <c r="G78" s="1402"/>
      <c r="H78" s="1390"/>
      <c r="I78" s="1390"/>
      <c r="J78" s="1390"/>
      <c r="K78" s="1391"/>
      <c r="L78" s="858">
        <f>SUMIF(G12:G63,"psdf",L12:L63)</f>
        <v>1071.5940685820206</v>
      </c>
      <c r="M78" s="1392">
        <f>SUMIF(G12:G64,"psdf",M12:M64)</f>
        <v>3.7</v>
      </c>
      <c r="N78" s="1393"/>
      <c r="O78" s="1393"/>
      <c r="P78" s="1394"/>
      <c r="Q78" s="1392">
        <f>SUMIF(K12:K64,"psdf",Q12:Q64)</f>
        <v>0</v>
      </c>
      <c r="R78" s="1393"/>
      <c r="S78" s="1393"/>
      <c r="T78" s="1393"/>
      <c r="U78" s="860"/>
      <c r="V78" s="860"/>
      <c r="W78" s="614"/>
      <c r="X78" s="614"/>
      <c r="Y78" s="612"/>
    </row>
    <row r="79" spans="1:26" ht="12" customHeight="1">
      <c r="A79" s="1375" t="s">
        <v>175</v>
      </c>
      <c r="B79" s="1376"/>
      <c r="C79" s="1376"/>
      <c r="D79" s="1376"/>
      <c r="E79" s="1376"/>
      <c r="F79" s="1376"/>
      <c r="G79" s="1377"/>
      <c r="H79" s="1395">
        <f>SUMIF(G12:G49,"es",H12:H49)</f>
        <v>1169.5</v>
      </c>
      <c r="I79" s="1395"/>
      <c r="J79" s="1395"/>
      <c r="K79" s="1396"/>
      <c r="L79" s="856">
        <f>SUMIF(G12:G63,"es",L12:L63)</f>
        <v>117759.49953660797</v>
      </c>
      <c r="M79" s="1397">
        <f>SUMIF(G12:G64,"es",M12:M64)</f>
        <v>406.6</v>
      </c>
      <c r="N79" s="1398"/>
      <c r="O79" s="1398"/>
      <c r="P79" s="1399"/>
      <c r="Q79" s="1397">
        <f>SUMIF(G12:G49,"es",Q12:Q49)</f>
        <v>0</v>
      </c>
      <c r="R79" s="1398"/>
      <c r="S79" s="1398"/>
      <c r="T79" s="1398"/>
      <c r="U79" s="857">
        <f>SUMIF(G12:G49,"es",U12:U49)</f>
        <v>239921.22335495829</v>
      </c>
      <c r="V79" s="857">
        <f>SUMIF(G12:G49,"es",V12:V49)</f>
        <v>239921.22335495829</v>
      </c>
      <c r="W79" s="781"/>
      <c r="X79" s="781"/>
      <c r="Y79" s="781"/>
    </row>
    <row r="80" spans="1:26" ht="12" customHeight="1">
      <c r="A80" s="1375" t="s">
        <v>176</v>
      </c>
      <c r="B80" s="1376"/>
      <c r="C80" s="1376"/>
      <c r="D80" s="1376"/>
      <c r="E80" s="1376"/>
      <c r="F80" s="1376"/>
      <c r="G80" s="1377"/>
      <c r="H80" s="1395">
        <f ca="1">SUMIF(G12:G49,"kt",H12:H42)</f>
        <v>293</v>
      </c>
      <c r="I80" s="1395"/>
      <c r="J80" s="1395"/>
      <c r="K80" s="1396"/>
      <c r="L80" s="856">
        <f>SUMIF(G12:G63,"kt",L12:L63)</f>
        <v>1639596.8489341985</v>
      </c>
      <c r="M80" s="1397">
        <f>SUMIF(G12:G64,"kt",M12:M64)</f>
        <v>5661.2</v>
      </c>
      <c r="N80" s="1398"/>
      <c r="O80" s="1398"/>
      <c r="P80" s="1399"/>
      <c r="Q80" s="1397">
        <f>SUMIF(G12:G65,"KT",Q12:Q65)</f>
        <v>0</v>
      </c>
      <c r="R80" s="1398"/>
      <c r="S80" s="1398"/>
      <c r="T80" s="1398"/>
      <c r="U80" s="857">
        <f>SUMIF(G12:G64,G43,U12:U64)</f>
        <v>3460959.22150139</v>
      </c>
      <c r="V80" s="857">
        <f>SUMIF(G12:G64,G43,V12:V64)</f>
        <v>3243164.9675625581</v>
      </c>
      <c r="W80" s="781"/>
      <c r="X80" s="1372"/>
      <c r="Y80" s="1372"/>
    </row>
    <row r="81" spans="1:25" ht="12.75" customHeight="1" thickBot="1">
      <c r="A81" s="1403" t="s">
        <v>21</v>
      </c>
      <c r="B81" s="1404"/>
      <c r="C81" s="1404"/>
      <c r="D81" s="1404"/>
      <c r="E81" s="1404"/>
      <c r="F81" s="1404"/>
      <c r="G81" s="1405"/>
      <c r="H81" s="1384">
        <f ca="1">SUM(H71,H77)</f>
        <v>7157.2</v>
      </c>
      <c r="I81" s="1384"/>
      <c r="J81" s="1384"/>
      <c r="K81" s="1385"/>
      <c r="L81" s="852">
        <f>L77+L71</f>
        <v>3389828.5449490268</v>
      </c>
      <c r="M81" s="1386">
        <f>SUM(M71,M77)</f>
        <v>11704.4</v>
      </c>
      <c r="N81" s="1387"/>
      <c r="O81" s="1387"/>
      <c r="P81" s="1388"/>
      <c r="Q81" s="1386">
        <f>SUM(Q71,Q77)</f>
        <v>0</v>
      </c>
      <c r="R81" s="1387"/>
      <c r="S81" s="1387"/>
      <c r="T81" s="1387"/>
      <c r="U81" s="851">
        <f>U71+U77</f>
        <v>5183734.9397590365</v>
      </c>
      <c r="V81" s="851">
        <f>V77+V71</f>
        <v>4924496.0611677486</v>
      </c>
      <c r="W81" s="784"/>
      <c r="X81" s="1389"/>
      <c r="Y81" s="1389"/>
    </row>
    <row r="82" spans="1:25">
      <c r="A82" s="605"/>
      <c r="B82" s="606"/>
      <c r="C82" s="606"/>
      <c r="D82" s="606"/>
      <c r="E82" s="606"/>
      <c r="I82" s="610"/>
    </row>
    <row r="83" spans="1:25">
      <c r="I83" s="610"/>
      <c r="M83" s="863"/>
      <c r="W83" s="609"/>
    </row>
  </sheetData>
  <mergeCells count="197">
    <mergeCell ref="E12:E16"/>
    <mergeCell ref="H5:K5"/>
    <mergeCell ref="Q5:T5"/>
    <mergeCell ref="R6:S6"/>
    <mergeCell ref="T6:T7"/>
    <mergeCell ref="A1:Z1"/>
    <mergeCell ref="A2:Z2"/>
    <mergeCell ref="A3:Z3"/>
    <mergeCell ref="A4:Z4"/>
    <mergeCell ref="A5:A7"/>
    <mergeCell ref="B5:B7"/>
    <mergeCell ref="C5:C7"/>
    <mergeCell ref="D5:D7"/>
    <mergeCell ref="E5:E7"/>
    <mergeCell ref="L5:L7"/>
    <mergeCell ref="B10:Z10"/>
    <mergeCell ref="C11:Z11"/>
    <mergeCell ref="A12:A16"/>
    <mergeCell ref="B12:B16"/>
    <mergeCell ref="C12:C16"/>
    <mergeCell ref="D12:D16"/>
    <mergeCell ref="F12:F16"/>
    <mergeCell ref="W12:W16"/>
    <mergeCell ref="W6:W7"/>
    <mergeCell ref="A8:Z8"/>
    <mergeCell ref="A9:Z9"/>
    <mergeCell ref="M5:P7"/>
    <mergeCell ref="U5:U7"/>
    <mergeCell ref="V5:V7"/>
    <mergeCell ref="W5:Z5"/>
    <mergeCell ref="H6:H7"/>
    <mergeCell ref="I6:J6"/>
    <mergeCell ref="K6:K7"/>
    <mergeCell ref="Q6:Q7"/>
    <mergeCell ref="F5:F7"/>
    <mergeCell ref="G5:G7"/>
    <mergeCell ref="X6:Z6"/>
    <mergeCell ref="F17:F19"/>
    <mergeCell ref="W17:W19"/>
    <mergeCell ref="A20:A22"/>
    <mergeCell ref="B20:B22"/>
    <mergeCell ref="C20:C22"/>
    <mergeCell ref="D20:D23"/>
    <mergeCell ref="E20:E23"/>
    <mergeCell ref="F20:F23"/>
    <mergeCell ref="C17:C19"/>
    <mergeCell ref="D17:D19"/>
    <mergeCell ref="E17:E19"/>
    <mergeCell ref="A24:A25"/>
    <mergeCell ref="B24:B25"/>
    <mergeCell ref="C24:C25"/>
    <mergeCell ref="D24:D26"/>
    <mergeCell ref="E24:E26"/>
    <mergeCell ref="W20:W21"/>
    <mergeCell ref="X20:X21"/>
    <mergeCell ref="Y20:Y21"/>
    <mergeCell ref="Z20:Z21"/>
    <mergeCell ref="W22:W23"/>
    <mergeCell ref="D29:D34"/>
    <mergeCell ref="E29:E34"/>
    <mergeCell ref="F29:F34"/>
    <mergeCell ref="W33:W34"/>
    <mergeCell ref="F24:F26"/>
    <mergeCell ref="W25:W26"/>
    <mergeCell ref="C27:G27"/>
    <mergeCell ref="W27:Z27"/>
    <mergeCell ref="C28:Z28"/>
    <mergeCell ref="D39:D40"/>
    <mergeCell ref="E39:E40"/>
    <mergeCell ref="F39:F40"/>
    <mergeCell ref="W39:W40"/>
    <mergeCell ref="D35:D36"/>
    <mergeCell ref="E35:E36"/>
    <mergeCell ref="F35:F36"/>
    <mergeCell ref="D37:D38"/>
    <mergeCell ref="E37:E38"/>
    <mergeCell ref="F37:F38"/>
    <mergeCell ref="W43:W45"/>
    <mergeCell ref="A46:A48"/>
    <mergeCell ref="B46:B48"/>
    <mergeCell ref="C46:C48"/>
    <mergeCell ref="D46:D48"/>
    <mergeCell ref="E46:E48"/>
    <mergeCell ref="F46:F48"/>
    <mergeCell ref="C41:G41"/>
    <mergeCell ref="W41:Z41"/>
    <mergeCell ref="C42:Z42"/>
    <mergeCell ref="A43:A45"/>
    <mergeCell ref="B43:B45"/>
    <mergeCell ref="C43:C45"/>
    <mergeCell ref="D43:D45"/>
    <mergeCell ref="E43:E45"/>
    <mergeCell ref="F43:F45"/>
    <mergeCell ref="W53:W54"/>
    <mergeCell ref="X53:X54"/>
    <mergeCell ref="A55:A56"/>
    <mergeCell ref="B55:B56"/>
    <mergeCell ref="C55:C56"/>
    <mergeCell ref="D55:D56"/>
    <mergeCell ref="E55:E56"/>
    <mergeCell ref="F55:F56"/>
    <mergeCell ref="F49:F52"/>
    <mergeCell ref="A53:A54"/>
    <mergeCell ref="B53:B54"/>
    <mergeCell ref="C53:C54"/>
    <mergeCell ref="D53:D54"/>
    <mergeCell ref="E53:E54"/>
    <mergeCell ref="F53:F54"/>
    <mergeCell ref="A49:A52"/>
    <mergeCell ref="B49:B52"/>
    <mergeCell ref="C49:C52"/>
    <mergeCell ref="D49:D52"/>
    <mergeCell ref="E49:E52"/>
    <mergeCell ref="F63:F64"/>
    <mergeCell ref="W63:W64"/>
    <mergeCell ref="X63:X64"/>
    <mergeCell ref="A63:A64"/>
    <mergeCell ref="B63:B64"/>
    <mergeCell ref="C63:C64"/>
    <mergeCell ref="D63:D64"/>
    <mergeCell ref="E63:E64"/>
    <mergeCell ref="F57:F60"/>
    <mergeCell ref="A61:A62"/>
    <mergeCell ref="B61:B62"/>
    <mergeCell ref="C61:C62"/>
    <mergeCell ref="D61:D62"/>
    <mergeCell ref="E61:E62"/>
    <mergeCell ref="F61:F62"/>
    <mergeCell ref="A57:A60"/>
    <mergeCell ref="B57:B60"/>
    <mergeCell ref="C57:C60"/>
    <mergeCell ref="D57:D60"/>
    <mergeCell ref="E57:E60"/>
    <mergeCell ref="B69:V69"/>
    <mergeCell ref="H70:K70"/>
    <mergeCell ref="M70:P70"/>
    <mergeCell ref="Q70:T70"/>
    <mergeCell ref="X70:Y70"/>
    <mergeCell ref="C65:G65"/>
    <mergeCell ref="W65:Z65"/>
    <mergeCell ref="B66:G66"/>
    <mergeCell ref="W66:Z66"/>
    <mergeCell ref="B67:G67"/>
    <mergeCell ref="W67:Z67"/>
    <mergeCell ref="A70:G70"/>
    <mergeCell ref="X73:Y73"/>
    <mergeCell ref="H71:K71"/>
    <mergeCell ref="M71:P71"/>
    <mergeCell ref="Q71:T71"/>
    <mergeCell ref="X71:Y71"/>
    <mergeCell ref="H72:K72"/>
    <mergeCell ref="M72:P72"/>
    <mergeCell ref="Q72:T72"/>
    <mergeCell ref="X72:Y72"/>
    <mergeCell ref="A73:G73"/>
    <mergeCell ref="A72:G72"/>
    <mergeCell ref="A71:G71"/>
    <mergeCell ref="H74:K74"/>
    <mergeCell ref="M74:P74"/>
    <mergeCell ref="Q74:T74"/>
    <mergeCell ref="H73:K73"/>
    <mergeCell ref="M73:P73"/>
    <mergeCell ref="Q73:T73"/>
    <mergeCell ref="A74:G74"/>
    <mergeCell ref="H77:K77"/>
    <mergeCell ref="M77:P77"/>
    <mergeCell ref="Q77:T77"/>
    <mergeCell ref="X74:Y74"/>
    <mergeCell ref="H75:K75"/>
    <mergeCell ref="M75:P75"/>
    <mergeCell ref="Q75:T75"/>
    <mergeCell ref="X75:Y75"/>
    <mergeCell ref="X77:Y77"/>
    <mergeCell ref="A75:G75"/>
    <mergeCell ref="A76:G76"/>
    <mergeCell ref="A77:G77"/>
    <mergeCell ref="X80:Y80"/>
    <mergeCell ref="H81:K81"/>
    <mergeCell ref="M81:P81"/>
    <mergeCell ref="Q81:T81"/>
    <mergeCell ref="X81:Y81"/>
    <mergeCell ref="H78:K78"/>
    <mergeCell ref="M78:P78"/>
    <mergeCell ref="Q78:T78"/>
    <mergeCell ref="H79:K79"/>
    <mergeCell ref="M79:P79"/>
    <mergeCell ref="Q79:T79"/>
    <mergeCell ref="H80:K80"/>
    <mergeCell ref="M80:P80"/>
    <mergeCell ref="Q80:T80"/>
    <mergeCell ref="A78:G78"/>
    <mergeCell ref="A79:G79"/>
    <mergeCell ref="A80:G80"/>
    <mergeCell ref="A81:G81"/>
    <mergeCell ref="H76:K76"/>
    <mergeCell ref="M76:P76"/>
    <mergeCell ref="Q76:T76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3" orientation="portrait" r:id="rId1"/>
  <rowBreaks count="1" manualBreakCount="1">
    <brk id="54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0"/>
  <sheetViews>
    <sheetView zoomScaleNormal="100" zoomScaleSheetLayoutView="80" workbookViewId="0">
      <selection activeCell="O90" sqref="O90:Q90"/>
    </sheetView>
  </sheetViews>
  <sheetFormatPr defaultRowHeight="12"/>
  <cols>
    <col min="1" max="3" width="2.7109375" style="600" customWidth="1"/>
    <col min="4" max="4" width="40.7109375" style="600" customWidth="1"/>
    <col min="5" max="6" width="3" style="600" customWidth="1"/>
    <col min="7" max="7" width="3" style="607" customWidth="1"/>
    <col min="8" max="8" width="11.140625" style="607" customWidth="1"/>
    <col min="9" max="9" width="7.28515625" style="608" customWidth="1"/>
    <col min="10" max="10" width="6.5703125" style="609" customWidth="1"/>
    <col min="11" max="12" width="6.140625" style="609" customWidth="1"/>
    <col min="13" max="13" width="6.42578125" style="609" customWidth="1"/>
    <col min="14" max="14" width="6.85546875" style="609" customWidth="1"/>
    <col min="15" max="15" width="7.28515625" style="609" customWidth="1"/>
    <col min="16" max="17" width="6.42578125" style="609" customWidth="1"/>
    <col min="18" max="18" width="6.7109375" style="608" hidden="1" customWidth="1"/>
    <col min="19" max="21" width="6.5703125" style="608" hidden="1" customWidth="1"/>
    <col min="22" max="23" width="7.5703125" style="609" customWidth="1"/>
    <col min="24" max="24" width="26.28515625" style="600" customWidth="1"/>
    <col min="25" max="26" width="5.5703125" style="824" customWidth="1"/>
    <col min="27" max="27" width="5.5703125" style="513" customWidth="1"/>
    <col min="28" max="16384" width="9.140625" style="513"/>
  </cols>
  <sheetData>
    <row r="1" spans="1:27">
      <c r="A1" s="1673" t="s">
        <v>131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73"/>
      <c r="Q1" s="1673"/>
      <c r="R1" s="1673"/>
      <c r="S1" s="1673"/>
      <c r="T1" s="1673"/>
      <c r="U1" s="1673"/>
      <c r="V1" s="1673"/>
      <c r="W1" s="1673"/>
      <c r="X1" s="1673"/>
      <c r="Y1" s="1673"/>
      <c r="Z1" s="1673"/>
      <c r="AA1" s="1673"/>
    </row>
    <row r="2" spans="1:27" ht="12" customHeight="1">
      <c r="A2" s="1530" t="s">
        <v>72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  <c r="N2" s="1530"/>
      <c r="O2" s="1530"/>
      <c r="P2" s="1530"/>
      <c r="Q2" s="1530"/>
      <c r="R2" s="1530"/>
      <c r="S2" s="1530"/>
      <c r="T2" s="1530"/>
      <c r="U2" s="1530"/>
      <c r="V2" s="1530"/>
      <c r="W2" s="1530"/>
      <c r="X2" s="1530"/>
      <c r="Y2" s="1530"/>
      <c r="Z2" s="1530"/>
      <c r="AA2" s="1530"/>
    </row>
    <row r="3" spans="1:27">
      <c r="A3" s="1683" t="s">
        <v>124</v>
      </c>
      <c r="B3" s="1683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P3" s="1683"/>
      <c r="Q3" s="1683"/>
      <c r="R3" s="1683"/>
      <c r="S3" s="1683"/>
      <c r="T3" s="1683"/>
      <c r="U3" s="1683"/>
      <c r="V3" s="1683"/>
      <c r="W3" s="1683"/>
      <c r="X3" s="1683"/>
      <c r="Y3" s="1683"/>
      <c r="Z3" s="1683"/>
      <c r="AA3" s="1683"/>
    </row>
    <row r="4" spans="1:27" ht="12.75" thickBot="1">
      <c r="A4" s="1674" t="s">
        <v>0</v>
      </c>
      <c r="B4" s="1674"/>
      <c r="C4" s="1674"/>
      <c r="D4" s="1674"/>
      <c r="E4" s="1674"/>
      <c r="F4" s="1674"/>
      <c r="G4" s="1674"/>
      <c r="H4" s="1674"/>
      <c r="I4" s="1674"/>
      <c r="J4" s="1674"/>
      <c r="K4" s="1674"/>
      <c r="L4" s="1674"/>
      <c r="M4" s="1674"/>
      <c r="N4" s="1674"/>
      <c r="O4" s="1674"/>
      <c r="P4" s="1674"/>
      <c r="Q4" s="1674"/>
      <c r="R4" s="1674"/>
      <c r="S4" s="1674"/>
      <c r="T4" s="1674"/>
      <c r="U4" s="1674"/>
      <c r="V4" s="1674"/>
      <c r="W4" s="1674"/>
      <c r="X4" s="1674"/>
      <c r="Y4" s="1674"/>
      <c r="Z4" s="1674"/>
      <c r="AA4" s="1674"/>
    </row>
    <row r="5" spans="1:27" ht="33" customHeight="1">
      <c r="A5" s="1675" t="s">
        <v>1</v>
      </c>
      <c r="B5" s="1678" t="s">
        <v>2</v>
      </c>
      <c r="C5" s="1678" t="s">
        <v>3</v>
      </c>
      <c r="D5" s="1661" t="s">
        <v>16</v>
      </c>
      <c r="E5" s="1664" t="s">
        <v>4</v>
      </c>
      <c r="F5" s="1678" t="s">
        <v>167</v>
      </c>
      <c r="G5" s="1658" t="s">
        <v>5</v>
      </c>
      <c r="H5" s="1667" t="s">
        <v>111</v>
      </c>
      <c r="I5" s="1686" t="s">
        <v>6</v>
      </c>
      <c r="J5" s="1555" t="s">
        <v>132</v>
      </c>
      <c r="K5" s="1416"/>
      <c r="L5" s="1416"/>
      <c r="M5" s="1556"/>
      <c r="N5" s="1555" t="s">
        <v>133</v>
      </c>
      <c r="O5" s="1416"/>
      <c r="P5" s="1416"/>
      <c r="Q5" s="1417"/>
      <c r="R5" s="1415" t="s">
        <v>134</v>
      </c>
      <c r="S5" s="1416"/>
      <c r="T5" s="1416"/>
      <c r="U5" s="1556"/>
      <c r="V5" s="1686" t="s">
        <v>94</v>
      </c>
      <c r="W5" s="1649" t="s">
        <v>135</v>
      </c>
      <c r="X5" s="1691" t="s">
        <v>125</v>
      </c>
      <c r="Y5" s="1692"/>
      <c r="Z5" s="1692"/>
      <c r="AA5" s="1693"/>
    </row>
    <row r="6" spans="1:27">
      <c r="A6" s="1676"/>
      <c r="B6" s="1642"/>
      <c r="C6" s="1642"/>
      <c r="D6" s="1662"/>
      <c r="E6" s="1665"/>
      <c r="F6" s="1642"/>
      <c r="G6" s="1659"/>
      <c r="H6" s="1668"/>
      <c r="I6" s="1687"/>
      <c r="J6" s="1639" t="s">
        <v>7</v>
      </c>
      <c r="K6" s="1641" t="s">
        <v>8</v>
      </c>
      <c r="L6" s="1641"/>
      <c r="M6" s="1684" t="s">
        <v>22</v>
      </c>
      <c r="N6" s="1639" t="s">
        <v>7</v>
      </c>
      <c r="O6" s="1641" t="s">
        <v>8</v>
      </c>
      <c r="P6" s="1641"/>
      <c r="Q6" s="1679" t="s">
        <v>22</v>
      </c>
      <c r="R6" s="1681" t="s">
        <v>7</v>
      </c>
      <c r="S6" s="1641" t="s">
        <v>8</v>
      </c>
      <c r="T6" s="1641"/>
      <c r="U6" s="1684" t="s">
        <v>22</v>
      </c>
      <c r="V6" s="1687"/>
      <c r="W6" s="1650"/>
      <c r="X6" s="1689" t="s">
        <v>16</v>
      </c>
      <c r="Y6" s="1642" t="s">
        <v>65</v>
      </c>
      <c r="Z6" s="1642" t="s">
        <v>95</v>
      </c>
      <c r="AA6" s="1656" t="s">
        <v>136</v>
      </c>
    </row>
    <row r="7" spans="1:27" ht="104.25" customHeight="1" thickBot="1">
      <c r="A7" s="1677"/>
      <c r="B7" s="1643"/>
      <c r="C7" s="1643"/>
      <c r="D7" s="1663"/>
      <c r="E7" s="1666"/>
      <c r="F7" s="1643"/>
      <c r="G7" s="1660"/>
      <c r="H7" s="1669"/>
      <c r="I7" s="1688"/>
      <c r="J7" s="1640"/>
      <c r="K7" s="514" t="s">
        <v>7</v>
      </c>
      <c r="L7" s="515" t="s">
        <v>17</v>
      </c>
      <c r="M7" s="1685"/>
      <c r="N7" s="1640"/>
      <c r="O7" s="634" t="s">
        <v>7</v>
      </c>
      <c r="P7" s="515" t="s">
        <v>17</v>
      </c>
      <c r="Q7" s="1680"/>
      <c r="R7" s="1682"/>
      <c r="S7" s="634" t="s">
        <v>7</v>
      </c>
      <c r="T7" s="515" t="s">
        <v>17</v>
      </c>
      <c r="U7" s="1685"/>
      <c r="V7" s="1688"/>
      <c r="W7" s="1651"/>
      <c r="X7" s="1690"/>
      <c r="Y7" s="1643"/>
      <c r="Z7" s="1643"/>
      <c r="AA7" s="1657"/>
    </row>
    <row r="8" spans="1:27" ht="12.75" thickBot="1">
      <c r="A8" s="1670" t="s">
        <v>33</v>
      </c>
      <c r="B8" s="1671"/>
      <c r="C8" s="1671"/>
      <c r="D8" s="1671"/>
      <c r="E8" s="1671"/>
      <c r="F8" s="1671"/>
      <c r="G8" s="1671"/>
      <c r="H8" s="1671"/>
      <c r="I8" s="1671"/>
      <c r="J8" s="1671"/>
      <c r="K8" s="1671"/>
      <c r="L8" s="1671"/>
      <c r="M8" s="1671"/>
      <c r="N8" s="1671"/>
      <c r="O8" s="1671"/>
      <c r="P8" s="1671"/>
      <c r="Q8" s="1671"/>
      <c r="R8" s="1671"/>
      <c r="S8" s="1671"/>
      <c r="T8" s="1671"/>
      <c r="U8" s="1671"/>
      <c r="V8" s="1671"/>
      <c r="W8" s="1671"/>
      <c r="X8" s="1671"/>
      <c r="Y8" s="1671"/>
      <c r="Z8" s="1671"/>
      <c r="AA8" s="1672"/>
    </row>
    <row r="9" spans="1:27" ht="12.75" thickBot="1">
      <c r="A9" s="1609" t="s">
        <v>55</v>
      </c>
      <c r="B9" s="1610"/>
      <c r="C9" s="1610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0"/>
      <c r="S9" s="1610"/>
      <c r="T9" s="1610"/>
      <c r="U9" s="1610"/>
      <c r="V9" s="1610"/>
      <c r="W9" s="1610"/>
      <c r="X9" s="1610"/>
      <c r="Y9" s="1610"/>
      <c r="Z9" s="1610"/>
      <c r="AA9" s="1611"/>
    </row>
    <row r="10" spans="1:27" ht="13.5" customHeight="1" thickBot="1">
      <c r="A10" s="516" t="s">
        <v>9</v>
      </c>
      <c r="B10" s="1606" t="s">
        <v>47</v>
      </c>
      <c r="C10" s="1607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7"/>
      <c r="S10" s="1607"/>
      <c r="T10" s="1607"/>
      <c r="U10" s="1607"/>
      <c r="V10" s="1607"/>
      <c r="W10" s="1607"/>
      <c r="X10" s="1607"/>
      <c r="Y10" s="1607"/>
      <c r="Z10" s="1607"/>
      <c r="AA10" s="1608"/>
    </row>
    <row r="11" spans="1:27" ht="12.75" thickBot="1">
      <c r="A11" s="517" t="s">
        <v>9</v>
      </c>
      <c r="B11" s="518" t="s">
        <v>9</v>
      </c>
      <c r="C11" s="1646" t="s">
        <v>35</v>
      </c>
      <c r="D11" s="1647"/>
      <c r="E11" s="1647"/>
      <c r="F11" s="1647"/>
      <c r="G11" s="1647"/>
      <c r="H11" s="1647"/>
      <c r="I11" s="1647"/>
      <c r="J11" s="1647"/>
      <c r="K11" s="1647"/>
      <c r="L11" s="1647"/>
      <c r="M11" s="1647"/>
      <c r="N11" s="1647"/>
      <c r="O11" s="1647"/>
      <c r="P11" s="1647"/>
      <c r="Q11" s="1647"/>
      <c r="R11" s="1647"/>
      <c r="S11" s="1647"/>
      <c r="T11" s="1647"/>
      <c r="U11" s="1647"/>
      <c r="V11" s="1647"/>
      <c r="W11" s="1647"/>
      <c r="X11" s="1647"/>
      <c r="Y11" s="1647"/>
      <c r="Z11" s="1647"/>
      <c r="AA11" s="1648"/>
    </row>
    <row r="12" spans="1:27" ht="34.5" customHeight="1">
      <c r="A12" s="1558" t="s">
        <v>9</v>
      </c>
      <c r="B12" s="1625" t="s">
        <v>9</v>
      </c>
      <c r="C12" s="1562" t="s">
        <v>9</v>
      </c>
      <c r="D12" s="1631" t="s">
        <v>23</v>
      </c>
      <c r="E12" s="519" t="s">
        <v>106</v>
      </c>
      <c r="F12" s="1532" t="s">
        <v>24</v>
      </c>
      <c r="G12" s="1591" t="s">
        <v>43</v>
      </c>
      <c r="H12" s="1573" t="s">
        <v>207</v>
      </c>
      <c r="I12" s="520" t="s">
        <v>25</v>
      </c>
      <c r="J12" s="635">
        <f t="shared" ref="J12:J14" si="0">K12+M12</f>
        <v>36.799999999999997</v>
      </c>
      <c r="K12" s="636">
        <v>36.799999999999997</v>
      </c>
      <c r="L12" s="636"/>
      <c r="M12" s="637"/>
      <c r="N12" s="638">
        <f>O12+Q12</f>
        <v>36.799999999999997</v>
      </c>
      <c r="O12" s="639">
        <v>36.799999999999997</v>
      </c>
      <c r="P12" s="639"/>
      <c r="Q12" s="640"/>
      <c r="R12" s="641">
        <f t="shared" ref="R12:R14" si="1">S12+U12</f>
        <v>0</v>
      </c>
      <c r="S12" s="642">
        <v>0</v>
      </c>
      <c r="T12" s="642"/>
      <c r="U12" s="643"/>
      <c r="V12" s="644">
        <v>36.799999999999997</v>
      </c>
      <c r="W12" s="645">
        <v>36.799999999999997</v>
      </c>
      <c r="X12" s="1652" t="s">
        <v>122</v>
      </c>
      <c r="Y12" s="521">
        <v>100</v>
      </c>
      <c r="Z12" s="521">
        <v>100</v>
      </c>
      <c r="AA12" s="522">
        <v>100</v>
      </c>
    </row>
    <row r="13" spans="1:27" ht="18" customHeight="1">
      <c r="A13" s="1559"/>
      <c r="B13" s="1626"/>
      <c r="C13" s="1563"/>
      <c r="D13" s="1632"/>
      <c r="E13" s="1620" t="s">
        <v>107</v>
      </c>
      <c r="F13" s="1533"/>
      <c r="G13" s="1592"/>
      <c r="H13" s="1574"/>
      <c r="I13" s="523" t="s">
        <v>26</v>
      </c>
      <c r="J13" s="646">
        <f t="shared" si="0"/>
        <v>318</v>
      </c>
      <c r="K13" s="647">
        <v>318</v>
      </c>
      <c r="L13" s="647"/>
      <c r="M13" s="648"/>
      <c r="N13" s="649">
        <f>O13+Q13</f>
        <v>332</v>
      </c>
      <c r="O13" s="650">
        <v>332</v>
      </c>
      <c r="P13" s="650"/>
      <c r="Q13" s="651"/>
      <c r="R13" s="766">
        <f>S13+U13</f>
        <v>0</v>
      </c>
      <c r="S13" s="767">
        <v>0</v>
      </c>
      <c r="T13" s="767"/>
      <c r="U13" s="768"/>
      <c r="V13" s="654">
        <v>332</v>
      </c>
      <c r="W13" s="655">
        <v>332</v>
      </c>
      <c r="X13" s="1653"/>
      <c r="Y13" s="524"/>
      <c r="Z13" s="524"/>
      <c r="AA13" s="525"/>
    </row>
    <row r="14" spans="1:27" ht="18" customHeight="1">
      <c r="A14" s="1623"/>
      <c r="B14" s="1627"/>
      <c r="C14" s="1629"/>
      <c r="D14" s="1632"/>
      <c r="E14" s="1622"/>
      <c r="F14" s="1533"/>
      <c r="G14" s="1592"/>
      <c r="H14" s="1574"/>
      <c r="I14" s="526" t="s">
        <v>50</v>
      </c>
      <c r="J14" s="656">
        <f t="shared" si="0"/>
        <v>127.7</v>
      </c>
      <c r="K14" s="477">
        <v>127.7</v>
      </c>
      <c r="L14" s="477"/>
      <c r="M14" s="478"/>
      <c r="N14" s="484"/>
      <c r="O14" s="485"/>
      <c r="P14" s="485"/>
      <c r="Q14" s="657"/>
      <c r="R14" s="658">
        <f t="shared" si="1"/>
        <v>0</v>
      </c>
      <c r="S14" s="449">
        <v>0</v>
      </c>
      <c r="T14" s="449"/>
      <c r="U14" s="451"/>
      <c r="V14" s="659"/>
      <c r="W14" s="660"/>
      <c r="X14" s="1653"/>
      <c r="Y14" s="524"/>
      <c r="Z14" s="524"/>
      <c r="AA14" s="525"/>
    </row>
    <row r="15" spans="1:27" ht="18" customHeight="1">
      <c r="A15" s="1623"/>
      <c r="B15" s="1627"/>
      <c r="C15" s="1629"/>
      <c r="D15" s="1632"/>
      <c r="E15" s="1620" t="s">
        <v>89</v>
      </c>
      <c r="F15" s="1533"/>
      <c r="G15" s="1592"/>
      <c r="H15" s="1574"/>
      <c r="I15" s="526"/>
      <c r="J15" s="661"/>
      <c r="K15" s="662"/>
      <c r="L15" s="662"/>
      <c r="M15" s="663"/>
      <c r="N15" s="664"/>
      <c r="O15" s="665"/>
      <c r="P15" s="665"/>
      <c r="Q15" s="666"/>
      <c r="R15" s="667"/>
      <c r="S15" s="668"/>
      <c r="T15" s="668"/>
      <c r="U15" s="669"/>
      <c r="V15" s="670"/>
      <c r="W15" s="671"/>
      <c r="X15" s="1653"/>
      <c r="Y15" s="527"/>
      <c r="Z15" s="527"/>
      <c r="AA15" s="528"/>
    </row>
    <row r="16" spans="1:27" ht="18" customHeight="1" thickBot="1">
      <c r="A16" s="1624"/>
      <c r="B16" s="1628"/>
      <c r="C16" s="1630"/>
      <c r="D16" s="1633"/>
      <c r="E16" s="1621"/>
      <c r="F16" s="1534"/>
      <c r="G16" s="1593"/>
      <c r="H16" s="1575"/>
      <c r="I16" s="529" t="s">
        <v>10</v>
      </c>
      <c r="J16" s="495">
        <f t="shared" ref="J16" si="2">K16+M16</f>
        <v>482.5</v>
      </c>
      <c r="K16" s="498">
        <f>SUM(K12:K15)</f>
        <v>482.5</v>
      </c>
      <c r="L16" s="498"/>
      <c r="M16" s="672"/>
      <c r="N16" s="673">
        <f>O16+Q16</f>
        <v>368.8</v>
      </c>
      <c r="O16" s="674">
        <f>SUM(O12:O15)</f>
        <v>368.8</v>
      </c>
      <c r="P16" s="674"/>
      <c r="Q16" s="675"/>
      <c r="R16" s="495">
        <f t="shared" ref="R16:R19" si="3">S16+U16</f>
        <v>0</v>
      </c>
      <c r="S16" s="498">
        <f>SUM(S12:S15)</f>
        <v>0</v>
      </c>
      <c r="T16" s="498"/>
      <c r="U16" s="672"/>
      <c r="V16" s="501">
        <f>SUM(V12:V15)</f>
        <v>368.8</v>
      </c>
      <c r="W16" s="503">
        <f>SUM(W12:W15)</f>
        <v>368.8</v>
      </c>
      <c r="X16" s="1654"/>
      <c r="Y16" s="530"/>
      <c r="Z16" s="530"/>
      <c r="AA16" s="531"/>
    </row>
    <row r="17" spans="1:29" ht="19.5" customHeight="1">
      <c r="A17" s="532" t="s">
        <v>9</v>
      </c>
      <c r="B17" s="533" t="s">
        <v>9</v>
      </c>
      <c r="C17" s="1634" t="s">
        <v>11</v>
      </c>
      <c r="D17" s="1636" t="s">
        <v>116</v>
      </c>
      <c r="E17" s="1644" t="s">
        <v>89</v>
      </c>
      <c r="F17" s="1588" t="s">
        <v>24</v>
      </c>
      <c r="G17" s="1591" t="s">
        <v>43</v>
      </c>
      <c r="H17" s="1573" t="s">
        <v>207</v>
      </c>
      <c r="I17" s="534" t="s">
        <v>39</v>
      </c>
      <c r="J17" s="479">
        <v>871.8</v>
      </c>
      <c r="K17" s="480">
        <v>871.8</v>
      </c>
      <c r="L17" s="480">
        <v>532.6</v>
      </c>
      <c r="M17" s="481"/>
      <c r="N17" s="491">
        <f>O17</f>
        <v>871.8</v>
      </c>
      <c r="O17" s="492">
        <v>871.8</v>
      </c>
      <c r="P17" s="492">
        <v>540.4</v>
      </c>
      <c r="Q17" s="640"/>
      <c r="R17" s="465">
        <f>S17+U17</f>
        <v>0</v>
      </c>
      <c r="S17" s="466">
        <v>0</v>
      </c>
      <c r="T17" s="466">
        <v>0</v>
      </c>
      <c r="U17" s="467"/>
      <c r="V17" s="676">
        <v>888.6</v>
      </c>
      <c r="W17" s="645">
        <v>888.6</v>
      </c>
      <c r="X17" s="1655" t="s">
        <v>56</v>
      </c>
      <c r="Y17" s="819">
        <v>51</v>
      </c>
      <c r="Z17" s="819">
        <v>51</v>
      </c>
      <c r="AA17" s="821">
        <v>51</v>
      </c>
    </row>
    <row r="18" spans="1:29" ht="15.75" customHeight="1">
      <c r="A18" s="817"/>
      <c r="B18" s="822"/>
      <c r="C18" s="1563"/>
      <c r="D18" s="1637"/>
      <c r="E18" s="1645"/>
      <c r="F18" s="1589"/>
      <c r="G18" s="1592"/>
      <c r="H18" s="1574"/>
      <c r="I18" s="535" t="s">
        <v>25</v>
      </c>
      <c r="J18" s="656"/>
      <c r="K18" s="477"/>
      <c r="L18" s="477"/>
      <c r="M18" s="478"/>
      <c r="N18" s="484"/>
      <c r="O18" s="485"/>
      <c r="P18" s="485"/>
      <c r="Q18" s="657"/>
      <c r="R18" s="658"/>
      <c r="S18" s="449"/>
      <c r="T18" s="449"/>
      <c r="U18" s="451"/>
      <c r="V18" s="587"/>
      <c r="W18" s="655"/>
      <c r="X18" s="1269"/>
      <c r="Y18" s="819"/>
      <c r="Z18" s="819"/>
      <c r="AA18" s="821"/>
    </row>
    <row r="19" spans="1:29" ht="14.25" customHeight="1" thickBot="1">
      <c r="A19" s="536"/>
      <c r="B19" s="518"/>
      <c r="C19" s="1635"/>
      <c r="D19" s="1638"/>
      <c r="E19" s="1621"/>
      <c r="F19" s="1590"/>
      <c r="G19" s="1593"/>
      <c r="H19" s="1575"/>
      <c r="I19" s="529" t="s">
        <v>10</v>
      </c>
      <c r="J19" s="495">
        <f t="shared" ref="J19" si="4">K19+M19</f>
        <v>871.8</v>
      </c>
      <c r="K19" s="494">
        <f>SUM(K17:K18)</f>
        <v>871.8</v>
      </c>
      <c r="L19" s="494">
        <f>SUM(L17:L18)</f>
        <v>532.6</v>
      </c>
      <c r="M19" s="496">
        <f>SUM(M17:M18)</f>
        <v>0</v>
      </c>
      <c r="N19" s="495">
        <f>O19+Q19</f>
        <v>871.8</v>
      </c>
      <c r="O19" s="494">
        <f>SUM(O17:O18)</f>
        <v>871.8</v>
      </c>
      <c r="P19" s="494">
        <f>SUM(P17:P18)</f>
        <v>540.4</v>
      </c>
      <c r="Q19" s="672"/>
      <c r="R19" s="495">
        <f t="shared" si="3"/>
        <v>0</v>
      </c>
      <c r="S19" s="494">
        <f>SUM(S17:S18)</f>
        <v>0</v>
      </c>
      <c r="T19" s="494">
        <f>SUM(T17:T18)</f>
        <v>0</v>
      </c>
      <c r="U19" s="496">
        <f>SUM(U17:U18)</f>
        <v>0</v>
      </c>
      <c r="V19" s="621">
        <f>SUM(V17:V18)</f>
        <v>888.6</v>
      </c>
      <c r="W19" s="503">
        <f>SUM(W17:W18)</f>
        <v>888.6</v>
      </c>
      <c r="X19" s="1269"/>
      <c r="Y19" s="819"/>
      <c r="Z19" s="819"/>
      <c r="AA19" s="821"/>
    </row>
    <row r="20" spans="1:29" ht="15.75" customHeight="1">
      <c r="A20" s="1558" t="s">
        <v>9</v>
      </c>
      <c r="B20" s="1560" t="s">
        <v>9</v>
      </c>
      <c r="C20" s="1562" t="s">
        <v>29</v>
      </c>
      <c r="D20" s="1617" t="s">
        <v>117</v>
      </c>
      <c r="E20" s="1567"/>
      <c r="F20" s="1532" t="s">
        <v>24</v>
      </c>
      <c r="G20" s="1597" t="s">
        <v>43</v>
      </c>
      <c r="H20" s="1573" t="s">
        <v>207</v>
      </c>
      <c r="I20" s="537" t="s">
        <v>39</v>
      </c>
      <c r="J20" s="635">
        <f>K20</f>
        <v>557.79999999999995</v>
      </c>
      <c r="K20" s="636">
        <v>557.79999999999995</v>
      </c>
      <c r="L20" s="636">
        <v>232.3</v>
      </c>
      <c r="M20" s="475"/>
      <c r="N20" s="635">
        <f>O20</f>
        <v>566.29999999999995</v>
      </c>
      <c r="O20" s="636">
        <v>566.29999999999995</v>
      </c>
      <c r="P20" s="636">
        <v>330.4</v>
      </c>
      <c r="Q20" s="728"/>
      <c r="R20" s="641">
        <f>S20</f>
        <v>0</v>
      </c>
      <c r="S20" s="642">
        <v>0</v>
      </c>
      <c r="T20" s="642">
        <v>0</v>
      </c>
      <c r="U20" s="321"/>
      <c r="V20" s="645">
        <v>566.29999999999995</v>
      </c>
      <c r="W20" s="645">
        <v>566.29999999999995</v>
      </c>
      <c r="X20" s="1604" t="s">
        <v>57</v>
      </c>
      <c r="Y20" s="1612">
        <v>300</v>
      </c>
      <c r="Z20" s="1612">
        <v>340</v>
      </c>
      <c r="AA20" s="1614">
        <v>380</v>
      </c>
    </row>
    <row r="21" spans="1:29" ht="21.75" customHeight="1">
      <c r="A21" s="1559"/>
      <c r="B21" s="1561"/>
      <c r="C21" s="1563"/>
      <c r="D21" s="1618"/>
      <c r="E21" s="1568"/>
      <c r="F21" s="1533"/>
      <c r="G21" s="1598"/>
      <c r="H21" s="1574"/>
      <c r="I21" s="538" t="s">
        <v>166</v>
      </c>
      <c r="J21" s="677">
        <v>5</v>
      </c>
      <c r="K21" s="678">
        <v>5</v>
      </c>
      <c r="L21" s="647"/>
      <c r="M21" s="476"/>
      <c r="N21" s="649"/>
      <c r="O21" s="650"/>
      <c r="P21" s="650"/>
      <c r="Q21" s="679"/>
      <c r="R21" s="652"/>
      <c r="S21" s="653"/>
      <c r="T21" s="653"/>
      <c r="U21" s="322"/>
      <c r="V21" s="655"/>
      <c r="W21" s="655"/>
      <c r="X21" s="1269" t="s">
        <v>57</v>
      </c>
      <c r="Y21" s="1613">
        <v>260</v>
      </c>
      <c r="Z21" s="1613">
        <v>300</v>
      </c>
      <c r="AA21" s="1615">
        <v>340</v>
      </c>
    </row>
    <row r="22" spans="1:29" ht="15.75" customHeight="1">
      <c r="A22" s="1559"/>
      <c r="B22" s="1561"/>
      <c r="C22" s="1563"/>
      <c r="D22" s="1618"/>
      <c r="E22" s="1568"/>
      <c r="F22" s="1533"/>
      <c r="G22" s="1598"/>
      <c r="H22" s="1574"/>
      <c r="I22" s="539" t="s">
        <v>25</v>
      </c>
      <c r="J22" s="656"/>
      <c r="K22" s="477"/>
      <c r="L22" s="477"/>
      <c r="M22" s="478"/>
      <c r="N22" s="680"/>
      <c r="O22" s="681"/>
      <c r="P22" s="681"/>
      <c r="Q22" s="682"/>
      <c r="R22" s="658"/>
      <c r="S22" s="449"/>
      <c r="T22" s="449"/>
      <c r="U22" s="451"/>
      <c r="V22" s="683"/>
      <c r="W22" s="683"/>
      <c r="X22" s="1616" t="s">
        <v>91</v>
      </c>
      <c r="Y22" s="540">
        <v>92</v>
      </c>
      <c r="Z22" s="540">
        <v>102</v>
      </c>
      <c r="AA22" s="541">
        <v>105</v>
      </c>
    </row>
    <row r="23" spans="1:29" ht="15.75" customHeight="1" thickBot="1">
      <c r="A23" s="542"/>
      <c r="B23" s="543"/>
      <c r="C23" s="544"/>
      <c r="D23" s="1619"/>
      <c r="E23" s="1569"/>
      <c r="F23" s="1534"/>
      <c r="G23" s="1599"/>
      <c r="H23" s="1575"/>
      <c r="I23" s="545" t="s">
        <v>10</v>
      </c>
      <c r="J23" s="621">
        <f t="shared" ref="J23:M23" si="5">SUM(J20:J22)</f>
        <v>562.79999999999995</v>
      </c>
      <c r="K23" s="494">
        <f t="shared" si="5"/>
        <v>562.79999999999995</v>
      </c>
      <c r="L23" s="501">
        <f t="shared" si="5"/>
        <v>232.3</v>
      </c>
      <c r="M23" s="499">
        <f t="shared" si="5"/>
        <v>0</v>
      </c>
      <c r="N23" s="495">
        <f>SUM(N20:N22)</f>
        <v>566.29999999999995</v>
      </c>
      <c r="O23" s="501">
        <f>SUM(O20:O22)</f>
        <v>566.29999999999995</v>
      </c>
      <c r="P23" s="494">
        <f>SUM(P20:P22)</f>
        <v>330.4</v>
      </c>
      <c r="Q23" s="501"/>
      <c r="R23" s="621">
        <f t="shared" ref="R23:W23" si="6">SUM(R20:R22)</f>
        <v>0</v>
      </c>
      <c r="S23" s="494">
        <f t="shared" si="6"/>
        <v>0</v>
      </c>
      <c r="T23" s="501">
        <f t="shared" si="6"/>
        <v>0</v>
      </c>
      <c r="U23" s="499">
        <f t="shared" si="6"/>
        <v>0</v>
      </c>
      <c r="V23" s="621">
        <f t="shared" si="6"/>
        <v>566.29999999999995</v>
      </c>
      <c r="W23" s="503">
        <f t="shared" si="6"/>
        <v>566.29999999999995</v>
      </c>
      <c r="X23" s="1605"/>
      <c r="Y23" s="819"/>
      <c r="Z23" s="819"/>
      <c r="AA23" s="821"/>
    </row>
    <row r="24" spans="1:29" ht="15" customHeight="1">
      <c r="A24" s="1558" t="s">
        <v>9</v>
      </c>
      <c r="B24" s="1560" t="s">
        <v>9</v>
      </c>
      <c r="C24" s="1562" t="s">
        <v>69</v>
      </c>
      <c r="D24" s="1564" t="s">
        <v>140</v>
      </c>
      <c r="E24" s="1567"/>
      <c r="F24" s="1532" t="s">
        <v>24</v>
      </c>
      <c r="G24" s="1597" t="s">
        <v>43</v>
      </c>
      <c r="H24" s="1573" t="s">
        <v>207</v>
      </c>
      <c r="I24" s="537" t="s">
        <v>103</v>
      </c>
      <c r="J24" s="638">
        <f>K24</f>
        <v>92.6</v>
      </c>
      <c r="K24" s="639">
        <v>92.6</v>
      </c>
      <c r="L24" s="639">
        <v>3</v>
      </c>
      <c r="M24" s="482"/>
      <c r="N24" s="649">
        <f>O24+Q24</f>
        <v>66.599999999999994</v>
      </c>
      <c r="O24" s="650">
        <v>66.599999999999994</v>
      </c>
      <c r="P24" s="650">
        <v>2.2999999999999998</v>
      </c>
      <c r="Q24" s="684"/>
      <c r="R24" s="641"/>
      <c r="S24" s="642"/>
      <c r="T24" s="642"/>
      <c r="U24" s="321"/>
      <c r="V24" s="645"/>
      <c r="W24" s="645"/>
      <c r="X24" s="823" t="s">
        <v>141</v>
      </c>
      <c r="Y24" s="546">
        <v>1</v>
      </c>
      <c r="Z24" s="818"/>
      <c r="AA24" s="820"/>
    </row>
    <row r="25" spans="1:29" ht="15" customHeight="1">
      <c r="A25" s="1559"/>
      <c r="B25" s="1561"/>
      <c r="C25" s="1563"/>
      <c r="D25" s="1565"/>
      <c r="E25" s="1568"/>
      <c r="F25" s="1533"/>
      <c r="G25" s="1598"/>
      <c r="H25" s="1574"/>
      <c r="I25" s="539"/>
      <c r="J25" s="649"/>
      <c r="K25" s="650"/>
      <c r="L25" s="650"/>
      <c r="M25" s="483"/>
      <c r="N25" s="484"/>
      <c r="O25" s="485"/>
      <c r="P25" s="485"/>
      <c r="Q25" s="487"/>
      <c r="R25" s="652"/>
      <c r="S25" s="653"/>
      <c r="T25" s="653"/>
      <c r="U25" s="322"/>
      <c r="V25" s="655"/>
      <c r="W25" s="655"/>
      <c r="X25" s="1600" t="s">
        <v>142</v>
      </c>
      <c r="Y25" s="547">
        <v>1</v>
      </c>
      <c r="Z25" s="540"/>
      <c r="AA25" s="541"/>
    </row>
    <row r="26" spans="1:29" ht="15" customHeight="1" thickBot="1">
      <c r="A26" s="542"/>
      <c r="B26" s="543"/>
      <c r="C26" s="544"/>
      <c r="D26" s="1566"/>
      <c r="E26" s="1569"/>
      <c r="F26" s="1534"/>
      <c r="G26" s="1599"/>
      <c r="H26" s="1575"/>
      <c r="I26" s="545" t="s">
        <v>10</v>
      </c>
      <c r="J26" s="621">
        <f>SUM(J24:J25)</f>
        <v>92.6</v>
      </c>
      <c r="K26" s="494">
        <f>SUM(K24:K25)</f>
        <v>92.6</v>
      </c>
      <c r="L26" s="501">
        <f>SUM(L24:L25)</f>
        <v>3</v>
      </c>
      <c r="M26" s="499"/>
      <c r="N26" s="495">
        <f>SUM(N24:N25)</f>
        <v>66.599999999999994</v>
      </c>
      <c r="O26" s="501">
        <f>SUM(O24:O25)</f>
        <v>66.599999999999994</v>
      </c>
      <c r="P26" s="494">
        <f>SUM(P24:P25)</f>
        <v>2.2999999999999998</v>
      </c>
      <c r="Q26" s="501"/>
      <c r="R26" s="621">
        <f t="shared" ref="R26:W26" si="7">SUM(R24:R25)</f>
        <v>0</v>
      </c>
      <c r="S26" s="494">
        <f t="shared" si="7"/>
        <v>0</v>
      </c>
      <c r="T26" s="501">
        <f t="shared" si="7"/>
        <v>0</v>
      </c>
      <c r="U26" s="499">
        <f t="shared" si="7"/>
        <v>0</v>
      </c>
      <c r="V26" s="621">
        <f t="shared" si="7"/>
        <v>0</v>
      </c>
      <c r="W26" s="503">
        <f t="shared" si="7"/>
        <v>0</v>
      </c>
      <c r="X26" s="1601"/>
      <c r="Y26" s="819"/>
      <c r="Z26" s="548"/>
      <c r="AA26" s="549"/>
    </row>
    <row r="27" spans="1:29" ht="14.25" customHeight="1" thickBot="1">
      <c r="A27" s="550" t="s">
        <v>9</v>
      </c>
      <c r="B27" s="551" t="s">
        <v>9</v>
      </c>
      <c r="C27" s="1570" t="s">
        <v>12</v>
      </c>
      <c r="D27" s="1571"/>
      <c r="E27" s="1571"/>
      <c r="F27" s="1571"/>
      <c r="G27" s="1571"/>
      <c r="H27" s="1571"/>
      <c r="I27" s="1572"/>
      <c r="J27" s="685">
        <f>J23+J19+J16+J26</f>
        <v>2009.6999999999998</v>
      </c>
      <c r="K27" s="685">
        <f>K23+K19+K16+K26</f>
        <v>2009.6999999999998</v>
      </c>
      <c r="L27" s="685">
        <f>L23+L19+L16+L26</f>
        <v>767.90000000000009</v>
      </c>
      <c r="M27" s="686">
        <f>M23+M19+M16</f>
        <v>0</v>
      </c>
      <c r="N27" s="687">
        <f>N23+N19+N16+N26</f>
        <v>1873.4999999999998</v>
      </c>
      <c r="O27" s="688">
        <f>O23+O19+O16+O26</f>
        <v>1873.4999999999998</v>
      </c>
      <c r="P27" s="688">
        <f>P23+P19+P16+P26</f>
        <v>873.09999999999991</v>
      </c>
      <c r="Q27" s="689">
        <f t="shared" ref="Q27:W27" si="8">Q23+Q19+Q16</f>
        <v>0</v>
      </c>
      <c r="R27" s="685">
        <f t="shared" si="8"/>
        <v>0</v>
      </c>
      <c r="S27" s="685">
        <f t="shared" si="8"/>
        <v>0</v>
      </c>
      <c r="T27" s="685">
        <f t="shared" si="8"/>
        <v>0</v>
      </c>
      <c r="U27" s="686">
        <f t="shared" si="8"/>
        <v>0</v>
      </c>
      <c r="V27" s="690">
        <f t="shared" si="8"/>
        <v>1823.7</v>
      </c>
      <c r="W27" s="685">
        <f t="shared" si="8"/>
        <v>1823.7</v>
      </c>
      <c r="X27" s="1300"/>
      <c r="Y27" s="1301"/>
      <c r="Z27" s="1301"/>
      <c r="AA27" s="1302"/>
      <c r="AB27" s="618"/>
    </row>
    <row r="28" spans="1:29" ht="14.25" customHeight="1" thickBot="1">
      <c r="A28" s="517" t="s">
        <v>9</v>
      </c>
      <c r="B28" s="552" t="s">
        <v>11</v>
      </c>
      <c r="C28" s="1579" t="s">
        <v>52</v>
      </c>
      <c r="D28" s="1580"/>
      <c r="E28" s="1580"/>
      <c r="F28" s="1580"/>
      <c r="G28" s="1580"/>
      <c r="H28" s="1580"/>
      <c r="I28" s="1580"/>
      <c r="J28" s="1580"/>
      <c r="K28" s="1580"/>
      <c r="L28" s="1580"/>
      <c r="M28" s="1580"/>
      <c r="N28" s="1580"/>
      <c r="O28" s="1580"/>
      <c r="P28" s="1580"/>
      <c r="Q28" s="1580"/>
      <c r="R28" s="1580"/>
      <c r="S28" s="1580"/>
      <c r="T28" s="1580"/>
      <c r="U28" s="1580"/>
      <c r="V28" s="1580"/>
      <c r="W28" s="1580"/>
      <c r="X28" s="1580"/>
      <c r="Y28" s="1580"/>
      <c r="Z28" s="1580"/>
      <c r="AA28" s="1581"/>
    </row>
    <row r="29" spans="1:29" ht="18.75" customHeight="1">
      <c r="A29" s="553" t="s">
        <v>9</v>
      </c>
      <c r="B29" s="554" t="s">
        <v>11</v>
      </c>
      <c r="C29" s="555" t="s">
        <v>9</v>
      </c>
      <c r="D29" s="1582" t="s">
        <v>37</v>
      </c>
      <c r="E29" s="1585"/>
      <c r="F29" s="1588" t="s">
        <v>24</v>
      </c>
      <c r="G29" s="1591" t="s">
        <v>43</v>
      </c>
      <c r="H29" s="1573" t="s">
        <v>207</v>
      </c>
      <c r="I29" s="556" t="s">
        <v>39</v>
      </c>
      <c r="J29" s="479">
        <f>K29+M29</f>
        <v>2910.2999999999997</v>
      </c>
      <c r="K29" s="480">
        <v>2857.1</v>
      </c>
      <c r="L29" s="480">
        <v>1776.1</v>
      </c>
      <c r="M29" s="481">
        <v>53.2</v>
      </c>
      <c r="N29" s="491">
        <f>O29+Q29</f>
        <v>2910.2999999999997</v>
      </c>
      <c r="O29" s="492">
        <v>2853.7</v>
      </c>
      <c r="P29" s="691">
        <v>1775.9</v>
      </c>
      <c r="Q29" s="692">
        <v>56.6</v>
      </c>
      <c r="R29" s="465">
        <f>S29+U29</f>
        <v>0</v>
      </c>
      <c r="S29" s="466">
        <v>0</v>
      </c>
      <c r="T29" s="466">
        <v>0</v>
      </c>
      <c r="U29" s="467">
        <v>0</v>
      </c>
      <c r="V29" s="151">
        <v>2910.3</v>
      </c>
      <c r="W29" s="464">
        <v>2910.3</v>
      </c>
      <c r="X29" s="488" t="s">
        <v>58</v>
      </c>
      <c r="Y29" s="557">
        <v>55</v>
      </c>
      <c r="Z29" s="558" t="s">
        <v>59</v>
      </c>
      <c r="AA29" s="559">
        <v>55</v>
      </c>
    </row>
    <row r="30" spans="1:29" ht="15.75" customHeight="1">
      <c r="A30" s="560"/>
      <c r="B30" s="561"/>
      <c r="C30" s="562"/>
      <c r="D30" s="1583"/>
      <c r="E30" s="1586"/>
      <c r="F30" s="1589"/>
      <c r="G30" s="1592"/>
      <c r="H30" s="1574"/>
      <c r="I30" s="566"/>
      <c r="J30" s="646"/>
      <c r="K30" s="647"/>
      <c r="L30" s="647"/>
      <c r="M30" s="693"/>
      <c r="N30" s="649"/>
      <c r="O30" s="650"/>
      <c r="P30" s="694"/>
      <c r="Q30" s="651"/>
      <c r="R30" s="652"/>
      <c r="S30" s="653"/>
      <c r="T30" s="653"/>
      <c r="U30" s="695"/>
      <c r="V30" s="696"/>
      <c r="W30" s="655"/>
      <c r="X30" s="489" t="s">
        <v>97</v>
      </c>
      <c r="Y30" s="563" t="s">
        <v>96</v>
      </c>
      <c r="Z30" s="564" t="s">
        <v>96</v>
      </c>
      <c r="AA30" s="565" t="s">
        <v>96</v>
      </c>
    </row>
    <row r="31" spans="1:29" ht="39.75" customHeight="1">
      <c r="A31" s="560"/>
      <c r="B31" s="561"/>
      <c r="C31" s="562"/>
      <c r="D31" s="1583"/>
      <c r="E31" s="1586"/>
      <c r="F31" s="1589"/>
      <c r="G31" s="1592"/>
      <c r="H31" s="1574"/>
      <c r="I31" s="566"/>
      <c r="J31" s="646"/>
      <c r="K31" s="647"/>
      <c r="L31" s="647"/>
      <c r="M31" s="693"/>
      <c r="N31" s="649"/>
      <c r="O31" s="697"/>
      <c r="P31" s="698"/>
      <c r="Q31" s="699"/>
      <c r="R31" s="652"/>
      <c r="S31" s="653"/>
      <c r="T31" s="653"/>
      <c r="U31" s="695"/>
      <c r="V31" s="696"/>
      <c r="W31" s="655"/>
      <c r="X31" s="490" t="s">
        <v>60</v>
      </c>
      <c r="Y31" s="567" t="s">
        <v>61</v>
      </c>
      <c r="Z31" s="567" t="s">
        <v>62</v>
      </c>
      <c r="AA31" s="568" t="s">
        <v>62</v>
      </c>
      <c r="AC31" s="569"/>
    </row>
    <row r="32" spans="1:29" ht="14.25" customHeight="1">
      <c r="A32" s="560"/>
      <c r="B32" s="561"/>
      <c r="C32" s="562"/>
      <c r="D32" s="1583"/>
      <c r="E32" s="1586"/>
      <c r="F32" s="1589"/>
      <c r="G32" s="1592"/>
      <c r="H32" s="1574"/>
      <c r="I32" s="566"/>
      <c r="J32" s="646"/>
      <c r="K32" s="647"/>
      <c r="L32" s="647"/>
      <c r="M32" s="693"/>
      <c r="N32" s="649"/>
      <c r="O32" s="697"/>
      <c r="P32" s="698"/>
      <c r="Q32" s="699"/>
      <c r="R32" s="652"/>
      <c r="S32" s="653"/>
      <c r="T32" s="653"/>
      <c r="U32" s="695"/>
      <c r="V32" s="696"/>
      <c r="W32" s="655"/>
      <c r="X32" s="490" t="s">
        <v>121</v>
      </c>
      <c r="Y32" s="567" t="s">
        <v>63</v>
      </c>
      <c r="Z32" s="567" t="s">
        <v>63</v>
      </c>
      <c r="AA32" s="568" t="s">
        <v>63</v>
      </c>
      <c r="AC32" s="569"/>
    </row>
    <row r="33" spans="1:30" ht="15" customHeight="1">
      <c r="A33" s="560"/>
      <c r="B33" s="561"/>
      <c r="C33" s="562"/>
      <c r="D33" s="1583"/>
      <c r="E33" s="1586"/>
      <c r="F33" s="1589"/>
      <c r="G33" s="1592"/>
      <c r="H33" s="1574"/>
      <c r="I33" s="570" t="s">
        <v>27</v>
      </c>
      <c r="J33" s="656"/>
      <c r="K33" s="477"/>
      <c r="L33" s="477"/>
      <c r="M33" s="700"/>
      <c r="N33" s="484">
        <v>3.7</v>
      </c>
      <c r="O33" s="485">
        <v>3.7</v>
      </c>
      <c r="P33" s="486">
        <v>2.8</v>
      </c>
      <c r="Q33" s="487"/>
      <c r="R33" s="658"/>
      <c r="S33" s="449"/>
      <c r="T33" s="449"/>
      <c r="U33" s="701"/>
      <c r="V33" s="702">
        <v>3.7</v>
      </c>
      <c r="W33" s="660">
        <v>3.7</v>
      </c>
      <c r="X33" s="1535" t="s">
        <v>143</v>
      </c>
      <c r="Y33" s="571" t="s">
        <v>144</v>
      </c>
      <c r="Z33" s="571" t="s">
        <v>145</v>
      </c>
      <c r="AA33" s="572" t="s">
        <v>145</v>
      </c>
    </row>
    <row r="34" spans="1:30" ht="16.5" customHeight="1" thickBot="1">
      <c r="A34" s="542"/>
      <c r="B34" s="543"/>
      <c r="C34" s="544"/>
      <c r="D34" s="1584"/>
      <c r="E34" s="1587"/>
      <c r="F34" s="1590"/>
      <c r="G34" s="1593"/>
      <c r="H34" s="1575"/>
      <c r="I34" s="472" t="s">
        <v>10</v>
      </c>
      <c r="J34" s="495">
        <f>K34+M34</f>
        <v>2910.2999999999997</v>
      </c>
      <c r="K34" s="494">
        <f>SUM(K29:K31)</f>
        <v>2857.1</v>
      </c>
      <c r="L34" s="494">
        <f>SUM(L29:L31)</f>
        <v>1776.1</v>
      </c>
      <c r="M34" s="496">
        <f>SUM(M29:M33)</f>
        <v>53.2</v>
      </c>
      <c r="N34" s="495">
        <f>O34+Q34</f>
        <v>2913.9999999999995</v>
      </c>
      <c r="O34" s="494">
        <f>SUM(O29:O33)</f>
        <v>2857.3999999999996</v>
      </c>
      <c r="P34" s="494">
        <f>SUM(P29:P33)</f>
        <v>1778.7</v>
      </c>
      <c r="Q34" s="499">
        <f>SUM(Q29:Q33)</f>
        <v>56.6</v>
      </c>
      <c r="R34" s="495">
        <f>S34+U34</f>
        <v>0</v>
      </c>
      <c r="S34" s="494">
        <f>SUM(S29:S31)</f>
        <v>0</v>
      </c>
      <c r="T34" s="494">
        <f>SUM(T29:T31)</f>
        <v>0</v>
      </c>
      <c r="U34" s="496">
        <f>SUM(U29:U33)</f>
        <v>0</v>
      </c>
      <c r="V34" s="621">
        <f>SUM(V29:V31)</f>
        <v>2910.3</v>
      </c>
      <c r="W34" s="503">
        <f>SUM(W29:W31)</f>
        <v>2910.3</v>
      </c>
      <c r="X34" s="1536"/>
      <c r="Y34" s="573"/>
      <c r="Z34" s="573"/>
      <c r="AA34" s="574"/>
      <c r="AD34" s="569"/>
    </row>
    <row r="35" spans="1:30" ht="24" customHeight="1">
      <c r="A35" s="553" t="s">
        <v>9</v>
      </c>
      <c r="B35" s="554" t="s">
        <v>11</v>
      </c>
      <c r="C35" s="555" t="s">
        <v>11</v>
      </c>
      <c r="D35" s="1741" t="s">
        <v>191</v>
      </c>
      <c r="E35" s="1585"/>
      <c r="F35" s="1588" t="s">
        <v>24</v>
      </c>
      <c r="G35" s="1591" t="s">
        <v>43</v>
      </c>
      <c r="H35" s="1573" t="s">
        <v>207</v>
      </c>
      <c r="I35" s="556" t="s">
        <v>36</v>
      </c>
      <c r="J35" s="491"/>
      <c r="K35" s="492"/>
      <c r="L35" s="492"/>
      <c r="M35" s="493"/>
      <c r="N35" s="491">
        <v>83</v>
      </c>
      <c r="O35" s="492">
        <v>83</v>
      </c>
      <c r="P35" s="691">
        <v>30.9</v>
      </c>
      <c r="Q35" s="692"/>
      <c r="R35" s="497"/>
      <c r="S35" s="466"/>
      <c r="T35" s="466"/>
      <c r="U35" s="467"/>
      <c r="V35" s="502">
        <v>83</v>
      </c>
      <c r="W35" s="504">
        <v>83</v>
      </c>
      <c r="X35" s="508" t="s">
        <v>146</v>
      </c>
      <c r="Y35" s="575">
        <v>12</v>
      </c>
      <c r="Z35" s="576" t="s">
        <v>147</v>
      </c>
      <c r="AA35" s="577">
        <v>12</v>
      </c>
    </row>
    <row r="36" spans="1:30" ht="15" customHeight="1" thickBot="1">
      <c r="A36" s="542"/>
      <c r="B36" s="543"/>
      <c r="C36" s="544"/>
      <c r="D36" s="1742"/>
      <c r="E36" s="1587"/>
      <c r="F36" s="1590"/>
      <c r="G36" s="1593"/>
      <c r="H36" s="1575"/>
      <c r="I36" s="472" t="s">
        <v>10</v>
      </c>
      <c r="J36" s="495">
        <f>K36+M36</f>
        <v>0</v>
      </c>
      <c r="K36" s="494">
        <f t="shared" ref="K36:W36" si="9">SUM(K35:K35)</f>
        <v>0</v>
      </c>
      <c r="L36" s="494">
        <f t="shared" si="9"/>
        <v>0</v>
      </c>
      <c r="M36" s="496">
        <f t="shared" si="9"/>
        <v>0</v>
      </c>
      <c r="N36" s="495">
        <f t="shared" si="9"/>
        <v>83</v>
      </c>
      <c r="O36" s="494">
        <f t="shared" si="9"/>
        <v>83</v>
      </c>
      <c r="P36" s="494">
        <f t="shared" si="9"/>
        <v>30.9</v>
      </c>
      <c r="Q36" s="499">
        <f t="shared" si="9"/>
        <v>0</v>
      </c>
      <c r="R36" s="498">
        <f t="shared" si="9"/>
        <v>0</v>
      </c>
      <c r="S36" s="494">
        <f t="shared" si="9"/>
        <v>0</v>
      </c>
      <c r="T36" s="494">
        <f t="shared" si="9"/>
        <v>0</v>
      </c>
      <c r="U36" s="496">
        <f t="shared" si="9"/>
        <v>0</v>
      </c>
      <c r="V36" s="503">
        <f>SUM(V35:V35)</f>
        <v>83</v>
      </c>
      <c r="W36" s="501">
        <f t="shared" si="9"/>
        <v>83</v>
      </c>
      <c r="X36" s="866"/>
      <c r="Y36" s="573"/>
      <c r="Z36" s="573"/>
      <c r="AA36" s="581"/>
    </row>
    <row r="37" spans="1:30" ht="22.5" customHeight="1">
      <c r="A37" s="553" t="s">
        <v>9</v>
      </c>
      <c r="B37" s="554" t="s">
        <v>11</v>
      </c>
      <c r="C37" s="555" t="s">
        <v>29</v>
      </c>
      <c r="D37" s="1602" t="s">
        <v>148</v>
      </c>
      <c r="E37" s="1585"/>
      <c r="F37" s="1588" t="s">
        <v>24</v>
      </c>
      <c r="G37" s="1591" t="s">
        <v>43</v>
      </c>
      <c r="H37" s="1573" t="s">
        <v>207</v>
      </c>
      <c r="I37" s="520" t="s">
        <v>25</v>
      </c>
      <c r="J37" s="491"/>
      <c r="K37" s="492"/>
      <c r="L37" s="492"/>
      <c r="M37" s="493"/>
      <c r="N37" s="491"/>
      <c r="O37" s="492"/>
      <c r="P37" s="691"/>
      <c r="Q37" s="692"/>
      <c r="R37" s="497"/>
      <c r="S37" s="466"/>
      <c r="T37" s="466"/>
      <c r="U37" s="467"/>
      <c r="V37" s="502">
        <v>59.9</v>
      </c>
      <c r="W37" s="504">
        <v>59.9</v>
      </c>
      <c r="X37" s="508" t="s">
        <v>200</v>
      </c>
      <c r="Y37" s="575"/>
      <c r="Z37" s="576" t="s">
        <v>197</v>
      </c>
      <c r="AA37" s="850" t="s">
        <v>197</v>
      </c>
      <c r="AC37" s="569"/>
    </row>
    <row r="38" spans="1:30" ht="16.5" customHeight="1" thickBot="1">
      <c r="A38" s="542"/>
      <c r="B38" s="543"/>
      <c r="C38" s="544"/>
      <c r="D38" s="1603"/>
      <c r="E38" s="1587"/>
      <c r="F38" s="1590"/>
      <c r="G38" s="1593"/>
      <c r="H38" s="1575"/>
      <c r="I38" s="472" t="s">
        <v>10</v>
      </c>
      <c r="J38" s="495">
        <f>K38+M38</f>
        <v>0</v>
      </c>
      <c r="K38" s="494">
        <f t="shared" ref="K38:W38" si="10">SUM(K37:K37)</f>
        <v>0</v>
      </c>
      <c r="L38" s="494">
        <f t="shared" si="10"/>
        <v>0</v>
      </c>
      <c r="M38" s="496">
        <f t="shared" si="10"/>
        <v>0</v>
      </c>
      <c r="N38" s="495">
        <f t="shared" si="10"/>
        <v>0</v>
      </c>
      <c r="O38" s="494">
        <f t="shared" si="10"/>
        <v>0</v>
      </c>
      <c r="P38" s="494">
        <f t="shared" si="10"/>
        <v>0</v>
      </c>
      <c r="Q38" s="499">
        <f t="shared" si="10"/>
        <v>0</v>
      </c>
      <c r="R38" s="498">
        <f t="shared" si="10"/>
        <v>0</v>
      </c>
      <c r="S38" s="494">
        <f t="shared" si="10"/>
        <v>0</v>
      </c>
      <c r="T38" s="494">
        <f t="shared" si="10"/>
        <v>0</v>
      </c>
      <c r="U38" s="496">
        <f t="shared" si="10"/>
        <v>0</v>
      </c>
      <c r="V38" s="503">
        <f t="shared" si="10"/>
        <v>59.9</v>
      </c>
      <c r="W38" s="501">
        <f t="shared" si="10"/>
        <v>59.9</v>
      </c>
      <c r="X38" s="815"/>
      <c r="Y38" s="573"/>
      <c r="Z38" s="573"/>
      <c r="AA38" s="581"/>
      <c r="AC38" s="569"/>
    </row>
    <row r="39" spans="1:30" ht="24.75" customHeight="1">
      <c r="A39" s="553" t="s">
        <v>9</v>
      </c>
      <c r="B39" s="554" t="s">
        <v>11</v>
      </c>
      <c r="C39" s="555" t="s">
        <v>69</v>
      </c>
      <c r="D39" s="1602" t="s">
        <v>150</v>
      </c>
      <c r="E39" s="1585"/>
      <c r="F39" s="1588" t="s">
        <v>24</v>
      </c>
      <c r="G39" s="1591" t="s">
        <v>43</v>
      </c>
      <c r="H39" s="1573" t="s">
        <v>207</v>
      </c>
      <c r="I39" s="520" t="s">
        <v>25</v>
      </c>
      <c r="J39" s="491"/>
      <c r="K39" s="492"/>
      <c r="L39" s="492"/>
      <c r="M39" s="493"/>
      <c r="N39" s="479"/>
      <c r="O39" s="480"/>
      <c r="P39" s="691"/>
      <c r="Q39" s="692"/>
      <c r="R39" s="497"/>
      <c r="S39" s="466"/>
      <c r="T39" s="466"/>
      <c r="U39" s="467"/>
      <c r="V39" s="502">
        <v>100</v>
      </c>
      <c r="W39" s="504">
        <v>100</v>
      </c>
      <c r="X39" s="1604" t="s">
        <v>201</v>
      </c>
      <c r="Y39" s="575"/>
      <c r="Z39" s="576" t="s">
        <v>152</v>
      </c>
      <c r="AA39" s="577">
        <v>92</v>
      </c>
    </row>
    <row r="40" spans="1:30" ht="16.5" customHeight="1" thickBot="1">
      <c r="A40" s="542"/>
      <c r="B40" s="543"/>
      <c r="C40" s="544"/>
      <c r="D40" s="1603"/>
      <c r="E40" s="1587"/>
      <c r="F40" s="1590"/>
      <c r="G40" s="1593"/>
      <c r="H40" s="1575"/>
      <c r="I40" s="472" t="s">
        <v>10</v>
      </c>
      <c r="J40" s="495">
        <f>K40+M40</f>
        <v>0</v>
      </c>
      <c r="K40" s="494">
        <f t="shared" ref="K40:W40" si="11">SUM(K39:K39)</f>
        <v>0</v>
      </c>
      <c r="L40" s="494">
        <f t="shared" si="11"/>
        <v>0</v>
      </c>
      <c r="M40" s="496">
        <f t="shared" si="11"/>
        <v>0</v>
      </c>
      <c r="N40" s="495">
        <f t="shared" si="11"/>
        <v>0</v>
      </c>
      <c r="O40" s="494">
        <f t="shared" si="11"/>
        <v>0</v>
      </c>
      <c r="P40" s="494">
        <f t="shared" si="11"/>
        <v>0</v>
      </c>
      <c r="Q40" s="499">
        <f t="shared" si="11"/>
        <v>0</v>
      </c>
      <c r="R40" s="498">
        <f t="shared" si="11"/>
        <v>0</v>
      </c>
      <c r="S40" s="494">
        <f t="shared" si="11"/>
        <v>0</v>
      </c>
      <c r="T40" s="494">
        <f t="shared" si="11"/>
        <v>0</v>
      </c>
      <c r="U40" s="496">
        <f t="shared" si="11"/>
        <v>0</v>
      </c>
      <c r="V40" s="503">
        <f t="shared" si="11"/>
        <v>100</v>
      </c>
      <c r="W40" s="501">
        <f t="shared" si="11"/>
        <v>100</v>
      </c>
      <c r="X40" s="1605"/>
      <c r="Y40" s="573"/>
      <c r="Z40" s="573"/>
      <c r="AA40" s="581"/>
    </row>
    <row r="41" spans="1:30" ht="12.75" thickBot="1">
      <c r="A41" s="517" t="s">
        <v>9</v>
      </c>
      <c r="B41" s="551" t="s">
        <v>11</v>
      </c>
      <c r="C41" s="1543" t="s">
        <v>12</v>
      </c>
      <c r="D41" s="1544"/>
      <c r="E41" s="1544"/>
      <c r="F41" s="1544"/>
      <c r="G41" s="1544"/>
      <c r="H41" s="1544"/>
      <c r="I41" s="1545"/>
      <c r="J41" s="304">
        <f>+J34</f>
        <v>2910.2999999999997</v>
      </c>
      <c r="K41" s="433">
        <f>+K34</f>
        <v>2857.1</v>
      </c>
      <c r="L41" s="432">
        <f>+L34</f>
        <v>1776.1</v>
      </c>
      <c r="M41" s="506">
        <f>+M34</f>
        <v>53.2</v>
      </c>
      <c r="N41" s="505">
        <f>+N34+N40+N36</f>
        <v>2996.9999999999995</v>
      </c>
      <c r="O41" s="432">
        <f>+O34+O40+O36</f>
        <v>2940.3999999999996</v>
      </c>
      <c r="P41" s="433">
        <f>+P34+P36</f>
        <v>1809.6000000000001</v>
      </c>
      <c r="Q41" s="507">
        <f>+Q34</f>
        <v>56.6</v>
      </c>
      <c r="R41" s="432">
        <f t="shared" ref="R41:U41" si="12">+R34</f>
        <v>0</v>
      </c>
      <c r="S41" s="433">
        <f t="shared" si="12"/>
        <v>0</v>
      </c>
      <c r="T41" s="432">
        <f t="shared" si="12"/>
        <v>0</v>
      </c>
      <c r="U41" s="431">
        <f t="shared" si="12"/>
        <v>0</v>
      </c>
      <c r="V41" s="500">
        <f>+V34+V40+V38+V36</f>
        <v>3153.2000000000003</v>
      </c>
      <c r="W41" s="432">
        <f>+W34+W36+W38+W40</f>
        <v>3153.2000000000003</v>
      </c>
      <c r="X41" s="1273"/>
      <c r="Y41" s="1274"/>
      <c r="Z41" s="1274"/>
      <c r="AA41" s="1275"/>
      <c r="AB41" s="569"/>
    </row>
    <row r="42" spans="1:30" ht="12.75" thickBot="1">
      <c r="A42" s="517" t="s">
        <v>9</v>
      </c>
      <c r="B42" s="552" t="s">
        <v>29</v>
      </c>
      <c r="C42" s="1540" t="s">
        <v>34</v>
      </c>
      <c r="D42" s="1541"/>
      <c r="E42" s="1541"/>
      <c r="F42" s="1541"/>
      <c r="G42" s="1541"/>
      <c r="H42" s="1541"/>
      <c r="I42" s="1541"/>
      <c r="J42" s="1541"/>
      <c r="K42" s="1541"/>
      <c r="L42" s="1541"/>
      <c r="M42" s="1541"/>
      <c r="N42" s="1541"/>
      <c r="O42" s="1541"/>
      <c r="P42" s="1541"/>
      <c r="Q42" s="1541"/>
      <c r="R42" s="1541"/>
      <c r="S42" s="1541"/>
      <c r="T42" s="1541"/>
      <c r="U42" s="1541"/>
      <c r="V42" s="1541"/>
      <c r="W42" s="1541"/>
      <c r="X42" s="1541"/>
      <c r="Y42" s="1541"/>
      <c r="Z42" s="1541"/>
      <c r="AA42" s="1542"/>
      <c r="AB42" s="569"/>
    </row>
    <row r="43" spans="1:30" ht="14.25" customHeight="1">
      <c r="A43" s="1745" t="s">
        <v>9</v>
      </c>
      <c r="B43" s="1560" t="s">
        <v>29</v>
      </c>
      <c r="C43" s="1725" t="s">
        <v>9</v>
      </c>
      <c r="D43" s="1728" t="s">
        <v>46</v>
      </c>
      <c r="E43" s="1576" t="s">
        <v>32</v>
      </c>
      <c r="F43" s="1714" t="s">
        <v>24</v>
      </c>
      <c r="G43" s="1717" t="s">
        <v>44</v>
      </c>
      <c r="H43" s="1719" t="s">
        <v>208</v>
      </c>
      <c r="I43" s="583" t="s">
        <v>31</v>
      </c>
      <c r="J43" s="703">
        <f t="shared" ref="J43:J45" si="13">K43+M43</f>
        <v>285</v>
      </c>
      <c r="K43" s="704"/>
      <c r="L43" s="704"/>
      <c r="M43" s="705">
        <v>285</v>
      </c>
      <c r="N43" s="706"/>
      <c r="O43" s="707"/>
      <c r="P43" s="707"/>
      <c r="Q43" s="708"/>
      <c r="R43" s="709">
        <f t="shared" ref="R43:R45" si="14">S43+U43</f>
        <v>0</v>
      </c>
      <c r="S43" s="710"/>
      <c r="T43" s="710"/>
      <c r="U43" s="711">
        <v>0</v>
      </c>
      <c r="V43" s="712"/>
      <c r="W43" s="713"/>
      <c r="X43" s="1594" t="s">
        <v>184</v>
      </c>
      <c r="Y43" s="622"/>
      <c r="Z43" s="623"/>
      <c r="AA43" s="624"/>
    </row>
    <row r="44" spans="1:30">
      <c r="A44" s="1747"/>
      <c r="B44" s="1561"/>
      <c r="C44" s="1726"/>
      <c r="D44" s="1729"/>
      <c r="E44" s="1577"/>
      <c r="F44" s="1716"/>
      <c r="G44" s="1740"/>
      <c r="H44" s="1731"/>
      <c r="I44" s="584" t="s">
        <v>39</v>
      </c>
      <c r="J44" s="714">
        <f t="shared" si="13"/>
        <v>1000</v>
      </c>
      <c r="K44" s="715"/>
      <c r="L44" s="715"/>
      <c r="M44" s="716">
        <v>1000</v>
      </c>
      <c r="N44" s="717">
        <f t="shared" ref="N44" si="15">O44+Q44</f>
        <v>285.5</v>
      </c>
      <c r="O44" s="718"/>
      <c r="P44" s="718"/>
      <c r="Q44" s="719">
        <v>285.5</v>
      </c>
      <c r="R44" s="720">
        <f t="shared" si="14"/>
        <v>0</v>
      </c>
      <c r="S44" s="721"/>
      <c r="T44" s="721"/>
      <c r="U44" s="722">
        <v>0</v>
      </c>
      <c r="V44" s="723"/>
      <c r="W44" s="724"/>
      <c r="X44" s="1595"/>
      <c r="Y44" s="625"/>
      <c r="Z44" s="626"/>
      <c r="AA44" s="627"/>
    </row>
    <row r="45" spans="1:30" ht="12.75" thickBot="1">
      <c r="A45" s="1746"/>
      <c r="B45" s="1721"/>
      <c r="C45" s="1727"/>
      <c r="D45" s="1730"/>
      <c r="E45" s="1578"/>
      <c r="F45" s="1715"/>
      <c r="G45" s="1718"/>
      <c r="H45" s="1720"/>
      <c r="I45" s="826" t="s">
        <v>10</v>
      </c>
      <c r="J45" s="725">
        <f t="shared" si="13"/>
        <v>1285</v>
      </c>
      <c r="K45" s="726"/>
      <c r="L45" s="726"/>
      <c r="M45" s="727">
        <f>SUM(M43:M44)</f>
        <v>1285</v>
      </c>
      <c r="N45" s="725">
        <f>O45+Q45</f>
        <v>285.5</v>
      </c>
      <c r="O45" s="726"/>
      <c r="P45" s="726"/>
      <c r="Q45" s="727">
        <f>SUM(Q43:Q44)</f>
        <v>285.5</v>
      </c>
      <c r="R45" s="725">
        <f t="shared" si="14"/>
        <v>0</v>
      </c>
      <c r="S45" s="726"/>
      <c r="T45" s="726"/>
      <c r="U45" s="727">
        <f>SUM(U43:U44)</f>
        <v>0</v>
      </c>
      <c r="V45" s="604"/>
      <c r="W45" s="829"/>
      <c r="X45" s="1596"/>
      <c r="Y45" s="631">
        <v>100</v>
      </c>
      <c r="Z45" s="632"/>
      <c r="AA45" s="633"/>
      <c r="AC45" s="569"/>
    </row>
    <row r="46" spans="1:30" ht="15.75" customHeight="1">
      <c r="A46" s="1745" t="s">
        <v>9</v>
      </c>
      <c r="B46" s="1560" t="s">
        <v>29</v>
      </c>
      <c r="C46" s="1562" t="s">
        <v>11</v>
      </c>
      <c r="D46" s="1537" t="s">
        <v>190</v>
      </c>
      <c r="E46" s="1736" t="s">
        <v>32</v>
      </c>
      <c r="F46" s="1714" t="s">
        <v>24</v>
      </c>
      <c r="G46" s="1733" t="s">
        <v>44</v>
      </c>
      <c r="H46" s="1719" t="s">
        <v>208</v>
      </c>
      <c r="I46" s="582" t="s">
        <v>31</v>
      </c>
      <c r="J46" s="635">
        <f>K46+M46</f>
        <v>8</v>
      </c>
      <c r="K46" s="636"/>
      <c r="L46" s="636"/>
      <c r="M46" s="728">
        <v>8</v>
      </c>
      <c r="N46" s="638">
        <f>O46+Q46</f>
        <v>20.6</v>
      </c>
      <c r="O46" s="639"/>
      <c r="P46" s="729"/>
      <c r="Q46" s="644">
        <v>20.6</v>
      </c>
      <c r="R46" s="641">
        <f>S46+U46</f>
        <v>0</v>
      </c>
      <c r="S46" s="642"/>
      <c r="T46" s="642"/>
      <c r="U46" s="730">
        <v>0</v>
      </c>
      <c r="V46" s="676"/>
      <c r="W46" s="731"/>
      <c r="X46" s="628" t="s">
        <v>185</v>
      </c>
      <c r="Y46" s="818">
        <v>1</v>
      </c>
      <c r="Z46" s="818"/>
      <c r="AA46" s="593"/>
      <c r="AB46" s="618"/>
    </row>
    <row r="47" spans="1:30" ht="15.75" customHeight="1">
      <c r="A47" s="1747"/>
      <c r="B47" s="1561"/>
      <c r="C47" s="1563"/>
      <c r="D47" s="1538"/>
      <c r="E47" s="1748"/>
      <c r="F47" s="1533"/>
      <c r="G47" s="1734"/>
      <c r="H47" s="1731"/>
      <c r="I47" s="512" t="s">
        <v>108</v>
      </c>
      <c r="J47" s="646"/>
      <c r="K47" s="647"/>
      <c r="L47" s="647"/>
      <c r="M47" s="693"/>
      <c r="N47" s="771">
        <v>250</v>
      </c>
      <c r="O47" s="772"/>
      <c r="P47" s="773"/>
      <c r="Q47" s="774">
        <v>250</v>
      </c>
      <c r="R47" s="652"/>
      <c r="S47" s="653"/>
      <c r="T47" s="653"/>
      <c r="U47" s="695"/>
      <c r="V47" s="775">
        <v>143.1</v>
      </c>
      <c r="W47" s="732"/>
      <c r="X47" s="770" t="s">
        <v>186</v>
      </c>
      <c r="Y47" s="819"/>
      <c r="Z47" s="819">
        <v>1</v>
      </c>
      <c r="AA47" s="629"/>
    </row>
    <row r="48" spans="1:30" ht="12.75" thickBot="1">
      <c r="A48" s="1746"/>
      <c r="B48" s="1721"/>
      <c r="C48" s="1630"/>
      <c r="D48" s="1539"/>
      <c r="E48" s="1737"/>
      <c r="F48" s="1715"/>
      <c r="G48" s="1735"/>
      <c r="H48" s="1720"/>
      <c r="I48" s="827" t="s">
        <v>10</v>
      </c>
      <c r="J48" s="495">
        <f>K48+M48</f>
        <v>8</v>
      </c>
      <c r="K48" s="494"/>
      <c r="L48" s="494"/>
      <c r="M48" s="496">
        <f>M46</f>
        <v>8</v>
      </c>
      <c r="N48" s="495">
        <f>SUM(N46:N47)</f>
        <v>270.60000000000002</v>
      </c>
      <c r="O48" s="494"/>
      <c r="P48" s="494"/>
      <c r="Q48" s="496">
        <f>SUM(Q46:Q47)</f>
        <v>270.60000000000002</v>
      </c>
      <c r="R48" s="495">
        <f>S48+U48</f>
        <v>0</v>
      </c>
      <c r="S48" s="494"/>
      <c r="T48" s="494"/>
      <c r="U48" s="496">
        <f>U46</f>
        <v>0</v>
      </c>
      <c r="V48" s="621">
        <f>SUM(V46:V47)</f>
        <v>143.1</v>
      </c>
      <c r="W48" s="621"/>
      <c r="X48" s="831"/>
      <c r="Y48" s="548"/>
      <c r="Z48" s="594"/>
      <c r="AA48" s="595"/>
    </row>
    <row r="49" spans="1:28" ht="15.75" customHeight="1">
      <c r="A49" s="1745" t="s">
        <v>9</v>
      </c>
      <c r="B49" s="1560" t="s">
        <v>29</v>
      </c>
      <c r="C49" s="1562" t="s">
        <v>29</v>
      </c>
      <c r="D49" s="1537" t="s">
        <v>188</v>
      </c>
      <c r="E49" s="1736" t="s">
        <v>32</v>
      </c>
      <c r="F49" s="1714" t="s">
        <v>24</v>
      </c>
      <c r="G49" s="1717" t="s">
        <v>43</v>
      </c>
      <c r="H49" s="1719" t="s">
        <v>207</v>
      </c>
      <c r="I49" s="616" t="s">
        <v>103</v>
      </c>
      <c r="J49" s="479">
        <f t="shared" ref="J49" si="16">K49+M49</f>
        <v>1076.9000000000001</v>
      </c>
      <c r="K49" s="480"/>
      <c r="L49" s="480"/>
      <c r="M49" s="481">
        <v>1076.9000000000001</v>
      </c>
      <c r="N49" s="491">
        <v>340</v>
      </c>
      <c r="O49" s="492"/>
      <c r="P49" s="733"/>
      <c r="Q49" s="493">
        <v>340</v>
      </c>
      <c r="R49" s="465">
        <f t="shared" ref="R49" si="17">S49+U49</f>
        <v>0</v>
      </c>
      <c r="S49" s="466"/>
      <c r="T49" s="466"/>
      <c r="U49" s="467">
        <v>0</v>
      </c>
      <c r="V49" s="617">
        <v>828.4</v>
      </c>
      <c r="W49" s="464">
        <v>828.4</v>
      </c>
      <c r="X49" s="509" t="s">
        <v>153</v>
      </c>
      <c r="Y49" s="585">
        <v>1</v>
      </c>
      <c r="Z49" s="585"/>
      <c r="AA49" s="586"/>
    </row>
    <row r="50" spans="1:28" ht="26.25" customHeight="1">
      <c r="A50" s="1747"/>
      <c r="B50" s="1561"/>
      <c r="C50" s="1563"/>
      <c r="D50" s="1538"/>
      <c r="E50" s="1748"/>
      <c r="F50" s="1533"/>
      <c r="G50" s="1732"/>
      <c r="H50" s="1731"/>
      <c r="I50" s="512"/>
      <c r="J50" s="646"/>
      <c r="K50" s="647"/>
      <c r="L50" s="647"/>
      <c r="M50" s="693"/>
      <c r="N50" s="649"/>
      <c r="O50" s="650"/>
      <c r="P50" s="697"/>
      <c r="Q50" s="654"/>
      <c r="R50" s="652"/>
      <c r="S50" s="653"/>
      <c r="T50" s="653"/>
      <c r="U50" s="695"/>
      <c r="V50" s="587"/>
      <c r="W50" s="587"/>
      <c r="X50" s="510" t="s">
        <v>154</v>
      </c>
      <c r="Y50" s="588"/>
      <c r="Z50" s="588">
        <v>100</v>
      </c>
      <c r="AA50" s="589"/>
      <c r="AB50" s="618"/>
    </row>
    <row r="51" spans="1:28" ht="26.25" customHeight="1">
      <c r="A51" s="1747"/>
      <c r="B51" s="1561"/>
      <c r="C51" s="1563"/>
      <c r="D51" s="1538"/>
      <c r="E51" s="1748"/>
      <c r="F51" s="1533"/>
      <c r="G51" s="1732"/>
      <c r="H51" s="1731"/>
      <c r="I51" s="512"/>
      <c r="J51" s="646"/>
      <c r="K51" s="647"/>
      <c r="L51" s="647"/>
      <c r="M51" s="693"/>
      <c r="N51" s="649"/>
      <c r="O51" s="650"/>
      <c r="P51" s="697"/>
      <c r="Q51" s="654"/>
      <c r="R51" s="652"/>
      <c r="S51" s="653"/>
      <c r="T51" s="653"/>
      <c r="U51" s="695"/>
      <c r="V51" s="587"/>
      <c r="W51" s="587"/>
      <c r="X51" s="510" t="s">
        <v>155</v>
      </c>
      <c r="Y51" s="588"/>
      <c r="Z51" s="588"/>
      <c r="AA51" s="589">
        <v>66</v>
      </c>
    </row>
    <row r="52" spans="1:28" ht="24.75" thickBot="1">
      <c r="A52" s="1746"/>
      <c r="B52" s="1721"/>
      <c r="C52" s="1630"/>
      <c r="D52" s="1539"/>
      <c r="E52" s="1737"/>
      <c r="F52" s="1715"/>
      <c r="G52" s="1718"/>
      <c r="H52" s="1720"/>
      <c r="I52" s="827" t="s">
        <v>10</v>
      </c>
      <c r="J52" s="495">
        <f>K52+M52</f>
        <v>1076.9000000000001</v>
      </c>
      <c r="K52" s="494"/>
      <c r="L52" s="494"/>
      <c r="M52" s="496">
        <f>M49</f>
        <v>1076.9000000000001</v>
      </c>
      <c r="N52" s="495">
        <f t="shared" ref="N52" si="18">O52+Q52</f>
        <v>340</v>
      </c>
      <c r="O52" s="494"/>
      <c r="P52" s="494"/>
      <c r="Q52" s="496">
        <f>Q49</f>
        <v>340</v>
      </c>
      <c r="R52" s="495">
        <f>S52+U52</f>
        <v>0</v>
      </c>
      <c r="S52" s="494">
        <f>SUM(S49)</f>
        <v>0</v>
      </c>
      <c r="T52" s="494"/>
      <c r="U52" s="496">
        <f>U49</f>
        <v>0</v>
      </c>
      <c r="V52" s="621">
        <f>+V49</f>
        <v>828.4</v>
      </c>
      <c r="W52" s="621">
        <f>SUM(W49:W51)</f>
        <v>828.4</v>
      </c>
      <c r="X52" s="511" t="s">
        <v>156</v>
      </c>
      <c r="Y52" s="590"/>
      <c r="Z52" s="590">
        <v>100</v>
      </c>
      <c r="AA52" s="591"/>
    </row>
    <row r="53" spans="1:28" ht="27.75" customHeight="1">
      <c r="A53" s="1745" t="s">
        <v>9</v>
      </c>
      <c r="B53" s="1560" t="s">
        <v>29</v>
      </c>
      <c r="C53" s="1562" t="s">
        <v>69</v>
      </c>
      <c r="D53" s="1751" t="s">
        <v>212</v>
      </c>
      <c r="E53" s="1736"/>
      <c r="F53" s="1714" t="s">
        <v>24</v>
      </c>
      <c r="G53" s="1717" t="s">
        <v>44</v>
      </c>
      <c r="H53" s="1719" t="s">
        <v>208</v>
      </c>
      <c r="I53" s="619" t="s">
        <v>25</v>
      </c>
      <c r="J53" s="638"/>
      <c r="K53" s="639"/>
      <c r="L53" s="639"/>
      <c r="M53" s="644"/>
      <c r="N53" s="638">
        <v>297.2</v>
      </c>
      <c r="O53" s="639"/>
      <c r="P53" s="639"/>
      <c r="Q53" s="644">
        <v>297.2</v>
      </c>
      <c r="R53" s="641"/>
      <c r="S53" s="642"/>
      <c r="T53" s="642"/>
      <c r="U53" s="730"/>
      <c r="V53" s="676"/>
      <c r="W53" s="676"/>
      <c r="X53" s="1604" t="s">
        <v>206</v>
      </c>
      <c r="Y53" s="1754">
        <v>897.9</v>
      </c>
      <c r="Z53" s="592"/>
      <c r="AA53" s="593"/>
    </row>
    <row r="54" spans="1:28" ht="12.75" thickBot="1">
      <c r="A54" s="1746"/>
      <c r="B54" s="1721"/>
      <c r="C54" s="1630"/>
      <c r="D54" s="1752"/>
      <c r="E54" s="1737"/>
      <c r="F54" s="1715"/>
      <c r="G54" s="1718"/>
      <c r="H54" s="1720"/>
      <c r="I54" s="827" t="s">
        <v>10</v>
      </c>
      <c r="J54" s="830"/>
      <c r="K54" s="726"/>
      <c r="L54" s="828"/>
      <c r="M54" s="726"/>
      <c r="N54" s="725">
        <f t="shared" ref="N54:W54" si="19">N53</f>
        <v>297.2</v>
      </c>
      <c r="O54" s="734">
        <f t="shared" si="19"/>
        <v>0</v>
      </c>
      <c r="P54" s="828">
        <f t="shared" si="19"/>
        <v>0</v>
      </c>
      <c r="Q54" s="726">
        <f t="shared" si="19"/>
        <v>297.2</v>
      </c>
      <c r="R54" s="725">
        <f t="shared" si="19"/>
        <v>0</v>
      </c>
      <c r="S54" s="828">
        <f t="shared" si="19"/>
        <v>0</v>
      </c>
      <c r="T54" s="726">
        <f t="shared" si="19"/>
        <v>0</v>
      </c>
      <c r="U54" s="734">
        <f t="shared" si="19"/>
        <v>0</v>
      </c>
      <c r="V54" s="725">
        <f t="shared" si="19"/>
        <v>0</v>
      </c>
      <c r="W54" s="725">
        <f t="shared" si="19"/>
        <v>0</v>
      </c>
      <c r="X54" s="1605"/>
      <c r="Y54" s="1755"/>
      <c r="Z54" s="594"/>
      <c r="AA54" s="595"/>
    </row>
    <row r="55" spans="1:28" ht="16.5" customHeight="1">
      <c r="A55" s="1745" t="s">
        <v>9</v>
      </c>
      <c r="B55" s="1560" t="s">
        <v>29</v>
      </c>
      <c r="C55" s="1562" t="s">
        <v>101</v>
      </c>
      <c r="D55" s="1749" t="s">
        <v>158</v>
      </c>
      <c r="E55" s="1736" t="s">
        <v>32</v>
      </c>
      <c r="F55" s="1714" t="s">
        <v>24</v>
      </c>
      <c r="G55" s="1717" t="s">
        <v>43</v>
      </c>
      <c r="H55" s="1719"/>
      <c r="I55" s="619" t="s">
        <v>31</v>
      </c>
      <c r="J55" s="638"/>
      <c r="K55" s="639"/>
      <c r="L55" s="639"/>
      <c r="M55" s="644"/>
      <c r="N55" s="638">
        <f>O55+Q55</f>
        <v>4726.3999999999996</v>
      </c>
      <c r="O55" s="639"/>
      <c r="P55" s="729"/>
      <c r="Q55" s="644">
        <v>4726.3999999999996</v>
      </c>
      <c r="R55" s="641"/>
      <c r="S55" s="642"/>
      <c r="T55" s="642"/>
      <c r="U55" s="730"/>
      <c r="V55" s="676">
        <v>10730</v>
      </c>
      <c r="W55" s="676">
        <v>8098</v>
      </c>
      <c r="X55" s="630"/>
      <c r="Y55" s="818"/>
      <c r="Z55" s="592"/>
      <c r="AA55" s="593"/>
    </row>
    <row r="56" spans="1:28" ht="12.75" thickBot="1">
      <c r="A56" s="1746"/>
      <c r="B56" s="1721"/>
      <c r="C56" s="1630"/>
      <c r="D56" s="1750"/>
      <c r="E56" s="1737"/>
      <c r="F56" s="1715"/>
      <c r="G56" s="1718"/>
      <c r="H56" s="1720"/>
      <c r="I56" s="827" t="s">
        <v>10</v>
      </c>
      <c r="J56" s="830"/>
      <c r="K56" s="726"/>
      <c r="L56" s="828"/>
      <c r="M56" s="726"/>
      <c r="N56" s="725">
        <f t="shared" ref="N56:W56" si="20">N55</f>
        <v>4726.3999999999996</v>
      </c>
      <c r="O56" s="734">
        <f t="shared" si="20"/>
        <v>0</v>
      </c>
      <c r="P56" s="828">
        <f t="shared" si="20"/>
        <v>0</v>
      </c>
      <c r="Q56" s="726">
        <f t="shared" si="20"/>
        <v>4726.3999999999996</v>
      </c>
      <c r="R56" s="725">
        <f t="shared" si="20"/>
        <v>0</v>
      </c>
      <c r="S56" s="828">
        <f t="shared" si="20"/>
        <v>0</v>
      </c>
      <c r="T56" s="726">
        <f t="shared" si="20"/>
        <v>0</v>
      </c>
      <c r="U56" s="734">
        <f t="shared" si="20"/>
        <v>0</v>
      </c>
      <c r="V56" s="725">
        <f t="shared" si="20"/>
        <v>10730</v>
      </c>
      <c r="W56" s="725">
        <f t="shared" si="20"/>
        <v>8098</v>
      </c>
      <c r="X56" s="831"/>
      <c r="Y56" s="548"/>
      <c r="Z56" s="594"/>
      <c r="AA56" s="595"/>
    </row>
    <row r="57" spans="1:28">
      <c r="A57" s="1745" t="s">
        <v>9</v>
      </c>
      <c r="B57" s="1560" t="s">
        <v>29</v>
      </c>
      <c r="C57" s="1562" t="s">
        <v>157</v>
      </c>
      <c r="D57" s="1749" t="s">
        <v>202</v>
      </c>
      <c r="E57" s="1736" t="s">
        <v>32</v>
      </c>
      <c r="F57" s="1714" t="s">
        <v>24</v>
      </c>
      <c r="G57" s="1717" t="s">
        <v>43</v>
      </c>
      <c r="H57" s="1719"/>
      <c r="I57" s="620" t="s">
        <v>31</v>
      </c>
      <c r="J57" s="617"/>
      <c r="K57" s="492"/>
      <c r="L57" s="504"/>
      <c r="M57" s="493"/>
      <c r="N57" s="491">
        <v>260</v>
      </c>
      <c r="O57" s="691"/>
      <c r="P57" s="735"/>
      <c r="Q57" s="493">
        <v>260</v>
      </c>
      <c r="R57" s="465"/>
      <c r="S57" s="736"/>
      <c r="T57" s="466"/>
      <c r="U57" s="736"/>
      <c r="V57" s="617">
        <v>1220</v>
      </c>
      <c r="W57" s="464">
        <v>3100</v>
      </c>
      <c r="X57" s="509" t="s">
        <v>183</v>
      </c>
      <c r="Y57" s="585">
        <v>1</v>
      </c>
      <c r="Z57" s="585"/>
      <c r="AA57" s="586"/>
    </row>
    <row r="58" spans="1:28">
      <c r="A58" s="1747"/>
      <c r="B58" s="1561"/>
      <c r="C58" s="1563"/>
      <c r="D58" s="1756"/>
      <c r="E58" s="1748"/>
      <c r="F58" s="1533"/>
      <c r="G58" s="1732"/>
      <c r="H58" s="1731"/>
      <c r="I58" s="512"/>
      <c r="J58" s="587"/>
      <c r="K58" s="650"/>
      <c r="L58" s="737"/>
      <c r="M58" s="654"/>
      <c r="N58" s="649"/>
      <c r="O58" s="694"/>
      <c r="P58" s="738"/>
      <c r="Q58" s="654"/>
      <c r="R58" s="652"/>
      <c r="S58" s="739"/>
      <c r="T58" s="653"/>
      <c r="U58" s="739"/>
      <c r="V58" s="587"/>
      <c r="W58" s="587"/>
      <c r="X58" s="510" t="s">
        <v>160</v>
      </c>
      <c r="Y58" s="588"/>
      <c r="Z58" s="588"/>
      <c r="AA58" s="589">
        <v>100</v>
      </c>
    </row>
    <row r="59" spans="1:28">
      <c r="A59" s="1747"/>
      <c r="B59" s="1561"/>
      <c r="C59" s="1563"/>
      <c r="D59" s="1756"/>
      <c r="E59" s="1748"/>
      <c r="F59" s="1533"/>
      <c r="G59" s="1732"/>
      <c r="H59" s="1731"/>
      <c r="I59" s="512"/>
      <c r="J59" s="587"/>
      <c r="K59" s="650"/>
      <c r="L59" s="737"/>
      <c r="M59" s="654"/>
      <c r="N59" s="649"/>
      <c r="O59" s="694"/>
      <c r="P59" s="738"/>
      <c r="Q59" s="654"/>
      <c r="R59" s="652"/>
      <c r="S59" s="739"/>
      <c r="T59" s="653"/>
      <c r="U59" s="739"/>
      <c r="V59" s="587"/>
      <c r="W59" s="587"/>
      <c r="X59" s="510" t="s">
        <v>178</v>
      </c>
      <c r="Y59" s="588"/>
      <c r="Z59" s="588"/>
      <c r="AA59" s="589">
        <v>5</v>
      </c>
    </row>
    <row r="60" spans="1:28" ht="12.75" thickBot="1">
      <c r="A60" s="1746"/>
      <c r="B60" s="1721"/>
      <c r="C60" s="1630"/>
      <c r="D60" s="1750"/>
      <c r="E60" s="1737"/>
      <c r="F60" s="1715"/>
      <c r="G60" s="1718"/>
      <c r="H60" s="1720"/>
      <c r="I60" s="827" t="s">
        <v>10</v>
      </c>
      <c r="J60" s="830"/>
      <c r="K60" s="726"/>
      <c r="L60" s="828"/>
      <c r="M60" s="726"/>
      <c r="N60" s="725">
        <f t="shared" ref="N60:W60" si="21">N57</f>
        <v>260</v>
      </c>
      <c r="O60" s="734">
        <f t="shared" si="21"/>
        <v>0</v>
      </c>
      <c r="P60" s="828">
        <f t="shared" si="21"/>
        <v>0</v>
      </c>
      <c r="Q60" s="726">
        <f t="shared" si="21"/>
        <v>260</v>
      </c>
      <c r="R60" s="725">
        <f t="shared" si="21"/>
        <v>0</v>
      </c>
      <c r="S60" s="828">
        <f t="shared" si="21"/>
        <v>0</v>
      </c>
      <c r="T60" s="726">
        <f t="shared" si="21"/>
        <v>0</v>
      </c>
      <c r="U60" s="734">
        <f t="shared" si="21"/>
        <v>0</v>
      </c>
      <c r="V60" s="725">
        <f t="shared" si="21"/>
        <v>1220</v>
      </c>
      <c r="W60" s="725">
        <f t="shared" si="21"/>
        <v>3100</v>
      </c>
      <c r="X60" s="510" t="s">
        <v>179</v>
      </c>
      <c r="Y60" s="588"/>
      <c r="Z60" s="588"/>
      <c r="AA60" s="589">
        <v>293</v>
      </c>
    </row>
    <row r="61" spans="1:28" ht="16.5" customHeight="1">
      <c r="A61" s="1745" t="s">
        <v>9</v>
      </c>
      <c r="B61" s="1560" t="s">
        <v>29</v>
      </c>
      <c r="C61" s="1562" t="s">
        <v>24</v>
      </c>
      <c r="D61" s="1749" t="s">
        <v>203</v>
      </c>
      <c r="E61" s="1736" t="s">
        <v>32</v>
      </c>
      <c r="F61" s="1714" t="s">
        <v>24</v>
      </c>
      <c r="G61" s="1717" t="s">
        <v>43</v>
      </c>
      <c r="H61" s="1719"/>
      <c r="I61" s="619" t="s">
        <v>31</v>
      </c>
      <c r="J61" s="676"/>
      <c r="K61" s="639"/>
      <c r="L61" s="740"/>
      <c r="M61" s="644"/>
      <c r="N61" s="638">
        <v>571.4</v>
      </c>
      <c r="O61" s="741"/>
      <c r="P61" s="742"/>
      <c r="Q61" s="644">
        <v>571.4</v>
      </c>
      <c r="R61" s="641"/>
      <c r="S61" s="743"/>
      <c r="T61" s="642"/>
      <c r="U61" s="743"/>
      <c r="V61" s="676"/>
      <c r="W61" s="731"/>
      <c r="X61" s="509" t="s">
        <v>180</v>
      </c>
      <c r="Y61" s="585">
        <v>1</v>
      </c>
      <c r="Z61" s="585"/>
      <c r="AA61" s="586"/>
    </row>
    <row r="62" spans="1:28" ht="21" customHeight="1" thickBot="1">
      <c r="A62" s="1746"/>
      <c r="B62" s="1721"/>
      <c r="C62" s="1630"/>
      <c r="D62" s="1750"/>
      <c r="E62" s="1737"/>
      <c r="F62" s="1715"/>
      <c r="G62" s="1718"/>
      <c r="H62" s="1720"/>
      <c r="I62" s="827" t="s">
        <v>10</v>
      </c>
      <c r="J62" s="830"/>
      <c r="K62" s="726"/>
      <c r="L62" s="828"/>
      <c r="M62" s="726"/>
      <c r="N62" s="725">
        <f t="shared" ref="N62:W62" si="22">N61</f>
        <v>571.4</v>
      </c>
      <c r="O62" s="734">
        <f t="shared" si="22"/>
        <v>0</v>
      </c>
      <c r="P62" s="828">
        <f t="shared" si="22"/>
        <v>0</v>
      </c>
      <c r="Q62" s="726">
        <f t="shared" si="22"/>
        <v>571.4</v>
      </c>
      <c r="R62" s="725">
        <f t="shared" si="22"/>
        <v>0</v>
      </c>
      <c r="S62" s="828">
        <f t="shared" si="22"/>
        <v>0</v>
      </c>
      <c r="T62" s="726">
        <f t="shared" si="22"/>
        <v>0</v>
      </c>
      <c r="U62" s="734">
        <f t="shared" si="22"/>
        <v>0</v>
      </c>
      <c r="V62" s="725">
        <f t="shared" si="22"/>
        <v>0</v>
      </c>
      <c r="W62" s="725">
        <f t="shared" si="22"/>
        <v>0</v>
      </c>
      <c r="X62" s="511" t="s">
        <v>181</v>
      </c>
      <c r="Y62" s="590">
        <v>22</v>
      </c>
      <c r="Z62" s="590"/>
      <c r="AA62" s="591"/>
    </row>
    <row r="63" spans="1:28" ht="16.5" customHeight="1">
      <c r="A63" s="1745" t="s">
        <v>9</v>
      </c>
      <c r="B63" s="1560" t="s">
        <v>29</v>
      </c>
      <c r="C63" s="1562" t="s">
        <v>161</v>
      </c>
      <c r="D63" s="1749" t="s">
        <v>204</v>
      </c>
      <c r="E63" s="1736" t="s">
        <v>32</v>
      </c>
      <c r="F63" s="1714" t="s">
        <v>24</v>
      </c>
      <c r="G63" s="1717" t="s">
        <v>43</v>
      </c>
      <c r="H63" s="1719"/>
      <c r="I63" s="619" t="s">
        <v>31</v>
      </c>
      <c r="J63" s="676"/>
      <c r="K63" s="639"/>
      <c r="L63" s="740"/>
      <c r="M63" s="644"/>
      <c r="N63" s="638">
        <v>82.8</v>
      </c>
      <c r="O63" s="741">
        <v>82.8</v>
      </c>
      <c r="P63" s="742"/>
      <c r="Q63" s="644"/>
      <c r="R63" s="641"/>
      <c r="S63" s="743"/>
      <c r="T63" s="642"/>
      <c r="U63" s="743"/>
      <c r="V63" s="676"/>
      <c r="W63" s="731"/>
      <c r="X63" s="1604" t="s">
        <v>165</v>
      </c>
      <c r="Y63" s="1754">
        <v>100</v>
      </c>
      <c r="Z63" s="592"/>
      <c r="AA63" s="593"/>
    </row>
    <row r="64" spans="1:28" ht="12.75" thickBot="1">
      <c r="A64" s="1746"/>
      <c r="B64" s="1721"/>
      <c r="C64" s="1630"/>
      <c r="D64" s="1750"/>
      <c r="E64" s="1737"/>
      <c r="F64" s="1715"/>
      <c r="G64" s="1718"/>
      <c r="H64" s="1720"/>
      <c r="I64" s="827" t="s">
        <v>10</v>
      </c>
      <c r="J64" s="830"/>
      <c r="K64" s="726"/>
      <c r="L64" s="828"/>
      <c r="M64" s="726"/>
      <c r="N64" s="725">
        <f t="shared" ref="N64:W64" si="23">N63</f>
        <v>82.8</v>
      </c>
      <c r="O64" s="734">
        <f t="shared" si="23"/>
        <v>82.8</v>
      </c>
      <c r="P64" s="828">
        <f t="shared" si="23"/>
        <v>0</v>
      </c>
      <c r="Q64" s="726">
        <f t="shared" si="23"/>
        <v>0</v>
      </c>
      <c r="R64" s="725">
        <f t="shared" si="23"/>
        <v>0</v>
      </c>
      <c r="S64" s="828">
        <f t="shared" si="23"/>
        <v>0</v>
      </c>
      <c r="T64" s="726">
        <f t="shared" si="23"/>
        <v>0</v>
      </c>
      <c r="U64" s="734">
        <f t="shared" si="23"/>
        <v>0</v>
      </c>
      <c r="V64" s="725">
        <f t="shared" si="23"/>
        <v>0</v>
      </c>
      <c r="W64" s="725">
        <f t="shared" si="23"/>
        <v>0</v>
      </c>
      <c r="X64" s="1605"/>
      <c r="Y64" s="1755"/>
      <c r="Z64" s="594"/>
      <c r="AA64" s="595"/>
    </row>
    <row r="65" spans="1:28" ht="27.75" customHeight="1">
      <c r="A65" s="1745" t="s">
        <v>9</v>
      </c>
      <c r="B65" s="1560" t="s">
        <v>29</v>
      </c>
      <c r="C65" s="1562" t="s">
        <v>163</v>
      </c>
      <c r="D65" s="1537" t="s">
        <v>182</v>
      </c>
      <c r="E65" s="1736" t="s">
        <v>32</v>
      </c>
      <c r="F65" s="1714" t="s">
        <v>24</v>
      </c>
      <c r="G65" s="1733" t="s">
        <v>44</v>
      </c>
      <c r="H65" s="1738" t="s">
        <v>208</v>
      </c>
      <c r="I65" s="582" t="s">
        <v>108</v>
      </c>
      <c r="J65" s="744">
        <f>K65+M65</f>
        <v>96.4</v>
      </c>
      <c r="K65" s="745"/>
      <c r="L65" s="746"/>
      <c r="M65" s="728">
        <v>96.4</v>
      </c>
      <c r="N65" s="638"/>
      <c r="O65" s="741"/>
      <c r="P65" s="729"/>
      <c r="Q65" s="644"/>
      <c r="R65" s="641"/>
      <c r="S65" s="747"/>
      <c r="T65" s="747"/>
      <c r="U65" s="730"/>
      <c r="V65" s="676"/>
      <c r="W65" s="748"/>
      <c r="X65" s="1743"/>
      <c r="Y65" s="818"/>
      <c r="Z65" s="592"/>
      <c r="AA65" s="593"/>
    </row>
    <row r="66" spans="1:28" ht="12.75" thickBot="1">
      <c r="A66" s="1746"/>
      <c r="B66" s="1721"/>
      <c r="C66" s="1630"/>
      <c r="D66" s="1539"/>
      <c r="E66" s="1737"/>
      <c r="F66" s="1715"/>
      <c r="G66" s="1735"/>
      <c r="H66" s="1739"/>
      <c r="I66" s="827" t="s">
        <v>10</v>
      </c>
      <c r="J66" s="621">
        <f>K66+M66</f>
        <v>96.4</v>
      </c>
      <c r="K66" s="494"/>
      <c r="L66" s="501"/>
      <c r="M66" s="496">
        <f>M65</f>
        <v>96.4</v>
      </c>
      <c r="N66" s="495"/>
      <c r="O66" s="498"/>
      <c r="P66" s="494"/>
      <c r="Q66" s="496"/>
      <c r="R66" s="495"/>
      <c r="S66" s="494"/>
      <c r="T66" s="494"/>
      <c r="U66" s="496"/>
      <c r="V66" s="621"/>
      <c r="W66" s="503"/>
      <c r="X66" s="1744"/>
      <c r="Y66" s="548"/>
      <c r="Z66" s="594"/>
      <c r="AA66" s="595"/>
    </row>
    <row r="67" spans="1:28" ht="28.5" customHeight="1">
      <c r="A67" s="1745" t="s">
        <v>9</v>
      </c>
      <c r="B67" s="1560" t="s">
        <v>29</v>
      </c>
      <c r="C67" s="1562" t="s">
        <v>187</v>
      </c>
      <c r="D67" s="1537" t="s">
        <v>86</v>
      </c>
      <c r="E67" s="1736" t="s">
        <v>32</v>
      </c>
      <c r="F67" s="1714" t="s">
        <v>24</v>
      </c>
      <c r="G67" s="1717" t="s">
        <v>44</v>
      </c>
      <c r="H67" s="1719" t="s">
        <v>208</v>
      </c>
      <c r="I67" s="473" t="s">
        <v>108</v>
      </c>
      <c r="J67" s="744">
        <f>K67+M67</f>
        <v>200</v>
      </c>
      <c r="K67" s="636"/>
      <c r="L67" s="749"/>
      <c r="M67" s="728">
        <v>200</v>
      </c>
      <c r="N67" s="638"/>
      <c r="O67" s="741"/>
      <c r="P67" s="729"/>
      <c r="Q67" s="644"/>
      <c r="R67" s="641"/>
      <c r="S67" s="642"/>
      <c r="T67" s="642"/>
      <c r="U67" s="730"/>
      <c r="V67" s="676"/>
      <c r="W67" s="731"/>
      <c r="X67" s="628"/>
      <c r="Y67" s="818"/>
      <c r="Z67" s="592"/>
      <c r="AA67" s="593"/>
    </row>
    <row r="68" spans="1:28" ht="12.75" thickBot="1">
      <c r="A68" s="1746"/>
      <c r="B68" s="1721"/>
      <c r="C68" s="1630"/>
      <c r="D68" s="1539"/>
      <c r="E68" s="1737"/>
      <c r="F68" s="1715"/>
      <c r="G68" s="1718"/>
      <c r="H68" s="1720"/>
      <c r="I68" s="827" t="s">
        <v>10</v>
      </c>
      <c r="J68" s="621">
        <f>K68+M68</f>
        <v>200</v>
      </c>
      <c r="K68" s="494"/>
      <c r="L68" s="501"/>
      <c r="M68" s="496">
        <f>M67</f>
        <v>200</v>
      </c>
      <c r="N68" s="495"/>
      <c r="O68" s="498"/>
      <c r="P68" s="494"/>
      <c r="Q68" s="496"/>
      <c r="R68" s="495"/>
      <c r="S68" s="494"/>
      <c r="T68" s="494"/>
      <c r="U68" s="496"/>
      <c r="V68" s="621"/>
      <c r="W68" s="621"/>
      <c r="X68" s="831"/>
      <c r="Y68" s="548"/>
      <c r="Z68" s="594"/>
      <c r="AA68" s="595"/>
    </row>
    <row r="69" spans="1:28" ht="15" customHeight="1" thickBot="1">
      <c r="A69" s="596" t="s">
        <v>9</v>
      </c>
      <c r="B69" s="551" t="s">
        <v>29</v>
      </c>
      <c r="C69" s="1543" t="s">
        <v>12</v>
      </c>
      <c r="D69" s="1544"/>
      <c r="E69" s="1544"/>
      <c r="F69" s="1544"/>
      <c r="G69" s="1544"/>
      <c r="H69" s="1544"/>
      <c r="I69" s="1545"/>
      <c r="J69" s="750">
        <f>J68+J66+J64+J62+J60+J56+J45+J52+J48+J54</f>
        <v>2666.3</v>
      </c>
      <c r="K69" s="778"/>
      <c r="L69" s="777"/>
      <c r="M69" s="779">
        <f t="shared" ref="M69:W69" si="24">M68+M66+M64+M62+M60+M56+M45+M52+M48+M54</f>
        <v>2666.3</v>
      </c>
      <c r="N69" s="780">
        <f>N68+N66+N64+N62+N60+N56+N45+N52+N48+N54</f>
        <v>6833.9</v>
      </c>
      <c r="O69" s="777">
        <f t="shared" si="24"/>
        <v>82.8</v>
      </c>
      <c r="P69" s="778"/>
      <c r="Q69" s="777">
        <f t="shared" si="24"/>
        <v>6751.0999999999995</v>
      </c>
      <c r="R69" s="750">
        <f t="shared" si="24"/>
        <v>0</v>
      </c>
      <c r="S69" s="750">
        <f t="shared" si="24"/>
        <v>0</v>
      </c>
      <c r="T69" s="750">
        <f t="shared" si="24"/>
        <v>0</v>
      </c>
      <c r="U69" s="750">
        <f t="shared" si="24"/>
        <v>0</v>
      </c>
      <c r="V69" s="750">
        <f>V68+V66+V64+V62+V60+V56+V45+V52+V48+V54</f>
        <v>12921.5</v>
      </c>
      <c r="W69" s="750">
        <f t="shared" si="24"/>
        <v>12026.4</v>
      </c>
      <c r="X69" s="1546"/>
      <c r="Y69" s="1547"/>
      <c r="Z69" s="1547"/>
      <c r="AA69" s="1548"/>
    </row>
    <row r="70" spans="1:28" ht="12.75" thickBot="1">
      <c r="A70" s="817" t="s">
        <v>9</v>
      </c>
      <c r="B70" s="1722" t="s">
        <v>13</v>
      </c>
      <c r="C70" s="1723"/>
      <c r="D70" s="1723"/>
      <c r="E70" s="1723"/>
      <c r="F70" s="1723"/>
      <c r="G70" s="1723"/>
      <c r="H70" s="1723"/>
      <c r="I70" s="1724"/>
      <c r="J70" s="751">
        <f>K70+M70</f>
        <v>7586.2999999999993</v>
      </c>
      <c r="K70" s="752">
        <f t="shared" ref="K70:Q70" si="25">SUM(K69,K41,K27)</f>
        <v>4866.7999999999993</v>
      </c>
      <c r="L70" s="753">
        <f t="shared" si="25"/>
        <v>2544</v>
      </c>
      <c r="M70" s="754">
        <f t="shared" si="25"/>
        <v>2719.5</v>
      </c>
      <c r="N70" s="755">
        <f t="shared" si="25"/>
        <v>11704.4</v>
      </c>
      <c r="O70" s="752">
        <f t="shared" si="25"/>
        <v>4896.7</v>
      </c>
      <c r="P70" s="753">
        <f t="shared" si="25"/>
        <v>2682.7</v>
      </c>
      <c r="Q70" s="754">
        <f t="shared" si="25"/>
        <v>6807.7</v>
      </c>
      <c r="R70" s="751">
        <f>S70+U70</f>
        <v>0</v>
      </c>
      <c r="S70" s="752">
        <f>SUM(S69,S41,S27)</f>
        <v>0</v>
      </c>
      <c r="T70" s="753">
        <f>SUM(T69,T41,T27)</f>
        <v>0</v>
      </c>
      <c r="U70" s="754">
        <f>SUM(U69,U41,U27)</f>
        <v>0</v>
      </c>
      <c r="V70" s="756">
        <f>V69+V41+V27</f>
        <v>17898.400000000001</v>
      </c>
      <c r="W70" s="753">
        <f>W69+W41+W27</f>
        <v>17003.3</v>
      </c>
      <c r="X70" s="1355"/>
      <c r="Y70" s="1356"/>
      <c r="Z70" s="1356"/>
      <c r="AA70" s="1357"/>
    </row>
    <row r="71" spans="1:28" ht="12.75" thickBot="1">
      <c r="A71" s="597" t="s">
        <v>30</v>
      </c>
      <c r="B71" s="1549" t="s">
        <v>14</v>
      </c>
      <c r="C71" s="1550"/>
      <c r="D71" s="1550"/>
      <c r="E71" s="1550"/>
      <c r="F71" s="1550"/>
      <c r="G71" s="1550"/>
      <c r="H71" s="1550"/>
      <c r="I71" s="1551"/>
      <c r="J71" s="757">
        <f>K71+M71</f>
        <v>7586.2999999999993</v>
      </c>
      <c r="K71" s="758">
        <f t="shared" ref="K71:Q71" si="26">K70</f>
        <v>4866.7999999999993</v>
      </c>
      <c r="L71" s="759">
        <f t="shared" si="26"/>
        <v>2544</v>
      </c>
      <c r="M71" s="760">
        <f t="shared" si="26"/>
        <v>2719.5</v>
      </c>
      <c r="N71" s="761">
        <f t="shared" si="26"/>
        <v>11704.4</v>
      </c>
      <c r="O71" s="758">
        <f t="shared" si="26"/>
        <v>4896.7</v>
      </c>
      <c r="P71" s="759">
        <f t="shared" si="26"/>
        <v>2682.7</v>
      </c>
      <c r="Q71" s="760">
        <f t="shared" si="26"/>
        <v>6807.7</v>
      </c>
      <c r="R71" s="757">
        <f>S71+U71</f>
        <v>0</v>
      </c>
      <c r="S71" s="758">
        <f>S70</f>
        <v>0</v>
      </c>
      <c r="T71" s="759">
        <f>T70</f>
        <v>0</v>
      </c>
      <c r="U71" s="760">
        <f>U70</f>
        <v>0</v>
      </c>
      <c r="V71" s="762">
        <f>V70</f>
        <v>17898.400000000001</v>
      </c>
      <c r="W71" s="759">
        <f>W70</f>
        <v>17003.3</v>
      </c>
      <c r="X71" s="1342"/>
      <c r="Y71" s="1343"/>
      <c r="Z71" s="1343"/>
      <c r="AA71" s="1344"/>
    </row>
    <row r="72" spans="1:28">
      <c r="A72" s="1552" t="s">
        <v>205</v>
      </c>
      <c r="B72" s="1552"/>
      <c r="C72" s="1552"/>
      <c r="D72" s="1552"/>
      <c r="E72" s="1552"/>
      <c r="F72" s="1552"/>
      <c r="G72" s="1552"/>
      <c r="H72" s="1552"/>
      <c r="I72" s="1552"/>
      <c r="J72" s="1552"/>
      <c r="K72" s="1552"/>
      <c r="L72" s="1552"/>
      <c r="M72" s="1552"/>
      <c r="N72" s="1552"/>
      <c r="O72" s="1552"/>
      <c r="P72" s="1552"/>
      <c r="Q72" s="1552"/>
      <c r="R72" s="1552"/>
      <c r="S72" s="1552"/>
      <c r="T72" s="1552"/>
      <c r="U72" s="1552"/>
      <c r="V72" s="1552"/>
      <c r="W72" s="1552"/>
      <c r="X72" s="1552"/>
      <c r="Y72" s="1552"/>
      <c r="Z72" s="1552"/>
      <c r="AA72" s="1552"/>
      <c r="AB72" s="569"/>
    </row>
    <row r="73" spans="1:28">
      <c r="A73" s="1553" t="s">
        <v>137</v>
      </c>
      <c r="B73" s="1553"/>
      <c r="C73" s="1553"/>
      <c r="D73" s="1553"/>
      <c r="E73" s="1553"/>
      <c r="F73" s="1553"/>
      <c r="G73" s="1553"/>
      <c r="H73" s="1553"/>
      <c r="I73" s="1553"/>
      <c r="J73" s="1553"/>
      <c r="K73" s="1553"/>
      <c r="L73" s="1553"/>
      <c r="M73" s="1553"/>
      <c r="N73" s="1553"/>
      <c r="O73" s="1553"/>
      <c r="P73" s="1553"/>
      <c r="Q73" s="1553"/>
      <c r="R73" s="1553"/>
      <c r="S73" s="1553"/>
      <c r="T73" s="1553"/>
      <c r="U73" s="1553"/>
      <c r="V73" s="1553"/>
      <c r="W73" s="1553"/>
      <c r="X73" s="1553"/>
      <c r="Y73" s="1553"/>
      <c r="Z73" s="1553"/>
      <c r="AA73" s="1553"/>
      <c r="AB73" s="569"/>
    </row>
    <row r="74" spans="1:28" ht="19.5" customHeight="1" thickBot="1">
      <c r="A74" s="598"/>
      <c r="B74" s="1414" t="s">
        <v>18</v>
      </c>
      <c r="C74" s="1414"/>
      <c r="D74" s="1414"/>
      <c r="E74" s="1414"/>
      <c r="F74" s="1414"/>
      <c r="G74" s="1414"/>
      <c r="H74" s="1414"/>
      <c r="I74" s="1414"/>
      <c r="J74" s="1414"/>
      <c r="K74" s="1414"/>
      <c r="L74" s="1414"/>
      <c r="M74" s="1414"/>
      <c r="N74" s="1414"/>
      <c r="O74" s="1414"/>
      <c r="P74" s="1414"/>
      <c r="Q74" s="1414"/>
      <c r="R74" s="1414"/>
      <c r="S74" s="1414"/>
      <c r="T74" s="1414"/>
      <c r="U74" s="1414"/>
      <c r="V74" s="1414"/>
      <c r="W74" s="1414"/>
      <c r="X74" s="599"/>
      <c r="Y74" s="599"/>
      <c r="Z74" s="599"/>
    </row>
    <row r="75" spans="1:28" ht="32.25" customHeight="1">
      <c r="B75" s="1432" t="s">
        <v>15</v>
      </c>
      <c r="C75" s="1433"/>
      <c r="D75" s="1433"/>
      <c r="E75" s="1433"/>
      <c r="F75" s="1433"/>
      <c r="G75" s="1433"/>
      <c r="H75" s="1554"/>
      <c r="I75" s="1434"/>
      <c r="J75" s="1415" t="s">
        <v>98</v>
      </c>
      <c r="K75" s="1416"/>
      <c r="L75" s="1416"/>
      <c r="M75" s="1417"/>
      <c r="N75" s="1555" t="s">
        <v>138</v>
      </c>
      <c r="O75" s="1416"/>
      <c r="P75" s="1416"/>
      <c r="Q75" s="1417"/>
      <c r="R75" s="1555" t="s">
        <v>138</v>
      </c>
      <c r="S75" s="1416"/>
      <c r="T75" s="1416"/>
      <c r="U75" s="1556"/>
      <c r="V75" s="763" t="s">
        <v>99</v>
      </c>
      <c r="W75" s="764" t="s">
        <v>139</v>
      </c>
      <c r="X75" s="816"/>
      <c r="Y75" s="1422"/>
      <c r="Z75" s="1422"/>
    </row>
    <row r="76" spans="1:28" ht="15" customHeight="1">
      <c r="B76" s="1694" t="s">
        <v>19</v>
      </c>
      <c r="C76" s="1695"/>
      <c r="D76" s="1695"/>
      <c r="E76" s="1695"/>
      <c r="F76" s="1695"/>
      <c r="G76" s="1695"/>
      <c r="H76" s="1696"/>
      <c r="I76" s="1697"/>
      <c r="J76" s="1408">
        <f>SUM(J77:M83)</f>
        <v>6123.7999999999993</v>
      </c>
      <c r="K76" s="1408"/>
      <c r="L76" s="1408"/>
      <c r="M76" s="1409"/>
      <c r="N76" s="1698">
        <f>SUM(N77:Q83)</f>
        <v>5632.9</v>
      </c>
      <c r="O76" s="1408"/>
      <c r="P76" s="1408"/>
      <c r="Q76" s="1409"/>
      <c r="R76" s="1698">
        <f>SUM(R77:U83)</f>
        <v>0</v>
      </c>
      <c r="S76" s="1408"/>
      <c r="T76" s="1408"/>
      <c r="U76" s="1408"/>
      <c r="V76" s="601">
        <f>SUM(V77:V83)</f>
        <v>5120.0000000000009</v>
      </c>
      <c r="W76" s="601">
        <f>SUM(W77:W82)</f>
        <v>4976.9000000000005</v>
      </c>
      <c r="X76" s="825"/>
      <c r="Y76" s="1389"/>
      <c r="Z76" s="1389"/>
    </row>
    <row r="77" spans="1:28" ht="15" customHeight="1">
      <c r="B77" s="1375" t="s">
        <v>168</v>
      </c>
      <c r="C77" s="1376"/>
      <c r="D77" s="1376"/>
      <c r="E77" s="1376"/>
      <c r="F77" s="1376"/>
      <c r="G77" s="1376"/>
      <c r="H77" s="1706"/>
      <c r="I77" s="1377"/>
      <c r="J77" s="1395">
        <f>SUMIF(I12:I52,I12,J12:J52)</f>
        <v>36.799999999999997</v>
      </c>
      <c r="K77" s="1395"/>
      <c r="L77" s="1395"/>
      <c r="M77" s="1396"/>
      <c r="N77" s="1557">
        <f>SUMIF(I12:I64,"sb",N12:N64)</f>
        <v>334</v>
      </c>
      <c r="O77" s="1395"/>
      <c r="P77" s="1395"/>
      <c r="Q77" s="1396"/>
      <c r="R77" s="1557">
        <f>SUMIF(I12:I45,"SB",R12:R45)</f>
        <v>0</v>
      </c>
      <c r="S77" s="1395"/>
      <c r="T77" s="1395"/>
      <c r="U77" s="1395"/>
      <c r="V77" s="602">
        <f>SUMIF(I12:I64,"SB",V12:V64)</f>
        <v>196.7</v>
      </c>
      <c r="W77" s="602">
        <f>SUMIF(I12:I64,I12,W12:W64)</f>
        <v>196.7</v>
      </c>
      <c r="X77" s="814"/>
      <c r="Y77" s="1372"/>
      <c r="Z77" s="1372"/>
    </row>
    <row r="78" spans="1:28" ht="15" customHeight="1">
      <c r="B78" s="1375" t="s">
        <v>169</v>
      </c>
      <c r="C78" s="1376"/>
      <c r="D78" s="1376"/>
      <c r="E78" s="1376"/>
      <c r="F78" s="1376"/>
      <c r="G78" s="1376"/>
      <c r="H78" s="1706"/>
      <c r="I78" s="1377"/>
      <c r="J78" s="1395">
        <f>SUMIF(I12:I52,I13,J12:J52)</f>
        <v>318</v>
      </c>
      <c r="K78" s="1395"/>
      <c r="L78" s="1395"/>
      <c r="M78" s="1396"/>
      <c r="N78" s="1557">
        <f>SUMIF(I12:I64,I13,N12:N64)</f>
        <v>332</v>
      </c>
      <c r="O78" s="1395"/>
      <c r="P78" s="1395"/>
      <c r="Q78" s="1396"/>
      <c r="R78" s="1557">
        <f>SUMIF(I12:I69,"SB(AA)",R12:R69)</f>
        <v>0</v>
      </c>
      <c r="S78" s="1395"/>
      <c r="T78" s="1395"/>
      <c r="U78" s="1395"/>
      <c r="V78" s="602">
        <f>SUMIF(I12:I64,I13,V12:V64)</f>
        <v>332</v>
      </c>
      <c r="W78" s="602">
        <f>SUMIF(I12:I64,I13,W12:W64)</f>
        <v>332</v>
      </c>
      <c r="X78" s="814"/>
      <c r="Y78" s="1372"/>
      <c r="Z78" s="1372"/>
    </row>
    <row r="79" spans="1:28" ht="15" customHeight="1">
      <c r="B79" s="1375" t="s">
        <v>170</v>
      </c>
      <c r="C79" s="1376"/>
      <c r="D79" s="1376"/>
      <c r="E79" s="1376"/>
      <c r="F79" s="1376"/>
      <c r="G79" s="1376"/>
      <c r="H79" s="1706"/>
      <c r="I79" s="1377"/>
      <c r="J79" s="1395">
        <f>SUMIF(I12:I45,I14,J12:J45)</f>
        <v>127.7</v>
      </c>
      <c r="K79" s="1395"/>
      <c r="L79" s="1395"/>
      <c r="M79" s="1396"/>
      <c r="N79" s="1557">
        <f>SUMIF(I12:I64,I14,N12:N64)</f>
        <v>0</v>
      </c>
      <c r="O79" s="1395"/>
      <c r="P79" s="1395"/>
      <c r="Q79" s="1396"/>
      <c r="R79" s="1557">
        <f>SUMIF(I12:I45,"SB(AAL)",R12:R45)</f>
        <v>0</v>
      </c>
      <c r="S79" s="1395"/>
      <c r="T79" s="1395"/>
      <c r="U79" s="1395"/>
      <c r="V79" s="602">
        <f>SUMIF(I12:I64,I14,V12:V64)</f>
        <v>0</v>
      </c>
      <c r="W79" s="602">
        <f>SUMIF(I12:I64,I14,W12:W64)</f>
        <v>0</v>
      </c>
      <c r="X79" s="814"/>
      <c r="Y79" s="1372"/>
      <c r="Z79" s="1372"/>
    </row>
    <row r="80" spans="1:28" ht="15" customHeight="1">
      <c r="B80" s="1703" t="s">
        <v>171</v>
      </c>
      <c r="C80" s="1704"/>
      <c r="D80" s="1704"/>
      <c r="E80" s="1704"/>
      <c r="F80" s="1704"/>
      <c r="G80" s="1704"/>
      <c r="H80" s="1704"/>
      <c r="I80" s="1705"/>
      <c r="J80" s="1557">
        <f>SUMIF(I12:I64,"sb(l)",J12:J64)</f>
        <v>5</v>
      </c>
      <c r="K80" s="1395"/>
      <c r="L80" s="1395"/>
      <c r="M80" s="1396"/>
      <c r="N80" s="1557">
        <f>SUMIF(I12:I64,"sb(l)",N12:N64)</f>
        <v>0</v>
      </c>
      <c r="O80" s="1395"/>
      <c r="P80" s="1395"/>
      <c r="Q80" s="1396"/>
      <c r="R80" s="1557"/>
      <c r="S80" s="1395"/>
      <c r="T80" s="1395"/>
      <c r="U80" s="1395"/>
      <c r="V80" s="602"/>
      <c r="W80" s="602"/>
      <c r="X80" s="814"/>
      <c r="Y80" s="814"/>
      <c r="Z80" s="814"/>
    </row>
    <row r="81" spans="1:26" ht="15" customHeight="1">
      <c r="B81" s="1375" t="s">
        <v>172</v>
      </c>
      <c r="C81" s="1376"/>
      <c r="D81" s="1376"/>
      <c r="E81" s="1376"/>
      <c r="F81" s="1376"/>
      <c r="G81" s="1376"/>
      <c r="H81" s="1706"/>
      <c r="I81" s="1377"/>
      <c r="J81" s="1395">
        <f>SUMIF(I12:I52,"sb(sp)",J12:J52)</f>
        <v>0</v>
      </c>
      <c r="K81" s="1395"/>
      <c r="L81" s="1395"/>
      <c r="M81" s="1396"/>
      <c r="N81" s="1557">
        <f>SUMIF(I12:I64,"sb(sp)",N12:N64)</f>
        <v>83</v>
      </c>
      <c r="O81" s="1395"/>
      <c r="P81" s="1395"/>
      <c r="Q81" s="1396"/>
      <c r="R81" s="1557">
        <f>SUMIF(I12:I45,"SB(SP)",R12:R45)</f>
        <v>0</v>
      </c>
      <c r="S81" s="1395"/>
      <c r="T81" s="1395"/>
      <c r="U81" s="1395"/>
      <c r="V81" s="602">
        <f>SUMIF(I12:I64,"sb(sp)",V12:V64)</f>
        <v>83</v>
      </c>
      <c r="W81" s="602">
        <f>SUMIF(I12:I45,"sb(sp)",W12:W45)</f>
        <v>83</v>
      </c>
      <c r="X81" s="814"/>
      <c r="Y81" s="1372"/>
      <c r="Z81" s="1372"/>
    </row>
    <row r="82" spans="1:26" ht="15" customHeight="1">
      <c r="B82" s="1375" t="s">
        <v>173</v>
      </c>
      <c r="C82" s="1376"/>
      <c r="D82" s="1376"/>
      <c r="E82" s="1376"/>
      <c r="F82" s="1376"/>
      <c r="G82" s="1376"/>
      <c r="H82" s="1706"/>
      <c r="I82" s="1377"/>
      <c r="J82" s="1395">
        <f>SUMIF(I12:I45,"sb(vb)",J12:J45)</f>
        <v>5339.9</v>
      </c>
      <c r="K82" s="1395"/>
      <c r="L82" s="1395"/>
      <c r="M82" s="1396"/>
      <c r="N82" s="1557">
        <f>SUMIF(I12:I64,"sb(vb)",N12:N64)</f>
        <v>4633.8999999999996</v>
      </c>
      <c r="O82" s="1395"/>
      <c r="P82" s="1395"/>
      <c r="Q82" s="1396"/>
      <c r="R82" s="1557">
        <f>SUMIF(I12:I45,"SB(VB)",R12:R45)</f>
        <v>0</v>
      </c>
      <c r="S82" s="1395"/>
      <c r="T82" s="1395"/>
      <c r="U82" s="1395"/>
      <c r="V82" s="602">
        <f>SUMIF(I12:I49,I29,V12:V49)</f>
        <v>4365.2000000000007</v>
      </c>
      <c r="W82" s="602">
        <f>SUMIF(I12:I45,I29,W12:W45)</f>
        <v>4365.2000000000007</v>
      </c>
      <c r="X82" s="814"/>
      <c r="Y82" s="1372"/>
      <c r="Z82" s="1372"/>
    </row>
    <row r="83" spans="1:26" ht="15" customHeight="1">
      <c r="B83" s="1711" t="s">
        <v>174</v>
      </c>
      <c r="C83" s="1712"/>
      <c r="D83" s="1712"/>
      <c r="E83" s="1712"/>
      <c r="F83" s="1712"/>
      <c r="G83" s="1712"/>
      <c r="H83" s="1712"/>
      <c r="I83" s="1713"/>
      <c r="J83" s="1531">
        <f>SUMIF(I12:I67,"pf",J12:J67)</f>
        <v>296.39999999999998</v>
      </c>
      <c r="K83" s="1406"/>
      <c r="L83" s="1406"/>
      <c r="M83" s="1407"/>
      <c r="N83" s="1531">
        <f>SUMIF(I12:I64,"pf",N12:N64)</f>
        <v>250</v>
      </c>
      <c r="O83" s="1406"/>
      <c r="P83" s="1406"/>
      <c r="Q83" s="1407"/>
      <c r="R83" s="1531">
        <f>SUMIF(I12:I49,"pf",R12:R49)</f>
        <v>0</v>
      </c>
      <c r="S83" s="1406"/>
      <c r="T83" s="1406"/>
      <c r="U83" s="1406"/>
      <c r="V83" s="776">
        <f>SUMIF(I12:I67,"pf",V12:V67)</f>
        <v>143.1</v>
      </c>
      <c r="W83" s="776"/>
      <c r="X83" s="814"/>
      <c r="Y83" s="814"/>
      <c r="Z83" s="814"/>
    </row>
    <row r="84" spans="1:26" ht="15" customHeight="1">
      <c r="B84" s="1694" t="s">
        <v>20</v>
      </c>
      <c r="C84" s="1695"/>
      <c r="D84" s="1695"/>
      <c r="E84" s="1695"/>
      <c r="F84" s="1695"/>
      <c r="G84" s="1695"/>
      <c r="H84" s="1696"/>
      <c r="I84" s="1697"/>
      <c r="J84" s="1408">
        <f ca="1">SUM(J86:J87)</f>
        <v>1462.5</v>
      </c>
      <c r="K84" s="1408"/>
      <c r="L84" s="1408"/>
      <c r="M84" s="1409"/>
      <c r="N84" s="1408">
        <f>SUM(N85:Q87)</f>
        <v>6071.5</v>
      </c>
      <c r="O84" s="1408"/>
      <c r="P84" s="1408"/>
      <c r="Q84" s="1409"/>
      <c r="R84" s="1698">
        <f>SUM(R86:R87)</f>
        <v>0</v>
      </c>
      <c r="S84" s="1408"/>
      <c r="T84" s="1408"/>
      <c r="U84" s="1408"/>
      <c r="V84" s="601">
        <f>SUM(V86:V87)</f>
        <v>12778.4</v>
      </c>
      <c r="W84" s="601">
        <f>SUM(W86:W87)</f>
        <v>12026.4</v>
      </c>
      <c r="X84" s="825"/>
      <c r="Y84" s="1389"/>
      <c r="Z84" s="1389"/>
    </row>
    <row r="85" spans="1:26" s="613" customFormat="1" ht="15" customHeight="1">
      <c r="A85" s="611"/>
      <c r="B85" s="1707" t="s">
        <v>177</v>
      </c>
      <c r="C85" s="1708"/>
      <c r="D85" s="1708"/>
      <c r="E85" s="1708"/>
      <c r="F85" s="1708"/>
      <c r="G85" s="1708"/>
      <c r="H85" s="1708"/>
      <c r="I85" s="1709"/>
      <c r="J85" s="1710"/>
      <c r="K85" s="1390"/>
      <c r="L85" s="1390"/>
      <c r="M85" s="1391"/>
      <c r="N85" s="1531">
        <f>SUMIF(I12:I64,"psdf",N12:N64)</f>
        <v>3.7</v>
      </c>
      <c r="O85" s="1406"/>
      <c r="P85" s="1406"/>
      <c r="Q85" s="1407"/>
      <c r="R85" s="1531">
        <f>SUMIF(M12:M64,"psdf",R12:R64)</f>
        <v>0</v>
      </c>
      <c r="S85" s="1406"/>
      <c r="T85" s="1406"/>
      <c r="U85" s="1406"/>
      <c r="V85" s="615"/>
      <c r="W85" s="615"/>
      <c r="X85" s="614"/>
      <c r="Y85" s="614"/>
      <c r="Z85" s="612"/>
    </row>
    <row r="86" spans="1:26" ht="15" customHeight="1">
      <c r="B86" s="1703" t="s">
        <v>175</v>
      </c>
      <c r="C86" s="1704"/>
      <c r="D86" s="1704"/>
      <c r="E86" s="1704"/>
      <c r="F86" s="1704"/>
      <c r="G86" s="1704"/>
      <c r="H86" s="1704"/>
      <c r="I86" s="1705"/>
      <c r="J86" s="1557">
        <f>SUMIF(I12:I49,"es",J12:J49)</f>
        <v>1169.5</v>
      </c>
      <c r="K86" s="1395"/>
      <c r="L86" s="1395"/>
      <c r="M86" s="1396"/>
      <c r="N86" s="1557">
        <f>SUMIF(I12:I64,"es",N12:N64)</f>
        <v>406.6</v>
      </c>
      <c r="O86" s="1395"/>
      <c r="P86" s="1395"/>
      <c r="Q86" s="1396"/>
      <c r="R86" s="1557">
        <f>SUMIF(I12:I49,"es",R12:R49)</f>
        <v>0</v>
      </c>
      <c r="S86" s="1395"/>
      <c r="T86" s="1395"/>
      <c r="U86" s="1395"/>
      <c r="V86" s="602">
        <f>SUMIF(I12:I49,"es",V12:V49)</f>
        <v>828.4</v>
      </c>
      <c r="W86" s="602">
        <f>SUMIF(I12:I49,"es",W12:W49)</f>
        <v>828.4</v>
      </c>
      <c r="X86" s="814"/>
      <c r="Y86" s="814"/>
      <c r="Z86" s="814"/>
    </row>
    <row r="87" spans="1:26" ht="15" customHeight="1">
      <c r="B87" s="1375" t="s">
        <v>176</v>
      </c>
      <c r="C87" s="1376"/>
      <c r="D87" s="1376"/>
      <c r="E87" s="1376"/>
      <c r="F87" s="1376"/>
      <c r="G87" s="1376"/>
      <c r="H87" s="1706"/>
      <c r="I87" s="1377"/>
      <c r="J87" s="1395">
        <f ca="1">SUMIF(I12:I49,"kt",J12:J42)</f>
        <v>293</v>
      </c>
      <c r="K87" s="1395"/>
      <c r="L87" s="1395"/>
      <c r="M87" s="1396"/>
      <c r="N87" s="1557">
        <f>SUMIF(I12:I64,"kt",N12:N64)</f>
        <v>5661.2</v>
      </c>
      <c r="O87" s="1395"/>
      <c r="P87" s="1395"/>
      <c r="Q87" s="1396"/>
      <c r="R87" s="1557">
        <f>SUMIF(I12:I69,"KT",R12:R69)</f>
        <v>0</v>
      </c>
      <c r="S87" s="1395"/>
      <c r="T87" s="1395"/>
      <c r="U87" s="1395"/>
      <c r="V87" s="602">
        <f>SUMIF(I12:I67,I43,V12:V67)</f>
        <v>11950</v>
      </c>
      <c r="W87" s="602">
        <f>SUMIF(I12:I67,I43,W12:W67)</f>
        <v>11198</v>
      </c>
      <c r="X87" s="814"/>
      <c r="Y87" s="1372"/>
      <c r="Z87" s="1372"/>
    </row>
    <row r="88" spans="1:26" ht="15" customHeight="1" thickBot="1">
      <c r="A88" s="603"/>
      <c r="B88" s="1699" t="s">
        <v>21</v>
      </c>
      <c r="C88" s="1700"/>
      <c r="D88" s="1700"/>
      <c r="E88" s="1700"/>
      <c r="F88" s="1700"/>
      <c r="G88" s="1700"/>
      <c r="H88" s="1700"/>
      <c r="I88" s="1701"/>
      <c r="J88" s="1384">
        <f ca="1">SUM(J76,J84)</f>
        <v>7586.2999999999993</v>
      </c>
      <c r="K88" s="1384"/>
      <c r="L88" s="1384"/>
      <c r="M88" s="1385"/>
      <c r="N88" s="1702">
        <f>SUM(N76,N84)</f>
        <v>11704.4</v>
      </c>
      <c r="O88" s="1384"/>
      <c r="P88" s="1384"/>
      <c r="Q88" s="1385"/>
      <c r="R88" s="1702">
        <f>SUM(R76,R84)</f>
        <v>0</v>
      </c>
      <c r="S88" s="1384"/>
      <c r="T88" s="1384"/>
      <c r="U88" s="1384"/>
      <c r="V88" s="604">
        <f>V76+V84</f>
        <v>17898.400000000001</v>
      </c>
      <c r="W88" s="604">
        <f>W84+W76</f>
        <v>17003.3</v>
      </c>
      <c r="X88" s="825"/>
      <c r="Y88" s="1389"/>
      <c r="Z88" s="1389"/>
    </row>
    <row r="89" spans="1:26">
      <c r="A89" s="605"/>
      <c r="B89" s="606"/>
      <c r="C89" s="606"/>
      <c r="D89" s="606"/>
      <c r="E89" s="606"/>
      <c r="F89" s="606"/>
      <c r="K89" s="610"/>
      <c r="O89" s="610"/>
      <c r="S89" s="765"/>
      <c r="V89" s="610"/>
    </row>
    <row r="90" spans="1:26">
      <c r="K90" s="610"/>
      <c r="N90" s="769"/>
      <c r="O90" s="1753"/>
      <c r="P90" s="1753"/>
      <c r="Q90" s="1753"/>
      <c r="V90" s="610"/>
      <c r="W90" s="610"/>
      <c r="X90" s="609"/>
    </row>
  </sheetData>
  <mergeCells count="265">
    <mergeCell ref="O90:Q90"/>
    <mergeCell ref="X53:X54"/>
    <mergeCell ref="Y53:Y54"/>
    <mergeCell ref="Y63:Y64"/>
    <mergeCell ref="A63:A64"/>
    <mergeCell ref="B63:B64"/>
    <mergeCell ref="C63:C64"/>
    <mergeCell ref="D63:D64"/>
    <mergeCell ref="E63:E64"/>
    <mergeCell ref="X63:X64"/>
    <mergeCell ref="A57:A60"/>
    <mergeCell ref="B57:B60"/>
    <mergeCell ref="C57:C60"/>
    <mergeCell ref="D57:D60"/>
    <mergeCell ref="E57:E60"/>
    <mergeCell ref="F57:F60"/>
    <mergeCell ref="G57:G60"/>
    <mergeCell ref="H57:H60"/>
    <mergeCell ref="A61:A62"/>
    <mergeCell ref="B61:B62"/>
    <mergeCell ref="C61:C62"/>
    <mergeCell ref="D61:D62"/>
    <mergeCell ref="E53:E54"/>
    <mergeCell ref="F63:F64"/>
    <mergeCell ref="A49:A52"/>
    <mergeCell ref="A46:A48"/>
    <mergeCell ref="E49:E52"/>
    <mergeCell ref="E46:E48"/>
    <mergeCell ref="A43:A45"/>
    <mergeCell ref="E61:E62"/>
    <mergeCell ref="F61:F62"/>
    <mergeCell ref="G61:G62"/>
    <mergeCell ref="H61:H62"/>
    <mergeCell ref="A55:A56"/>
    <mergeCell ref="B55:B56"/>
    <mergeCell ref="C55:C56"/>
    <mergeCell ref="D55:D56"/>
    <mergeCell ref="E55:E56"/>
    <mergeCell ref="F55:F56"/>
    <mergeCell ref="G55:G56"/>
    <mergeCell ref="H55:H56"/>
    <mergeCell ref="F53:F54"/>
    <mergeCell ref="G53:G54"/>
    <mergeCell ref="H53:H54"/>
    <mergeCell ref="A53:A54"/>
    <mergeCell ref="B53:B54"/>
    <mergeCell ref="C53:C54"/>
    <mergeCell ref="D53:D54"/>
    <mergeCell ref="R77:U77"/>
    <mergeCell ref="Y77:Z77"/>
    <mergeCell ref="B76:I76"/>
    <mergeCell ref="J76:M76"/>
    <mergeCell ref="N76:Q76"/>
    <mergeCell ref="R76:U76"/>
    <mergeCell ref="Y76:Z76"/>
    <mergeCell ref="X65:X66"/>
    <mergeCell ref="A67:A68"/>
    <mergeCell ref="B67:B68"/>
    <mergeCell ref="C67:C68"/>
    <mergeCell ref="D67:D68"/>
    <mergeCell ref="E67:E68"/>
    <mergeCell ref="F67:F68"/>
    <mergeCell ref="G67:G68"/>
    <mergeCell ref="H67:H68"/>
    <mergeCell ref="A65:A66"/>
    <mergeCell ref="B65:B66"/>
    <mergeCell ref="C65:C66"/>
    <mergeCell ref="B77:I77"/>
    <mergeCell ref="G43:G45"/>
    <mergeCell ref="D35:D36"/>
    <mergeCell ref="E35:E36"/>
    <mergeCell ref="F35:F36"/>
    <mergeCell ref="G35:G36"/>
    <mergeCell ref="H35:H36"/>
    <mergeCell ref="D37:D38"/>
    <mergeCell ref="E37:E38"/>
    <mergeCell ref="F37:F38"/>
    <mergeCell ref="G37:G38"/>
    <mergeCell ref="H37:H38"/>
    <mergeCell ref="H43:H45"/>
    <mergeCell ref="H46:H48"/>
    <mergeCell ref="H49:H52"/>
    <mergeCell ref="C49:C52"/>
    <mergeCell ref="G49:G52"/>
    <mergeCell ref="G46:G48"/>
    <mergeCell ref="D65:D66"/>
    <mergeCell ref="E65:E66"/>
    <mergeCell ref="F65:F66"/>
    <mergeCell ref="G65:G66"/>
    <mergeCell ref="H65:H66"/>
    <mergeCell ref="B83:I83"/>
    <mergeCell ref="J83:M83"/>
    <mergeCell ref="N83:Q83"/>
    <mergeCell ref="B82:I82"/>
    <mergeCell ref="J82:M82"/>
    <mergeCell ref="N82:Q82"/>
    <mergeCell ref="F49:F52"/>
    <mergeCell ref="F46:F48"/>
    <mergeCell ref="F43:F45"/>
    <mergeCell ref="J77:M77"/>
    <mergeCell ref="N77:Q77"/>
    <mergeCell ref="G63:G64"/>
    <mergeCell ref="H63:H64"/>
    <mergeCell ref="B49:B52"/>
    <mergeCell ref="B46:B48"/>
    <mergeCell ref="C46:C48"/>
    <mergeCell ref="B70:I70"/>
    <mergeCell ref="B43:B45"/>
    <mergeCell ref="C43:C45"/>
    <mergeCell ref="D43:D45"/>
    <mergeCell ref="B81:I81"/>
    <mergeCell ref="J81:M81"/>
    <mergeCell ref="N81:Q81"/>
    <mergeCell ref="B78:I78"/>
    <mergeCell ref="Y81:Z81"/>
    <mergeCell ref="B80:I80"/>
    <mergeCell ref="J80:M80"/>
    <mergeCell ref="N80:Q80"/>
    <mergeCell ref="R80:U80"/>
    <mergeCell ref="B79:I79"/>
    <mergeCell ref="J79:M79"/>
    <mergeCell ref="N79:Q79"/>
    <mergeCell ref="R79:U79"/>
    <mergeCell ref="Y79:Z79"/>
    <mergeCell ref="N78:Q78"/>
    <mergeCell ref="R78:U78"/>
    <mergeCell ref="Y88:Z88"/>
    <mergeCell ref="Y84:Z84"/>
    <mergeCell ref="B84:I84"/>
    <mergeCell ref="R84:U84"/>
    <mergeCell ref="B88:I88"/>
    <mergeCell ref="J88:M88"/>
    <mergeCell ref="N88:Q88"/>
    <mergeCell ref="R88:U88"/>
    <mergeCell ref="Y87:Z87"/>
    <mergeCell ref="N86:Q86"/>
    <mergeCell ref="R86:U86"/>
    <mergeCell ref="B86:I86"/>
    <mergeCell ref="J86:M86"/>
    <mergeCell ref="J84:M84"/>
    <mergeCell ref="N84:Q84"/>
    <mergeCell ref="B87:I87"/>
    <mergeCell ref="J87:M87"/>
    <mergeCell ref="N87:Q87"/>
    <mergeCell ref="R87:U87"/>
    <mergeCell ref="B85:I85"/>
    <mergeCell ref="J85:M85"/>
    <mergeCell ref="R81:U81"/>
    <mergeCell ref="N85:Q85"/>
    <mergeCell ref="R85:U85"/>
    <mergeCell ref="A1:AA1"/>
    <mergeCell ref="A4:AA4"/>
    <mergeCell ref="A5:A7"/>
    <mergeCell ref="B5:B7"/>
    <mergeCell ref="C5:C7"/>
    <mergeCell ref="Q6:Q7"/>
    <mergeCell ref="R6:R7"/>
    <mergeCell ref="S6:T6"/>
    <mergeCell ref="A3:AA3"/>
    <mergeCell ref="N5:Q5"/>
    <mergeCell ref="R5:U5"/>
    <mergeCell ref="U6:U7"/>
    <mergeCell ref="I5:I7"/>
    <mergeCell ref="J5:M5"/>
    <mergeCell ref="F5:F7"/>
    <mergeCell ref="X6:X7"/>
    <mergeCell ref="V5:V7"/>
    <mergeCell ref="X5:AA5"/>
    <mergeCell ref="J6:J7"/>
    <mergeCell ref="K6:L6"/>
    <mergeCell ref="M6:M7"/>
    <mergeCell ref="J78:M78"/>
    <mergeCell ref="N6:N7"/>
    <mergeCell ref="O6:P6"/>
    <mergeCell ref="Y6:Y7"/>
    <mergeCell ref="Z6:Z7"/>
    <mergeCell ref="E17:E19"/>
    <mergeCell ref="F17:F19"/>
    <mergeCell ref="G12:G16"/>
    <mergeCell ref="C11:AA11"/>
    <mergeCell ref="W5:W7"/>
    <mergeCell ref="X12:X16"/>
    <mergeCell ref="G17:G19"/>
    <mergeCell ref="X17:X19"/>
    <mergeCell ref="F12:F16"/>
    <mergeCell ref="AA6:AA7"/>
    <mergeCell ref="G5:G7"/>
    <mergeCell ref="D5:D7"/>
    <mergeCell ref="E5:E7"/>
    <mergeCell ref="H5:H7"/>
    <mergeCell ref="H12:H16"/>
    <mergeCell ref="H17:H19"/>
    <mergeCell ref="A8:AA8"/>
    <mergeCell ref="X39:X40"/>
    <mergeCell ref="A20:A22"/>
    <mergeCell ref="B20:B22"/>
    <mergeCell ref="B10:AA10"/>
    <mergeCell ref="A9:AA9"/>
    <mergeCell ref="H20:H23"/>
    <mergeCell ref="X20:X21"/>
    <mergeCell ref="Y20:Y21"/>
    <mergeCell ref="Z20:Z21"/>
    <mergeCell ref="AA20:AA21"/>
    <mergeCell ref="X22:X23"/>
    <mergeCell ref="C20:C22"/>
    <mergeCell ref="D20:D23"/>
    <mergeCell ref="E15:E16"/>
    <mergeCell ref="E13:E14"/>
    <mergeCell ref="A12:A16"/>
    <mergeCell ref="B12:B16"/>
    <mergeCell ref="C12:C16"/>
    <mergeCell ref="D12:D16"/>
    <mergeCell ref="G20:G23"/>
    <mergeCell ref="C17:C19"/>
    <mergeCell ref="D17:D19"/>
    <mergeCell ref="E20:E23"/>
    <mergeCell ref="F20:F23"/>
    <mergeCell ref="Y78:Z78"/>
    <mergeCell ref="A24:A25"/>
    <mergeCell ref="B24:B25"/>
    <mergeCell ref="C24:C25"/>
    <mergeCell ref="D24:D26"/>
    <mergeCell ref="E24:E26"/>
    <mergeCell ref="C27:I27"/>
    <mergeCell ref="H29:H34"/>
    <mergeCell ref="E43:E45"/>
    <mergeCell ref="C28:AA28"/>
    <mergeCell ref="D29:D34"/>
    <mergeCell ref="E29:E34"/>
    <mergeCell ref="F29:F34"/>
    <mergeCell ref="G29:G34"/>
    <mergeCell ref="X43:X45"/>
    <mergeCell ref="C41:I41"/>
    <mergeCell ref="G24:G26"/>
    <mergeCell ref="H24:H26"/>
    <mergeCell ref="X25:X26"/>
    <mergeCell ref="D39:D40"/>
    <mergeCell ref="E39:E40"/>
    <mergeCell ref="F39:F40"/>
    <mergeCell ref="G39:G40"/>
    <mergeCell ref="H39:H40"/>
    <mergeCell ref="A2:AA2"/>
    <mergeCell ref="R83:U83"/>
    <mergeCell ref="F24:F26"/>
    <mergeCell ref="X27:AA27"/>
    <mergeCell ref="X33:X34"/>
    <mergeCell ref="D49:D52"/>
    <mergeCell ref="D46:D48"/>
    <mergeCell ref="X41:AA41"/>
    <mergeCell ref="C42:AA42"/>
    <mergeCell ref="Y75:Z75"/>
    <mergeCell ref="C69:I69"/>
    <mergeCell ref="X69:AA69"/>
    <mergeCell ref="X70:AA70"/>
    <mergeCell ref="B71:I71"/>
    <mergeCell ref="X71:AA71"/>
    <mergeCell ref="A72:AA72"/>
    <mergeCell ref="A73:AA73"/>
    <mergeCell ref="B75:I75"/>
    <mergeCell ref="J75:M75"/>
    <mergeCell ref="N75:Q75"/>
    <mergeCell ref="R75:U75"/>
    <mergeCell ref="B74:W74"/>
    <mergeCell ref="R82:U82"/>
    <mergeCell ref="Y82:Z82"/>
  </mergeCells>
  <phoneticPr fontId="23" type="noConversion"/>
  <pageMargins left="0" right="0" top="0" bottom="0" header="0.31496062992125984" footer="0.31496062992125984"/>
  <pageSetup paperSize="9" scale="79" orientation="landscape" r:id="rId1"/>
  <rowBreaks count="2" manualBreakCount="2">
    <brk id="36" max="26" man="1"/>
    <brk id="71" max="2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8"/>
  <sheetViews>
    <sheetView topLeftCell="A31" zoomScaleNormal="100" zoomScaleSheetLayoutView="100" workbookViewId="0">
      <selection activeCell="D69" sqref="D69"/>
    </sheetView>
  </sheetViews>
  <sheetFormatPr defaultRowHeight="12.75"/>
  <cols>
    <col min="1" max="3" width="2.7109375" style="1" customWidth="1"/>
    <col min="4" max="4" width="39.7109375" style="1" customWidth="1"/>
    <col min="5" max="6" width="3" style="1" customWidth="1"/>
    <col min="7" max="7" width="3" style="2" customWidth="1"/>
    <col min="8" max="8" width="8.28515625" style="134" customWidth="1"/>
    <col min="9" max="16" width="6.85546875" style="1" customWidth="1"/>
    <col min="17" max="20" width="6.85546875" style="111" customWidth="1"/>
    <col min="21" max="16384" width="9.140625" style="111"/>
  </cols>
  <sheetData>
    <row r="1" spans="1:20" ht="15.75" customHeight="1">
      <c r="A1" s="1179" t="s">
        <v>71</v>
      </c>
      <c r="B1" s="1179"/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1179"/>
      <c r="N1" s="1179"/>
      <c r="O1" s="1179"/>
      <c r="P1" s="1179"/>
      <c r="Q1" s="1179"/>
      <c r="R1" s="1179"/>
      <c r="S1" s="1179"/>
      <c r="T1" s="1179"/>
    </row>
    <row r="2" spans="1:20" ht="15.75" customHeight="1">
      <c r="A2" s="1761" t="s">
        <v>72</v>
      </c>
      <c r="B2" s="1761"/>
      <c r="C2" s="1761"/>
      <c r="D2" s="1761"/>
      <c r="E2" s="1761"/>
      <c r="F2" s="1761"/>
      <c r="G2" s="1761"/>
      <c r="H2" s="1761"/>
      <c r="I2" s="1761"/>
      <c r="J2" s="1761"/>
      <c r="K2" s="1761"/>
      <c r="L2" s="1761"/>
      <c r="M2" s="1761"/>
      <c r="N2" s="1761"/>
      <c r="O2" s="1761"/>
      <c r="P2" s="1761"/>
      <c r="Q2" s="1761"/>
      <c r="R2" s="1761"/>
      <c r="S2" s="1761"/>
      <c r="T2" s="1761"/>
    </row>
    <row r="3" spans="1:20">
      <c r="A3" s="1180" t="s">
        <v>54</v>
      </c>
      <c r="B3" s="1180"/>
      <c r="C3" s="1180"/>
      <c r="D3" s="1180"/>
      <c r="E3" s="1180"/>
      <c r="F3" s="1180"/>
      <c r="G3" s="1180"/>
      <c r="H3" s="1180"/>
      <c r="I3" s="1180"/>
      <c r="J3" s="1180"/>
      <c r="K3" s="1180"/>
      <c r="L3" s="1180"/>
      <c r="M3" s="1180"/>
      <c r="N3" s="1180"/>
      <c r="O3" s="1180"/>
      <c r="P3" s="1180"/>
      <c r="Q3" s="1180"/>
      <c r="R3" s="1180"/>
      <c r="S3" s="1180"/>
      <c r="T3" s="1180"/>
    </row>
    <row r="4" spans="1:20" ht="13.5" thickBot="1">
      <c r="A4" s="1762" t="s">
        <v>0</v>
      </c>
      <c r="B4" s="1762"/>
      <c r="C4" s="1762"/>
      <c r="D4" s="1762"/>
      <c r="E4" s="1762"/>
      <c r="F4" s="1762"/>
      <c r="G4" s="1762"/>
      <c r="H4" s="1762"/>
      <c r="I4" s="1762"/>
      <c r="J4" s="1762"/>
      <c r="K4" s="1762"/>
      <c r="L4" s="1762"/>
      <c r="M4" s="1762"/>
      <c r="N4" s="1762"/>
      <c r="O4" s="1762"/>
      <c r="P4" s="1762"/>
      <c r="Q4" s="1762"/>
      <c r="R4" s="1762"/>
      <c r="S4" s="1762"/>
      <c r="T4" s="1762"/>
    </row>
    <row r="5" spans="1:20" ht="31.5" customHeight="1">
      <c r="A5" s="1182" t="s">
        <v>1</v>
      </c>
      <c r="B5" s="1185" t="s">
        <v>2</v>
      </c>
      <c r="C5" s="1185" t="s">
        <v>3</v>
      </c>
      <c r="D5" s="1188" t="s">
        <v>16</v>
      </c>
      <c r="E5" s="1191" t="s">
        <v>4</v>
      </c>
      <c r="F5" s="1185" t="s">
        <v>67</v>
      </c>
      <c r="G5" s="1216" t="s">
        <v>5</v>
      </c>
      <c r="H5" s="1205" t="s">
        <v>6</v>
      </c>
      <c r="I5" s="1222" t="s">
        <v>68</v>
      </c>
      <c r="J5" s="1223"/>
      <c r="K5" s="1223"/>
      <c r="L5" s="1224"/>
      <c r="M5" s="1769" t="s">
        <v>90</v>
      </c>
      <c r="N5" s="1223"/>
      <c r="O5" s="1223"/>
      <c r="P5" s="1347"/>
      <c r="Q5" s="1806" t="s">
        <v>88</v>
      </c>
      <c r="R5" s="1518"/>
      <c r="S5" s="1518"/>
      <c r="T5" s="1807"/>
    </row>
    <row r="6" spans="1:20" ht="12.75" customHeight="1">
      <c r="A6" s="1183"/>
      <c r="B6" s="1186"/>
      <c r="C6" s="1186"/>
      <c r="D6" s="1189"/>
      <c r="E6" s="1192"/>
      <c r="F6" s="1186"/>
      <c r="G6" s="1217"/>
      <c r="H6" s="1206"/>
      <c r="I6" s="1214" t="s">
        <v>7</v>
      </c>
      <c r="J6" s="1225" t="s">
        <v>8</v>
      </c>
      <c r="K6" s="1225"/>
      <c r="L6" s="1226" t="s">
        <v>22</v>
      </c>
      <c r="M6" s="1183" t="s">
        <v>7</v>
      </c>
      <c r="N6" s="1225" t="s">
        <v>8</v>
      </c>
      <c r="O6" s="1225"/>
      <c r="P6" s="1775" t="s">
        <v>22</v>
      </c>
      <c r="Q6" s="1808" t="s">
        <v>7</v>
      </c>
      <c r="R6" s="1509" t="s">
        <v>8</v>
      </c>
      <c r="S6" s="1509"/>
      <c r="T6" s="1679" t="s">
        <v>22</v>
      </c>
    </row>
    <row r="7" spans="1:20" ht="69" customHeight="1" thickBot="1">
      <c r="A7" s="1184"/>
      <c r="B7" s="1187"/>
      <c r="C7" s="1187"/>
      <c r="D7" s="1190"/>
      <c r="E7" s="1193"/>
      <c r="F7" s="1187"/>
      <c r="G7" s="1218"/>
      <c r="H7" s="1207"/>
      <c r="I7" s="1215"/>
      <c r="J7" s="133" t="s">
        <v>7</v>
      </c>
      <c r="K7" s="3" t="s">
        <v>17</v>
      </c>
      <c r="L7" s="1227"/>
      <c r="M7" s="1184"/>
      <c r="N7" s="133" t="s">
        <v>7</v>
      </c>
      <c r="O7" s="3" t="s">
        <v>17</v>
      </c>
      <c r="P7" s="1776"/>
      <c r="Q7" s="1809"/>
      <c r="R7" s="159" t="s">
        <v>7</v>
      </c>
      <c r="S7" s="160" t="s">
        <v>17</v>
      </c>
      <c r="T7" s="1680"/>
    </row>
    <row r="8" spans="1:20" ht="13.5" customHeight="1">
      <c r="A8" s="1777" t="s">
        <v>33</v>
      </c>
      <c r="B8" s="1778"/>
      <c r="C8" s="1778"/>
      <c r="D8" s="1778"/>
      <c r="E8" s="1778"/>
      <c r="F8" s="1778"/>
      <c r="G8" s="1778"/>
      <c r="H8" s="1778"/>
      <c r="I8" s="1778"/>
      <c r="J8" s="1778"/>
      <c r="K8" s="1778"/>
      <c r="L8" s="1778"/>
      <c r="M8" s="1778"/>
      <c r="N8" s="1778"/>
      <c r="O8" s="1778"/>
      <c r="P8" s="1778"/>
      <c r="Q8" s="1778"/>
      <c r="R8" s="1778"/>
      <c r="S8" s="1778"/>
      <c r="T8" s="1779"/>
    </row>
    <row r="9" spans="1:20" ht="13.5" customHeight="1">
      <c r="A9" s="1763" t="s">
        <v>55</v>
      </c>
      <c r="B9" s="1764"/>
      <c r="C9" s="1764"/>
      <c r="D9" s="1764"/>
      <c r="E9" s="1764"/>
      <c r="F9" s="1764"/>
      <c r="G9" s="1764"/>
      <c r="H9" s="1764"/>
      <c r="I9" s="1764"/>
      <c r="J9" s="1764"/>
      <c r="K9" s="1764"/>
      <c r="L9" s="1764"/>
      <c r="M9" s="1764"/>
      <c r="N9" s="1764"/>
      <c r="O9" s="1764"/>
      <c r="P9" s="1764"/>
      <c r="Q9" s="1764"/>
      <c r="R9" s="1764"/>
      <c r="S9" s="1764"/>
      <c r="T9" s="1765"/>
    </row>
    <row r="10" spans="1:20" ht="13.5" customHeight="1" thickBot="1">
      <c r="A10" s="39" t="s">
        <v>9</v>
      </c>
      <c r="B10" s="1766" t="s">
        <v>47</v>
      </c>
      <c r="C10" s="1767"/>
      <c r="D10" s="1767"/>
      <c r="E10" s="1767"/>
      <c r="F10" s="1767"/>
      <c r="G10" s="1767"/>
      <c r="H10" s="1767"/>
      <c r="I10" s="1767"/>
      <c r="J10" s="1767"/>
      <c r="K10" s="1767"/>
      <c r="L10" s="1767"/>
      <c r="M10" s="1767"/>
      <c r="N10" s="1767"/>
      <c r="O10" s="1767"/>
      <c r="P10" s="1767"/>
      <c r="Q10" s="1767"/>
      <c r="R10" s="1767"/>
      <c r="S10" s="1767"/>
      <c r="T10" s="1768"/>
    </row>
    <row r="11" spans="1:20" ht="13.5" customHeight="1" thickBot="1">
      <c r="A11" s="4" t="s">
        <v>9</v>
      </c>
      <c r="B11" s="38" t="s">
        <v>9</v>
      </c>
      <c r="C11" s="1772" t="s">
        <v>35</v>
      </c>
      <c r="D11" s="1773"/>
      <c r="E11" s="1773"/>
      <c r="F11" s="1773"/>
      <c r="G11" s="1773"/>
      <c r="H11" s="1773"/>
      <c r="I11" s="1773"/>
      <c r="J11" s="1773"/>
      <c r="K11" s="1773"/>
      <c r="L11" s="1773"/>
      <c r="M11" s="1773"/>
      <c r="N11" s="1773"/>
      <c r="O11" s="1773"/>
      <c r="P11" s="1773"/>
      <c r="Q11" s="1773"/>
      <c r="R11" s="1773"/>
      <c r="S11" s="1773"/>
      <c r="T11" s="1774"/>
    </row>
    <row r="12" spans="1:20" ht="13.5" customHeight="1">
      <c r="A12" s="1248" t="s">
        <v>9</v>
      </c>
      <c r="B12" s="1252" t="s">
        <v>9</v>
      </c>
      <c r="C12" s="1785" t="s">
        <v>9</v>
      </c>
      <c r="D12" s="1235" t="s">
        <v>23</v>
      </c>
      <c r="E12" s="1810"/>
      <c r="F12" s="1260" t="s">
        <v>24</v>
      </c>
      <c r="G12" s="1263" t="s">
        <v>43</v>
      </c>
      <c r="H12" s="173" t="s">
        <v>25</v>
      </c>
      <c r="I12" s="174">
        <f>J12+L12</f>
        <v>36.799999999999997</v>
      </c>
      <c r="J12" s="175">
        <v>36.799999999999997</v>
      </c>
      <c r="K12" s="175"/>
      <c r="L12" s="176"/>
      <c r="M12" s="177">
        <f t="shared" ref="M12:M17" si="0">N12+P12</f>
        <v>36.799999999999997</v>
      </c>
      <c r="N12" s="178">
        <v>36.799999999999997</v>
      </c>
      <c r="O12" s="178"/>
      <c r="P12" s="179"/>
      <c r="Q12" s="191">
        <f>M12-I12</f>
        <v>0</v>
      </c>
      <c r="R12" s="192">
        <f>N12-J12</f>
        <v>0</v>
      </c>
      <c r="S12" s="192">
        <f>O12-K12</f>
        <v>0</v>
      </c>
      <c r="T12" s="193">
        <f>P12-L12</f>
        <v>0</v>
      </c>
    </row>
    <row r="13" spans="1:20" ht="13.5" customHeight="1">
      <c r="A13" s="1249"/>
      <c r="B13" s="1253"/>
      <c r="C13" s="1232"/>
      <c r="D13" s="1235"/>
      <c r="E13" s="1810"/>
      <c r="F13" s="1260"/>
      <c r="G13" s="1263"/>
      <c r="H13" s="82" t="s">
        <v>26</v>
      </c>
      <c r="I13" s="54">
        <f>J13+L13</f>
        <v>298</v>
      </c>
      <c r="J13" s="55">
        <v>298</v>
      </c>
      <c r="K13" s="55"/>
      <c r="L13" s="56"/>
      <c r="M13" s="148">
        <f t="shared" si="0"/>
        <v>298</v>
      </c>
      <c r="N13" s="149">
        <v>298</v>
      </c>
      <c r="O13" s="149"/>
      <c r="P13" s="153"/>
      <c r="Q13" s="209">
        <f t="shared" ref="Q13:Q52" si="1">M13-I13</f>
        <v>0</v>
      </c>
      <c r="R13" s="210">
        <f t="shared" ref="R13:R52" si="2">N13-J13</f>
        <v>0</v>
      </c>
      <c r="S13" s="210">
        <f t="shared" ref="S13:S26" si="3">O13-K13</f>
        <v>0</v>
      </c>
      <c r="T13" s="211">
        <f>P13-L13</f>
        <v>0</v>
      </c>
    </row>
    <row r="14" spans="1:20" ht="13.5" customHeight="1">
      <c r="A14" s="1249"/>
      <c r="B14" s="1253"/>
      <c r="C14" s="1232"/>
      <c r="D14" s="1235"/>
      <c r="E14" s="1810"/>
      <c r="F14" s="1260"/>
      <c r="G14" s="1263"/>
      <c r="H14" s="271" t="s">
        <v>50</v>
      </c>
      <c r="I14" s="265"/>
      <c r="J14" s="266"/>
      <c r="K14" s="57"/>
      <c r="L14" s="58"/>
      <c r="M14" s="273">
        <f t="shared" si="0"/>
        <v>89</v>
      </c>
      <c r="N14" s="274">
        <v>89</v>
      </c>
      <c r="O14" s="85"/>
      <c r="P14" s="272"/>
      <c r="Q14" s="231">
        <f t="shared" si="1"/>
        <v>89</v>
      </c>
      <c r="R14" s="232">
        <f t="shared" si="2"/>
        <v>89</v>
      </c>
      <c r="S14" s="210">
        <f t="shared" si="3"/>
        <v>0</v>
      </c>
      <c r="T14" s="211">
        <f>P14-L14</f>
        <v>0</v>
      </c>
    </row>
    <row r="15" spans="1:20">
      <c r="A15" s="1250"/>
      <c r="B15" s="1254"/>
      <c r="C15" s="1257"/>
      <c r="D15" s="1235"/>
      <c r="E15" s="1810"/>
      <c r="F15" s="1260"/>
      <c r="G15" s="1263"/>
      <c r="H15" s="83" t="s">
        <v>27</v>
      </c>
      <c r="I15" s="269"/>
      <c r="J15" s="270"/>
      <c r="K15" s="60"/>
      <c r="L15" s="61"/>
      <c r="M15" s="262">
        <f t="shared" si="0"/>
        <v>158.4</v>
      </c>
      <c r="N15" s="263">
        <v>158.4</v>
      </c>
      <c r="O15" s="141"/>
      <c r="P15" s="163"/>
      <c r="Q15" s="231">
        <f t="shared" si="1"/>
        <v>158.4</v>
      </c>
      <c r="R15" s="232">
        <f t="shared" si="2"/>
        <v>158.4</v>
      </c>
      <c r="S15" s="210">
        <f t="shared" si="3"/>
        <v>0</v>
      </c>
      <c r="T15" s="211">
        <f t="shared" ref="T15:T26" si="4">P15-L15</f>
        <v>0</v>
      </c>
    </row>
    <row r="16" spans="1:20" ht="13.5" thickBot="1">
      <c r="A16" s="1251"/>
      <c r="B16" s="1255"/>
      <c r="C16" s="1258"/>
      <c r="D16" s="1236"/>
      <c r="E16" s="1811"/>
      <c r="F16" s="1261"/>
      <c r="G16" s="1264"/>
      <c r="H16" s="92" t="s">
        <v>10</v>
      </c>
      <c r="I16" s="71">
        <f>J16+L16</f>
        <v>334.8</v>
      </c>
      <c r="J16" s="95">
        <f>SUM(J12:J15)</f>
        <v>334.8</v>
      </c>
      <c r="K16" s="95"/>
      <c r="L16" s="96"/>
      <c r="M16" s="71">
        <f t="shared" si="0"/>
        <v>582.20000000000005</v>
      </c>
      <c r="N16" s="95">
        <f>SUM(N12:N15)</f>
        <v>582.20000000000005</v>
      </c>
      <c r="O16" s="95"/>
      <c r="P16" s="145"/>
      <c r="Q16" s="215">
        <f t="shared" si="1"/>
        <v>247.40000000000003</v>
      </c>
      <c r="R16" s="216">
        <f>N16-J16</f>
        <v>247.40000000000003</v>
      </c>
      <c r="S16" s="217">
        <f t="shared" si="3"/>
        <v>0</v>
      </c>
      <c r="T16" s="218">
        <f t="shared" si="4"/>
        <v>0</v>
      </c>
    </row>
    <row r="17" spans="1:20" ht="26.25" customHeight="1">
      <c r="A17" s="25" t="s">
        <v>9</v>
      </c>
      <c r="B17" s="26" t="s">
        <v>9</v>
      </c>
      <c r="C17" s="1231" t="s">
        <v>11</v>
      </c>
      <c r="D17" s="1234" t="s">
        <v>84</v>
      </c>
      <c r="E17" s="1812"/>
      <c r="F17" s="1239" t="s">
        <v>24</v>
      </c>
      <c r="G17" s="1262" t="s">
        <v>43</v>
      </c>
      <c r="H17" s="6" t="s">
        <v>25</v>
      </c>
      <c r="I17" s="51">
        <f>J17+L17</f>
        <v>7.4</v>
      </c>
      <c r="J17" s="52">
        <v>7.4</v>
      </c>
      <c r="K17" s="52">
        <v>5.6</v>
      </c>
      <c r="L17" s="53"/>
      <c r="M17" s="256">
        <f t="shared" si="0"/>
        <v>7.5</v>
      </c>
      <c r="N17" s="257">
        <v>7.5</v>
      </c>
      <c r="O17" s="257">
        <v>5.7</v>
      </c>
      <c r="P17" s="161"/>
      <c r="Q17" s="258">
        <f t="shared" si="1"/>
        <v>9.9999999999999645E-2</v>
      </c>
      <c r="R17" s="259">
        <f t="shared" si="2"/>
        <v>9.9999999999999645E-2</v>
      </c>
      <c r="S17" s="259">
        <f t="shared" si="3"/>
        <v>0.10000000000000053</v>
      </c>
      <c r="T17" s="221">
        <f t="shared" si="4"/>
        <v>0</v>
      </c>
    </row>
    <row r="18" spans="1:20" ht="26.25" customHeight="1">
      <c r="A18" s="131"/>
      <c r="B18" s="132"/>
      <c r="C18" s="1232"/>
      <c r="D18" s="1235"/>
      <c r="E18" s="1813"/>
      <c r="F18" s="1240"/>
      <c r="G18" s="1263"/>
      <c r="H18" s="27" t="s">
        <v>27</v>
      </c>
      <c r="I18" s="54"/>
      <c r="J18" s="55"/>
      <c r="K18" s="55"/>
      <c r="L18" s="56"/>
      <c r="M18" s="275">
        <f>N18+P18</f>
        <v>55.1</v>
      </c>
      <c r="N18" s="276">
        <v>55.1</v>
      </c>
      <c r="O18" s="276">
        <v>42.1</v>
      </c>
      <c r="P18" s="153"/>
      <c r="Q18" s="231">
        <f t="shared" si="1"/>
        <v>55.1</v>
      </c>
      <c r="R18" s="232">
        <f t="shared" si="2"/>
        <v>55.1</v>
      </c>
      <c r="S18" s="232">
        <f t="shared" si="3"/>
        <v>42.1</v>
      </c>
      <c r="T18" s="211">
        <f t="shared" si="4"/>
        <v>0</v>
      </c>
    </row>
    <row r="19" spans="1:20" ht="14.25" customHeight="1" thickBot="1">
      <c r="A19" s="28"/>
      <c r="B19" s="29"/>
      <c r="C19" s="1233"/>
      <c r="D19" s="1236"/>
      <c r="E19" s="1814"/>
      <c r="F19" s="1241"/>
      <c r="G19" s="1264"/>
      <c r="H19" s="92" t="s">
        <v>10</v>
      </c>
      <c r="I19" s="93">
        <f>J19+L19</f>
        <v>7.4</v>
      </c>
      <c r="J19" s="94">
        <f>SUM(J17:J18)</f>
        <v>7.4</v>
      </c>
      <c r="K19" s="94">
        <f>SUM(K17:K18)</f>
        <v>5.6</v>
      </c>
      <c r="L19" s="94"/>
      <c r="M19" s="93">
        <f>N19+P19</f>
        <v>62.6</v>
      </c>
      <c r="N19" s="94">
        <f>SUM(N17:N18)</f>
        <v>62.6</v>
      </c>
      <c r="O19" s="94">
        <f>SUM(O17:O18)</f>
        <v>47.800000000000004</v>
      </c>
      <c r="P19" s="164"/>
      <c r="Q19" s="222">
        <f t="shared" si="1"/>
        <v>55.2</v>
      </c>
      <c r="R19" s="223">
        <f t="shared" si="2"/>
        <v>55.2</v>
      </c>
      <c r="S19" s="217">
        <f t="shared" si="3"/>
        <v>42.2</v>
      </c>
      <c r="T19" s="218">
        <f t="shared" si="4"/>
        <v>0</v>
      </c>
    </row>
    <row r="20" spans="1:20" ht="13.5" customHeight="1">
      <c r="A20" s="1248" t="s">
        <v>9</v>
      </c>
      <c r="B20" s="1309" t="s">
        <v>9</v>
      </c>
      <c r="C20" s="1256" t="s">
        <v>29</v>
      </c>
      <c r="D20" s="1234" t="s">
        <v>83</v>
      </c>
      <c r="E20" s="1815"/>
      <c r="F20" s="1280" t="s">
        <v>24</v>
      </c>
      <c r="G20" s="1282" t="s">
        <v>43</v>
      </c>
      <c r="H20" s="7" t="s">
        <v>25</v>
      </c>
      <c r="I20" s="112">
        <f>J20+L20</f>
        <v>506.3</v>
      </c>
      <c r="J20" s="113">
        <v>506.3</v>
      </c>
      <c r="K20" s="113">
        <v>312</v>
      </c>
      <c r="L20" s="106"/>
      <c r="M20" s="256">
        <f>N20+P20</f>
        <v>506.2</v>
      </c>
      <c r="N20" s="257">
        <v>506.2</v>
      </c>
      <c r="O20" s="257">
        <v>311.89999999999998</v>
      </c>
      <c r="P20" s="158"/>
      <c r="Q20" s="260">
        <f t="shared" si="1"/>
        <v>-0.10000000000002274</v>
      </c>
      <c r="R20" s="261">
        <f t="shared" si="2"/>
        <v>-0.10000000000002274</v>
      </c>
      <c r="S20" s="261">
        <f t="shared" si="3"/>
        <v>-0.10000000000002274</v>
      </c>
      <c r="T20" s="221">
        <f t="shared" si="4"/>
        <v>0</v>
      </c>
    </row>
    <row r="21" spans="1:20" ht="13.5" customHeight="1">
      <c r="A21" s="1249"/>
      <c r="B21" s="1324"/>
      <c r="C21" s="1232"/>
      <c r="D21" s="1235"/>
      <c r="E21" s="1816"/>
      <c r="F21" s="1818"/>
      <c r="G21" s="1792"/>
      <c r="H21" s="8" t="s">
        <v>27</v>
      </c>
      <c r="I21" s="107"/>
      <c r="J21" s="108"/>
      <c r="K21" s="108"/>
      <c r="L21" s="109"/>
      <c r="M21" s="262">
        <f>N21+P21</f>
        <v>280.60000000000002</v>
      </c>
      <c r="N21" s="263">
        <v>280.60000000000002</v>
      </c>
      <c r="O21" s="263">
        <v>214.2</v>
      </c>
      <c r="P21" s="165"/>
      <c r="Q21" s="231">
        <f t="shared" si="1"/>
        <v>280.60000000000002</v>
      </c>
      <c r="R21" s="232">
        <f t="shared" si="2"/>
        <v>280.60000000000002</v>
      </c>
      <c r="S21" s="232">
        <f t="shared" si="3"/>
        <v>214.2</v>
      </c>
      <c r="T21" s="211">
        <f t="shared" si="4"/>
        <v>0</v>
      </c>
    </row>
    <row r="22" spans="1:20" ht="13.5" customHeight="1">
      <c r="A22" s="131"/>
      <c r="B22" s="255"/>
      <c r="C22" s="254"/>
      <c r="D22" s="1235"/>
      <c r="E22" s="1816"/>
      <c r="F22" s="1818"/>
      <c r="G22" s="1792"/>
      <c r="H22" s="8" t="s">
        <v>31</v>
      </c>
      <c r="I22" s="277"/>
      <c r="J22" s="108"/>
      <c r="K22" s="108"/>
      <c r="L22" s="278"/>
      <c r="M22" s="279">
        <f>N22+P22</f>
        <v>48.9</v>
      </c>
      <c r="N22" s="263">
        <v>48.9</v>
      </c>
      <c r="O22" s="263"/>
      <c r="P22" s="84"/>
      <c r="Q22" s="280">
        <f t="shared" si="1"/>
        <v>48.9</v>
      </c>
      <c r="R22" s="281">
        <f t="shared" si="2"/>
        <v>48.9</v>
      </c>
      <c r="S22" s="281"/>
      <c r="T22" s="242"/>
    </row>
    <row r="23" spans="1:20" ht="13.5" customHeight="1" thickBot="1">
      <c r="A23" s="17"/>
      <c r="B23" s="18"/>
      <c r="C23" s="99"/>
      <c r="D23" s="1236"/>
      <c r="E23" s="1817"/>
      <c r="F23" s="1281"/>
      <c r="G23" s="1283"/>
      <c r="H23" s="92" t="s">
        <v>10</v>
      </c>
      <c r="I23" s="102">
        <f t="shared" ref="I23:P23" si="5">SUM(I20:I21)</f>
        <v>506.3</v>
      </c>
      <c r="J23" s="94">
        <f t="shared" si="5"/>
        <v>506.3</v>
      </c>
      <c r="K23" s="94">
        <f t="shared" si="5"/>
        <v>312</v>
      </c>
      <c r="L23" s="97">
        <f t="shared" si="5"/>
        <v>0</v>
      </c>
      <c r="M23" s="102">
        <f t="shared" si="5"/>
        <v>786.8</v>
      </c>
      <c r="N23" s="94">
        <f>SUM(N20:N22)</f>
        <v>835.69999999999993</v>
      </c>
      <c r="O23" s="94">
        <f>SUM(O20:O21)</f>
        <v>526.09999999999991</v>
      </c>
      <c r="P23" s="97">
        <f t="shared" si="5"/>
        <v>0</v>
      </c>
      <c r="Q23" s="224">
        <f t="shared" si="1"/>
        <v>280.49999999999994</v>
      </c>
      <c r="R23" s="225">
        <f t="shared" si="2"/>
        <v>329.39999999999992</v>
      </c>
      <c r="S23" s="225">
        <f t="shared" si="3"/>
        <v>214.09999999999991</v>
      </c>
      <c r="T23" s="226">
        <f t="shared" si="4"/>
        <v>0</v>
      </c>
    </row>
    <row r="24" spans="1:20" ht="18" customHeight="1">
      <c r="A24" s="13" t="s">
        <v>9</v>
      </c>
      <c r="B24" s="14" t="s">
        <v>9</v>
      </c>
      <c r="C24" s="104" t="s">
        <v>69</v>
      </c>
      <c r="D24" s="1484" t="s">
        <v>70</v>
      </c>
      <c r="E24" s="1783"/>
      <c r="F24" s="100"/>
      <c r="G24" s="89"/>
      <c r="H24" s="87" t="s">
        <v>25</v>
      </c>
      <c r="I24" s="126"/>
      <c r="J24" s="113"/>
      <c r="K24" s="127"/>
      <c r="L24" s="128"/>
      <c r="M24" s="151"/>
      <c r="N24" s="150"/>
      <c r="O24" s="152"/>
      <c r="P24" s="166"/>
      <c r="Q24" s="212">
        <f t="shared" si="1"/>
        <v>0</v>
      </c>
      <c r="R24" s="213">
        <f t="shared" si="2"/>
        <v>0</v>
      </c>
      <c r="S24" s="220">
        <f t="shared" si="3"/>
        <v>0</v>
      </c>
      <c r="T24" s="221">
        <f t="shared" si="4"/>
        <v>0</v>
      </c>
    </row>
    <row r="25" spans="1:20" ht="13.5" customHeight="1" thickBot="1">
      <c r="A25" s="86"/>
      <c r="B25" s="16"/>
      <c r="C25" s="98"/>
      <c r="D25" s="1486"/>
      <c r="E25" s="1784"/>
      <c r="F25" s="101"/>
      <c r="G25" s="90"/>
      <c r="H25" s="88" t="s">
        <v>10</v>
      </c>
      <c r="I25" s="71">
        <f>J25+L25</f>
        <v>0</v>
      </c>
      <c r="J25" s="72">
        <f>SUM(J24)</f>
        <v>0</v>
      </c>
      <c r="K25" s="72"/>
      <c r="L25" s="73"/>
      <c r="M25" s="71">
        <f>N25+P25</f>
        <v>0</v>
      </c>
      <c r="N25" s="72">
        <f>SUM(N24)</f>
        <v>0</v>
      </c>
      <c r="O25" s="72"/>
      <c r="P25" s="73"/>
      <c r="Q25" s="224">
        <f t="shared" si="1"/>
        <v>0</v>
      </c>
      <c r="R25" s="225">
        <f t="shared" si="2"/>
        <v>0</v>
      </c>
      <c r="S25" s="225">
        <f t="shared" si="3"/>
        <v>0</v>
      </c>
      <c r="T25" s="226">
        <f t="shared" si="4"/>
        <v>0</v>
      </c>
    </row>
    <row r="26" spans="1:20" ht="14.25" customHeight="1" thickBot="1">
      <c r="A26" s="9" t="s">
        <v>9</v>
      </c>
      <c r="B26" s="5" t="s">
        <v>9</v>
      </c>
      <c r="C26" s="1297" t="s">
        <v>12</v>
      </c>
      <c r="D26" s="1298"/>
      <c r="E26" s="1298"/>
      <c r="F26" s="1298"/>
      <c r="G26" s="1298"/>
      <c r="H26" s="1299"/>
      <c r="I26" s="40">
        <f t="shared" ref="I26:P26" si="6">I25+I23+I19+I16</f>
        <v>848.5</v>
      </c>
      <c r="J26" s="40">
        <f t="shared" si="6"/>
        <v>848.5</v>
      </c>
      <c r="K26" s="40">
        <f t="shared" si="6"/>
        <v>317.60000000000002</v>
      </c>
      <c r="L26" s="144">
        <f t="shared" si="6"/>
        <v>0</v>
      </c>
      <c r="M26" s="40">
        <f t="shared" si="6"/>
        <v>1431.6</v>
      </c>
      <c r="N26" s="40">
        <f t="shared" si="6"/>
        <v>1480.5</v>
      </c>
      <c r="O26" s="40">
        <f t="shared" si="6"/>
        <v>573.89999999999986</v>
      </c>
      <c r="P26" s="144">
        <f t="shared" si="6"/>
        <v>0</v>
      </c>
      <c r="Q26" s="227">
        <f t="shared" si="1"/>
        <v>583.09999999999991</v>
      </c>
      <c r="R26" s="228">
        <f t="shared" si="2"/>
        <v>632</v>
      </c>
      <c r="S26" s="229">
        <f t="shared" si="3"/>
        <v>256.29999999999984</v>
      </c>
      <c r="T26" s="230">
        <f t="shared" si="4"/>
        <v>0</v>
      </c>
    </row>
    <row r="27" spans="1:20" ht="14.25" customHeight="1" thickBot="1">
      <c r="A27" s="4" t="s">
        <v>9</v>
      </c>
      <c r="B27" s="38" t="s">
        <v>11</v>
      </c>
      <c r="C27" s="181" t="s">
        <v>52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3"/>
      <c r="R27" s="183"/>
      <c r="S27" s="183"/>
      <c r="T27" s="184"/>
    </row>
    <row r="28" spans="1:20" ht="15.75" customHeight="1">
      <c r="A28" s="13" t="s">
        <v>9</v>
      </c>
      <c r="B28" s="14" t="s">
        <v>11</v>
      </c>
      <c r="C28" s="104" t="s">
        <v>9</v>
      </c>
      <c r="D28" s="1819" t="s">
        <v>37</v>
      </c>
      <c r="E28" s="1294"/>
      <c r="F28" s="1239" t="s">
        <v>24</v>
      </c>
      <c r="G28" s="1262" t="s">
        <v>43</v>
      </c>
      <c r="H28" s="30" t="s">
        <v>39</v>
      </c>
      <c r="I28" s="135">
        <v>2922.7</v>
      </c>
      <c r="J28" s="136">
        <v>2922.7</v>
      </c>
      <c r="K28" s="136">
        <v>1877.2</v>
      </c>
      <c r="L28" s="110"/>
      <c r="M28" s="248">
        <v>2922.7</v>
      </c>
      <c r="N28" s="249">
        <v>2922.7</v>
      </c>
      <c r="O28" s="249">
        <v>1877.2</v>
      </c>
      <c r="P28" s="250"/>
      <c r="Q28" s="219">
        <f t="shared" si="1"/>
        <v>0</v>
      </c>
      <c r="R28" s="220">
        <f t="shared" si="2"/>
        <v>0</v>
      </c>
      <c r="S28" s="220">
        <f>O28-K28</f>
        <v>0</v>
      </c>
      <c r="T28" s="221">
        <f>P28-L28</f>
        <v>0</v>
      </c>
    </row>
    <row r="29" spans="1:20" ht="15.75" customHeight="1">
      <c r="A29" s="15"/>
      <c r="B29" s="16"/>
      <c r="C29" s="98"/>
      <c r="D29" s="1820"/>
      <c r="E29" s="1295"/>
      <c r="F29" s="1240"/>
      <c r="G29" s="1263"/>
      <c r="H29" s="264" t="s">
        <v>31</v>
      </c>
      <c r="I29" s="244"/>
      <c r="J29" s="91"/>
      <c r="K29" s="91"/>
      <c r="L29" s="267"/>
      <c r="M29" s="283">
        <f>N29+P29</f>
        <v>103.1</v>
      </c>
      <c r="N29" s="284">
        <v>103.1</v>
      </c>
      <c r="O29" s="282"/>
      <c r="P29" s="162"/>
      <c r="Q29" s="231">
        <f t="shared" si="1"/>
        <v>103.1</v>
      </c>
      <c r="R29" s="232">
        <f t="shared" si="2"/>
        <v>103.1</v>
      </c>
      <c r="S29" s="210"/>
      <c r="T29" s="211"/>
    </row>
    <row r="30" spans="1:20" ht="15.75" customHeight="1" thickBot="1">
      <c r="A30" s="17"/>
      <c r="B30" s="18"/>
      <c r="C30" s="99"/>
      <c r="D30" s="1821"/>
      <c r="E30" s="1296"/>
      <c r="F30" s="1241"/>
      <c r="G30" s="1264"/>
      <c r="H30" s="88" t="s">
        <v>10</v>
      </c>
      <c r="I30" s="71">
        <f>J30+L30</f>
        <v>2922.7</v>
      </c>
      <c r="J30" s="72">
        <f>SUM(J28:J28)</f>
        <v>2922.7</v>
      </c>
      <c r="K30" s="72">
        <f>SUM(K28:K28)</f>
        <v>1877.2</v>
      </c>
      <c r="L30" s="73"/>
      <c r="M30" s="71">
        <f>N30+P30</f>
        <v>3025.7999999999997</v>
      </c>
      <c r="N30" s="72">
        <f>SUM(N28:N29)</f>
        <v>3025.7999999999997</v>
      </c>
      <c r="O30" s="72">
        <f>SUM(O28:O28)</f>
        <v>1877.2</v>
      </c>
      <c r="P30" s="73"/>
      <c r="Q30" s="224">
        <f t="shared" si="1"/>
        <v>103.09999999999991</v>
      </c>
      <c r="R30" s="225">
        <f t="shared" si="2"/>
        <v>103.09999999999991</v>
      </c>
      <c r="S30" s="225">
        <f t="shared" ref="S30:S38" si="7">O30-K30</f>
        <v>0</v>
      </c>
      <c r="T30" s="226">
        <f t="shared" ref="T30:T38" si="8">P30-L30</f>
        <v>0</v>
      </c>
    </row>
    <row r="31" spans="1:20" ht="12.75" customHeight="1">
      <c r="A31" s="13" t="s">
        <v>9</v>
      </c>
      <c r="B31" s="14" t="s">
        <v>11</v>
      </c>
      <c r="C31" s="104" t="s">
        <v>11</v>
      </c>
      <c r="D31" s="1822" t="s">
        <v>38</v>
      </c>
      <c r="E31" s="1294"/>
      <c r="F31" s="1239" t="s">
        <v>24</v>
      </c>
      <c r="G31" s="1262" t="s">
        <v>43</v>
      </c>
      <c r="H31" s="31" t="s">
        <v>27</v>
      </c>
      <c r="I31" s="51"/>
      <c r="J31" s="52"/>
      <c r="K31" s="52"/>
      <c r="L31" s="53"/>
      <c r="M31" s="256">
        <f>N31+P31</f>
        <v>267.5</v>
      </c>
      <c r="N31" s="257">
        <v>267.5</v>
      </c>
      <c r="O31" s="147"/>
      <c r="P31" s="161"/>
      <c r="Q31" s="290">
        <f>M31-I31</f>
        <v>267.5</v>
      </c>
      <c r="R31" s="291">
        <f>N31-J31</f>
        <v>267.5</v>
      </c>
      <c r="S31" s="213"/>
      <c r="T31" s="214"/>
    </row>
    <row r="32" spans="1:20">
      <c r="A32" s="15"/>
      <c r="B32" s="16"/>
      <c r="C32" s="98"/>
      <c r="D32" s="1823"/>
      <c r="E32" s="1295"/>
      <c r="F32" s="1240"/>
      <c r="G32" s="1263"/>
      <c r="H32" s="10" t="s">
        <v>36</v>
      </c>
      <c r="I32" s="59">
        <f>J32+L32</f>
        <v>150</v>
      </c>
      <c r="J32" s="60">
        <v>150</v>
      </c>
      <c r="K32" s="60">
        <v>29.3</v>
      </c>
      <c r="L32" s="58"/>
      <c r="M32" s="140">
        <f>N32+P32</f>
        <v>150</v>
      </c>
      <c r="N32" s="141">
        <v>150</v>
      </c>
      <c r="O32" s="141">
        <v>29.3</v>
      </c>
      <c r="P32" s="162"/>
      <c r="Q32" s="209">
        <f t="shared" si="1"/>
        <v>0</v>
      </c>
      <c r="R32" s="210">
        <f t="shared" si="2"/>
        <v>0</v>
      </c>
      <c r="S32" s="210">
        <f t="shared" si="7"/>
        <v>0</v>
      </c>
      <c r="T32" s="211">
        <f t="shared" si="8"/>
        <v>0</v>
      </c>
    </row>
    <row r="33" spans="1:20">
      <c r="A33" s="15"/>
      <c r="B33" s="16"/>
      <c r="C33" s="98"/>
      <c r="D33" s="1823"/>
      <c r="E33" s="1295"/>
      <c r="F33" s="1240"/>
      <c r="G33" s="1263"/>
      <c r="H33" s="10" t="s">
        <v>39</v>
      </c>
      <c r="I33" s="137">
        <v>2002.8</v>
      </c>
      <c r="J33" s="138">
        <v>2002.8</v>
      </c>
      <c r="K33" s="138">
        <v>1405.4</v>
      </c>
      <c r="L33" s="58"/>
      <c r="M33" s="154">
        <v>2002.8</v>
      </c>
      <c r="N33" s="155">
        <v>2002.8</v>
      </c>
      <c r="O33" s="155">
        <v>1405.4</v>
      </c>
      <c r="P33" s="162"/>
      <c r="Q33" s="209">
        <f t="shared" si="1"/>
        <v>0</v>
      </c>
      <c r="R33" s="210">
        <f t="shared" si="2"/>
        <v>0</v>
      </c>
      <c r="S33" s="241">
        <f t="shared" si="7"/>
        <v>0</v>
      </c>
      <c r="T33" s="242">
        <f t="shared" si="8"/>
        <v>0</v>
      </c>
    </row>
    <row r="34" spans="1:20">
      <c r="A34" s="15"/>
      <c r="B34" s="16"/>
      <c r="C34" s="98"/>
      <c r="D34" s="1823"/>
      <c r="E34" s="1295"/>
      <c r="F34" s="1240"/>
      <c r="G34" s="1263"/>
      <c r="H34" s="268" t="s">
        <v>31</v>
      </c>
      <c r="I34" s="285"/>
      <c r="J34" s="286"/>
      <c r="K34" s="286"/>
      <c r="L34" s="61"/>
      <c r="M34" s="288">
        <f>N34+P34</f>
        <v>2.7</v>
      </c>
      <c r="N34" s="289">
        <v>2.7</v>
      </c>
      <c r="O34" s="287"/>
      <c r="P34" s="163"/>
      <c r="Q34" s="231">
        <f t="shared" si="1"/>
        <v>2.7</v>
      </c>
      <c r="R34" s="232">
        <f t="shared" si="2"/>
        <v>2.7</v>
      </c>
      <c r="S34" s="241"/>
      <c r="T34" s="242"/>
    </row>
    <row r="35" spans="1:20" ht="13.5" thickBot="1">
      <c r="A35" s="17"/>
      <c r="B35" s="18"/>
      <c r="C35" s="99"/>
      <c r="D35" s="1824"/>
      <c r="E35" s="1296"/>
      <c r="F35" s="1241"/>
      <c r="G35" s="1264"/>
      <c r="H35" s="88" t="s">
        <v>10</v>
      </c>
      <c r="I35" s="71">
        <f>J35+L35</f>
        <v>2152.8000000000002</v>
      </c>
      <c r="J35" s="72">
        <f>SUM(J31:J33)</f>
        <v>2152.8000000000002</v>
      </c>
      <c r="K35" s="72">
        <f>SUM(K31:K33)</f>
        <v>1434.7</v>
      </c>
      <c r="L35" s="103">
        <f>SUM(L31:L33)</f>
        <v>0</v>
      </c>
      <c r="M35" s="71">
        <f>N35+P35</f>
        <v>2423</v>
      </c>
      <c r="N35" s="72">
        <f>SUM(N31:N34)</f>
        <v>2423</v>
      </c>
      <c r="O35" s="72">
        <f>SUM(O31:O33)</f>
        <v>1434.7</v>
      </c>
      <c r="P35" s="73">
        <f>SUM(P31:P33)</f>
        <v>0</v>
      </c>
      <c r="Q35" s="224">
        <f t="shared" si="1"/>
        <v>270.19999999999982</v>
      </c>
      <c r="R35" s="243">
        <f t="shared" si="2"/>
        <v>270.19999999999982</v>
      </c>
      <c r="S35" s="225">
        <f t="shared" si="7"/>
        <v>0</v>
      </c>
      <c r="T35" s="226">
        <f t="shared" si="8"/>
        <v>0</v>
      </c>
    </row>
    <row r="36" spans="1:20" ht="12.75" customHeight="1">
      <c r="A36" s="13" t="s">
        <v>9</v>
      </c>
      <c r="B36" s="14" t="s">
        <v>11</v>
      </c>
      <c r="C36" s="104" t="s">
        <v>29</v>
      </c>
      <c r="D36" s="1464" t="s">
        <v>28</v>
      </c>
      <c r="E36" s="1294"/>
      <c r="F36" s="1239" t="s">
        <v>24</v>
      </c>
      <c r="G36" s="1262" t="s">
        <v>43</v>
      </c>
      <c r="H36" s="31" t="s">
        <v>25</v>
      </c>
      <c r="I36" s="51"/>
      <c r="J36" s="52"/>
      <c r="K36" s="52"/>
      <c r="L36" s="53"/>
      <c r="M36" s="146"/>
      <c r="N36" s="147"/>
      <c r="O36" s="147"/>
      <c r="P36" s="161"/>
      <c r="Q36" s="212"/>
      <c r="R36" s="213"/>
      <c r="S36" s="213">
        <f t="shared" si="7"/>
        <v>0</v>
      </c>
      <c r="T36" s="214">
        <f t="shared" si="8"/>
        <v>0</v>
      </c>
    </row>
    <row r="37" spans="1:20" ht="13.5" thickBot="1">
      <c r="A37" s="17"/>
      <c r="B37" s="18"/>
      <c r="C37" s="99"/>
      <c r="D37" s="1465"/>
      <c r="E37" s="1296"/>
      <c r="F37" s="1241"/>
      <c r="G37" s="1264"/>
      <c r="H37" s="88" t="s">
        <v>10</v>
      </c>
      <c r="I37" s="71"/>
      <c r="J37" s="72"/>
      <c r="K37" s="72"/>
      <c r="L37" s="103"/>
      <c r="M37" s="71"/>
      <c r="N37" s="72"/>
      <c r="O37" s="72"/>
      <c r="P37" s="73"/>
      <c r="Q37" s="224">
        <f t="shared" si="1"/>
        <v>0</v>
      </c>
      <c r="R37" s="225">
        <f t="shared" si="2"/>
        <v>0</v>
      </c>
      <c r="S37" s="225">
        <f t="shared" si="7"/>
        <v>0</v>
      </c>
      <c r="T37" s="226">
        <f t="shared" si="8"/>
        <v>0</v>
      </c>
    </row>
    <row r="38" spans="1:20" ht="13.5" thickBot="1">
      <c r="A38" s="4" t="s">
        <v>9</v>
      </c>
      <c r="B38" s="5" t="s">
        <v>11</v>
      </c>
      <c r="C38" s="1270" t="s">
        <v>12</v>
      </c>
      <c r="D38" s="1271"/>
      <c r="E38" s="1271"/>
      <c r="F38" s="1271"/>
      <c r="G38" s="1271"/>
      <c r="H38" s="1272"/>
      <c r="I38" s="180">
        <f t="shared" ref="I38:P38" si="9">I35+I30+I37</f>
        <v>5075.5</v>
      </c>
      <c r="J38" s="180">
        <f t="shared" si="9"/>
        <v>5075.5</v>
      </c>
      <c r="K38" s="180">
        <f t="shared" si="9"/>
        <v>3311.9</v>
      </c>
      <c r="L38" s="180">
        <f t="shared" si="9"/>
        <v>0</v>
      </c>
      <c r="M38" s="180">
        <f t="shared" si="9"/>
        <v>5448.7999999999993</v>
      </c>
      <c r="N38" s="180">
        <f t="shared" si="9"/>
        <v>5448.7999999999993</v>
      </c>
      <c r="O38" s="180">
        <f t="shared" si="9"/>
        <v>3311.9</v>
      </c>
      <c r="P38" s="180">
        <f t="shared" si="9"/>
        <v>0</v>
      </c>
      <c r="Q38" s="251">
        <f t="shared" si="1"/>
        <v>373.29999999999927</v>
      </c>
      <c r="R38" s="252">
        <f t="shared" si="2"/>
        <v>373.29999999999927</v>
      </c>
      <c r="S38" s="252">
        <f t="shared" si="7"/>
        <v>0</v>
      </c>
      <c r="T38" s="253">
        <f t="shared" si="8"/>
        <v>0</v>
      </c>
    </row>
    <row r="39" spans="1:20" ht="13.5" customHeight="1" thickBot="1">
      <c r="A39" s="25" t="s">
        <v>9</v>
      </c>
      <c r="B39" s="26" t="s">
        <v>29</v>
      </c>
      <c r="C39" s="1457" t="s">
        <v>34</v>
      </c>
      <c r="D39" s="1286"/>
      <c r="E39" s="1286"/>
      <c r="F39" s="1286"/>
      <c r="G39" s="1286"/>
      <c r="H39" s="1286"/>
      <c r="I39" s="1286"/>
      <c r="J39" s="1286"/>
      <c r="K39" s="1286"/>
      <c r="L39" s="1286"/>
      <c r="M39" s="1286"/>
      <c r="N39" s="1286"/>
      <c r="O39" s="1286"/>
      <c r="P39" s="1286"/>
      <c r="Q39" s="1286"/>
      <c r="R39" s="1286"/>
      <c r="S39" s="1286"/>
      <c r="T39" s="1287"/>
    </row>
    <row r="40" spans="1:20">
      <c r="A40" s="1307" t="s">
        <v>9</v>
      </c>
      <c r="B40" s="1309" t="s">
        <v>29</v>
      </c>
      <c r="C40" s="1785" t="s">
        <v>9</v>
      </c>
      <c r="D40" s="1786" t="s">
        <v>66</v>
      </c>
      <c r="E40" s="1788"/>
      <c r="F40" s="1790" t="s">
        <v>24</v>
      </c>
      <c r="G40" s="1791" t="s">
        <v>53</v>
      </c>
      <c r="H40" s="67" t="s">
        <v>25</v>
      </c>
      <c r="I40" s="185">
        <f t="shared" ref="I40:I46" si="10">J40+L40</f>
        <v>0</v>
      </c>
      <c r="J40" s="186"/>
      <c r="K40" s="186"/>
      <c r="L40" s="187"/>
      <c r="M40" s="188">
        <f t="shared" ref="M40:M47" si="11">N40+P40</f>
        <v>0</v>
      </c>
      <c r="N40" s="189"/>
      <c r="O40" s="189"/>
      <c r="P40" s="190"/>
      <c r="Q40" s="197">
        <f t="shared" si="1"/>
        <v>0</v>
      </c>
      <c r="R40" s="198">
        <f t="shared" si="2"/>
        <v>0</v>
      </c>
      <c r="S40" s="198">
        <f>O40-K40</f>
        <v>0</v>
      </c>
      <c r="T40" s="199">
        <f>P40-L40</f>
        <v>0</v>
      </c>
    </row>
    <row r="41" spans="1:20" ht="13.5" thickBot="1">
      <c r="A41" s="1308"/>
      <c r="B41" s="1310"/>
      <c r="C41" s="1258"/>
      <c r="D41" s="1787"/>
      <c r="E41" s="1789"/>
      <c r="F41" s="1316"/>
      <c r="G41" s="1318"/>
      <c r="H41" s="70" t="s">
        <v>10</v>
      </c>
      <c r="I41" s="71">
        <f t="shared" si="10"/>
        <v>0</v>
      </c>
      <c r="J41" s="72">
        <f>SUM(J40)</f>
        <v>0</v>
      </c>
      <c r="K41" s="72"/>
      <c r="L41" s="73"/>
      <c r="M41" s="71">
        <f t="shared" si="11"/>
        <v>0</v>
      </c>
      <c r="N41" s="72">
        <f>SUM(N40)</f>
        <v>0</v>
      </c>
      <c r="O41" s="72"/>
      <c r="P41" s="73"/>
      <c r="Q41" s="204">
        <f t="shared" si="1"/>
        <v>0</v>
      </c>
      <c r="R41" s="205">
        <f t="shared" si="2"/>
        <v>0</v>
      </c>
      <c r="S41" s="205">
        <f t="shared" ref="S41:S52" si="12">O41-K41</f>
        <v>0</v>
      </c>
      <c r="T41" s="206">
        <f t="shared" ref="T41:T52" si="13">P41-L41</f>
        <v>0</v>
      </c>
    </row>
    <row r="42" spans="1:20">
      <c r="A42" s="1307" t="s">
        <v>9</v>
      </c>
      <c r="B42" s="1309" t="s">
        <v>29</v>
      </c>
      <c r="C42" s="1256" t="s">
        <v>11</v>
      </c>
      <c r="D42" s="1770" t="s">
        <v>86</v>
      </c>
      <c r="E42" s="1313" t="s">
        <v>32</v>
      </c>
      <c r="F42" s="1315" t="s">
        <v>24</v>
      </c>
      <c r="G42" s="1317" t="s">
        <v>44</v>
      </c>
      <c r="H42" s="120" t="s">
        <v>25</v>
      </c>
      <c r="I42" s="63">
        <f t="shared" si="10"/>
        <v>0</v>
      </c>
      <c r="J42" s="64"/>
      <c r="K42" s="64"/>
      <c r="L42" s="65"/>
      <c r="M42" s="156">
        <f t="shared" si="11"/>
        <v>0</v>
      </c>
      <c r="N42" s="157"/>
      <c r="O42" s="157"/>
      <c r="P42" s="158"/>
      <c r="Q42" s="197">
        <f t="shared" si="1"/>
        <v>0</v>
      </c>
      <c r="R42" s="198">
        <f t="shared" si="2"/>
        <v>0</v>
      </c>
      <c r="S42" s="198">
        <f t="shared" si="12"/>
        <v>0</v>
      </c>
      <c r="T42" s="199">
        <f t="shared" si="13"/>
        <v>0</v>
      </c>
    </row>
    <row r="43" spans="1:20" ht="13.5" thickBot="1">
      <c r="A43" s="1308"/>
      <c r="B43" s="1310"/>
      <c r="C43" s="1258"/>
      <c r="D43" s="1771"/>
      <c r="E43" s="1314"/>
      <c r="F43" s="1316"/>
      <c r="G43" s="1318"/>
      <c r="H43" s="70" t="s">
        <v>10</v>
      </c>
      <c r="I43" s="71">
        <f t="shared" si="10"/>
        <v>0</v>
      </c>
      <c r="J43" s="72">
        <f>SUM(J42)</f>
        <v>0</v>
      </c>
      <c r="K43" s="72"/>
      <c r="L43" s="73"/>
      <c r="M43" s="71">
        <f t="shared" si="11"/>
        <v>0</v>
      </c>
      <c r="N43" s="72">
        <f>SUM(N42)</f>
        <v>0</v>
      </c>
      <c r="O43" s="72"/>
      <c r="P43" s="73"/>
      <c r="Q43" s="204">
        <f t="shared" si="1"/>
        <v>0</v>
      </c>
      <c r="R43" s="205">
        <f t="shared" si="2"/>
        <v>0</v>
      </c>
      <c r="S43" s="205">
        <f t="shared" si="12"/>
        <v>0</v>
      </c>
      <c r="T43" s="206">
        <f t="shared" si="13"/>
        <v>0</v>
      </c>
    </row>
    <row r="44" spans="1:20" ht="12.75" customHeight="1">
      <c r="A44" s="1307" t="s">
        <v>9</v>
      </c>
      <c r="B44" s="1309" t="s">
        <v>29</v>
      </c>
      <c r="C44" s="1326" t="s">
        <v>29</v>
      </c>
      <c r="D44" s="1780" t="s">
        <v>46</v>
      </c>
      <c r="E44" s="1332" t="s">
        <v>32</v>
      </c>
      <c r="F44" s="1315" t="s">
        <v>24</v>
      </c>
      <c r="G44" s="1317" t="s">
        <v>44</v>
      </c>
      <c r="H44" s="68" t="s">
        <v>31</v>
      </c>
      <c r="I44" s="142">
        <f t="shared" si="10"/>
        <v>1285.5</v>
      </c>
      <c r="J44" s="32"/>
      <c r="K44" s="32"/>
      <c r="L44" s="143">
        <v>1285.5</v>
      </c>
      <c r="M44" s="33">
        <f t="shared" si="11"/>
        <v>1285.5</v>
      </c>
      <c r="N44" s="34"/>
      <c r="O44" s="34"/>
      <c r="P44" s="35">
        <v>1285.5</v>
      </c>
      <c r="Q44" s="197">
        <f t="shared" si="1"/>
        <v>0</v>
      </c>
      <c r="R44" s="198">
        <f t="shared" si="2"/>
        <v>0</v>
      </c>
      <c r="S44" s="198">
        <f t="shared" si="12"/>
        <v>0</v>
      </c>
      <c r="T44" s="199">
        <f t="shared" si="13"/>
        <v>0</v>
      </c>
    </row>
    <row r="45" spans="1:20">
      <c r="A45" s="1322"/>
      <c r="B45" s="1324"/>
      <c r="C45" s="1327"/>
      <c r="D45" s="1781"/>
      <c r="E45" s="1333"/>
      <c r="F45" s="1335"/>
      <c r="G45" s="1337"/>
      <c r="H45" s="69" t="s">
        <v>39</v>
      </c>
      <c r="I45" s="48">
        <f t="shared" si="10"/>
        <v>600</v>
      </c>
      <c r="J45" s="49"/>
      <c r="K45" s="49"/>
      <c r="L45" s="50">
        <v>600</v>
      </c>
      <c r="M45" s="45">
        <f t="shared" si="11"/>
        <v>600</v>
      </c>
      <c r="N45" s="46"/>
      <c r="O45" s="46"/>
      <c r="P45" s="47">
        <v>600</v>
      </c>
      <c r="Q45" s="194">
        <f t="shared" si="1"/>
        <v>0</v>
      </c>
      <c r="R45" s="195">
        <f t="shared" si="2"/>
        <v>0</v>
      </c>
      <c r="S45" s="195">
        <f t="shared" si="12"/>
        <v>0</v>
      </c>
      <c r="T45" s="196">
        <f t="shared" si="13"/>
        <v>0</v>
      </c>
    </row>
    <row r="46" spans="1:20" ht="13.5" thickBot="1">
      <c r="A46" s="1323"/>
      <c r="B46" s="1325"/>
      <c r="C46" s="1328"/>
      <c r="D46" s="1782"/>
      <c r="E46" s="1334"/>
      <c r="F46" s="1336"/>
      <c r="G46" s="1338"/>
      <c r="H46" s="74" t="s">
        <v>10</v>
      </c>
      <c r="I46" s="75">
        <f t="shared" si="10"/>
        <v>1885.5</v>
      </c>
      <c r="J46" s="76"/>
      <c r="K46" s="76"/>
      <c r="L46" s="77">
        <f>SUM(L44:L45)</f>
        <v>1885.5</v>
      </c>
      <c r="M46" s="75">
        <f t="shared" si="11"/>
        <v>1885.5</v>
      </c>
      <c r="N46" s="76"/>
      <c r="O46" s="76"/>
      <c r="P46" s="77">
        <f>SUM(P44:P45)</f>
        <v>1885.5</v>
      </c>
      <c r="Q46" s="200">
        <f t="shared" si="1"/>
        <v>0</v>
      </c>
      <c r="R46" s="201">
        <f t="shared" si="2"/>
        <v>0</v>
      </c>
      <c r="S46" s="201">
        <f t="shared" si="12"/>
        <v>0</v>
      </c>
      <c r="T46" s="233">
        <f t="shared" si="13"/>
        <v>0</v>
      </c>
    </row>
    <row r="47" spans="1:20" ht="12.75" customHeight="1">
      <c r="A47" s="1307" t="s">
        <v>9</v>
      </c>
      <c r="B47" s="1309" t="s">
        <v>29</v>
      </c>
      <c r="C47" s="1326" t="s">
        <v>69</v>
      </c>
      <c r="D47" s="1780" t="s">
        <v>87</v>
      </c>
      <c r="E47" s="1332" t="s">
        <v>32</v>
      </c>
      <c r="F47" s="1315" t="s">
        <v>24</v>
      </c>
      <c r="G47" s="1317"/>
      <c r="H47" s="68" t="s">
        <v>31</v>
      </c>
      <c r="I47" s="142"/>
      <c r="J47" s="32"/>
      <c r="K47" s="32"/>
      <c r="L47" s="143"/>
      <c r="M47" s="33">
        <f t="shared" si="11"/>
        <v>20</v>
      </c>
      <c r="N47" s="34"/>
      <c r="O47" s="34"/>
      <c r="P47" s="167">
        <v>20</v>
      </c>
      <c r="Q47" s="245">
        <f>M47-I47</f>
        <v>20</v>
      </c>
      <c r="R47" s="192">
        <f>N47-J47</f>
        <v>0</v>
      </c>
      <c r="S47" s="192">
        <f>O47-K47</f>
        <v>0</v>
      </c>
      <c r="T47" s="246">
        <f>P47-L47</f>
        <v>20</v>
      </c>
    </row>
    <row r="48" spans="1:20">
      <c r="A48" s="1322"/>
      <c r="B48" s="1324"/>
      <c r="C48" s="1327"/>
      <c r="D48" s="1781"/>
      <c r="E48" s="1333"/>
      <c r="F48" s="1335"/>
      <c r="G48" s="1337"/>
      <c r="H48" s="69"/>
      <c r="I48" s="48"/>
      <c r="J48" s="49"/>
      <c r="K48" s="49"/>
      <c r="L48" s="50"/>
      <c r="M48" s="45"/>
      <c r="N48" s="46"/>
      <c r="O48" s="46"/>
      <c r="P48" s="168"/>
      <c r="Q48" s="194"/>
      <c r="R48" s="195"/>
      <c r="S48" s="195"/>
      <c r="T48" s="196"/>
    </row>
    <row r="49" spans="1:20" ht="13.5" thickBot="1">
      <c r="A49" s="1323"/>
      <c r="B49" s="1325"/>
      <c r="C49" s="1328"/>
      <c r="D49" s="1782"/>
      <c r="E49" s="1334"/>
      <c r="F49" s="1336"/>
      <c r="G49" s="1338"/>
      <c r="H49" s="74" t="s">
        <v>10</v>
      </c>
      <c r="I49" s="75">
        <f>J49+L49</f>
        <v>0</v>
      </c>
      <c r="J49" s="76"/>
      <c r="K49" s="76"/>
      <c r="L49" s="77">
        <f>SUM(L47:L48)</f>
        <v>0</v>
      </c>
      <c r="M49" s="75">
        <f>N49+P49</f>
        <v>20</v>
      </c>
      <c r="N49" s="76"/>
      <c r="O49" s="76"/>
      <c r="P49" s="169">
        <f>SUM(P47:P48)</f>
        <v>20</v>
      </c>
      <c r="Q49" s="202">
        <f>M49-I49</f>
        <v>20</v>
      </c>
      <c r="R49" s="203">
        <f>N49-J49</f>
        <v>0</v>
      </c>
      <c r="S49" s="203">
        <f>O49-K49</f>
        <v>0</v>
      </c>
      <c r="T49" s="247">
        <f>P49-L49</f>
        <v>20</v>
      </c>
    </row>
    <row r="50" spans="1:20" ht="15" customHeight="1" thickBot="1">
      <c r="A50" s="105" t="s">
        <v>9</v>
      </c>
      <c r="B50" s="5" t="s">
        <v>29</v>
      </c>
      <c r="C50" s="1270" t="s">
        <v>12</v>
      </c>
      <c r="D50" s="1271"/>
      <c r="E50" s="1271"/>
      <c r="F50" s="1271"/>
      <c r="G50" s="1271"/>
      <c r="H50" s="1272"/>
      <c r="I50" s="116">
        <f>I46+I43+I41</f>
        <v>1885.5</v>
      </c>
      <c r="J50" s="117">
        <f>J46+J43+J41</f>
        <v>0</v>
      </c>
      <c r="K50" s="118">
        <f>K46+K43+K41</f>
        <v>0</v>
      </c>
      <c r="L50" s="119">
        <f>L46+L43+L41</f>
        <v>1885.5</v>
      </c>
      <c r="M50" s="116">
        <f>M46+M43+M41+M49</f>
        <v>1905.5</v>
      </c>
      <c r="N50" s="117">
        <f>N46+N43+N41</f>
        <v>0</v>
      </c>
      <c r="O50" s="118">
        <f>O46+O43+O41</f>
        <v>0</v>
      </c>
      <c r="P50" s="170">
        <f>P46+P43+P41+P49</f>
        <v>1905.5</v>
      </c>
      <c r="Q50" s="207">
        <f t="shared" si="1"/>
        <v>20</v>
      </c>
      <c r="R50" s="208">
        <f t="shared" si="2"/>
        <v>0</v>
      </c>
      <c r="S50" s="208">
        <f t="shared" si="12"/>
        <v>0</v>
      </c>
      <c r="T50" s="234">
        <f>P50-L50</f>
        <v>20</v>
      </c>
    </row>
    <row r="51" spans="1:20" ht="13.5" thickBot="1">
      <c r="A51" s="131" t="s">
        <v>9</v>
      </c>
      <c r="B51" s="1352" t="s">
        <v>13</v>
      </c>
      <c r="C51" s="1353"/>
      <c r="D51" s="1353"/>
      <c r="E51" s="1353"/>
      <c r="F51" s="1353"/>
      <c r="G51" s="1353"/>
      <c r="H51" s="1354"/>
      <c r="I51" s="129">
        <f>J51+L51</f>
        <v>7809.5</v>
      </c>
      <c r="J51" s="20">
        <f>SUM(J50,J38,J26)</f>
        <v>5924</v>
      </c>
      <c r="K51" s="130">
        <f>SUM(K50,K38,K26)</f>
        <v>3629.5</v>
      </c>
      <c r="L51" s="23">
        <f>SUM(L50,L38,L26)</f>
        <v>1885.5</v>
      </c>
      <c r="M51" s="129">
        <f>N51+P51</f>
        <v>8834.7999999999993</v>
      </c>
      <c r="N51" s="20">
        <f>SUM(N50,N38,N26)</f>
        <v>6929.2999999999993</v>
      </c>
      <c r="O51" s="130">
        <f>SUM(O50,O38,O26)</f>
        <v>3885.8</v>
      </c>
      <c r="P51" s="171">
        <f>SUM(P50,P38,P26)</f>
        <v>1905.5</v>
      </c>
      <c r="Q51" s="235">
        <f t="shared" si="1"/>
        <v>1025.2999999999993</v>
      </c>
      <c r="R51" s="236">
        <f t="shared" si="2"/>
        <v>1005.2999999999993</v>
      </c>
      <c r="S51" s="236">
        <f t="shared" si="12"/>
        <v>256.30000000000018</v>
      </c>
      <c r="T51" s="237">
        <f t="shared" si="13"/>
        <v>20</v>
      </c>
    </row>
    <row r="52" spans="1:20" ht="13.5" thickBot="1">
      <c r="A52" s="11" t="s">
        <v>30</v>
      </c>
      <c r="B52" s="1339" t="s">
        <v>14</v>
      </c>
      <c r="C52" s="1340"/>
      <c r="D52" s="1340"/>
      <c r="E52" s="1340"/>
      <c r="F52" s="1340"/>
      <c r="G52" s="1340"/>
      <c r="H52" s="1341"/>
      <c r="I52" s="19">
        <f>J52+L52</f>
        <v>7809.5</v>
      </c>
      <c r="J52" s="21">
        <f>J51</f>
        <v>5924</v>
      </c>
      <c r="K52" s="22">
        <f>K51</f>
        <v>3629.5</v>
      </c>
      <c r="L52" s="24">
        <f>L51</f>
        <v>1885.5</v>
      </c>
      <c r="M52" s="19">
        <f>N52+P52</f>
        <v>8834.7999999999993</v>
      </c>
      <c r="N52" s="21">
        <f>N51</f>
        <v>6929.2999999999993</v>
      </c>
      <c r="O52" s="22">
        <f>O51</f>
        <v>3885.8</v>
      </c>
      <c r="P52" s="172">
        <f>P51</f>
        <v>1905.5</v>
      </c>
      <c r="Q52" s="238">
        <f t="shared" si="1"/>
        <v>1025.2999999999993</v>
      </c>
      <c r="R52" s="239">
        <f t="shared" si="2"/>
        <v>1005.2999999999993</v>
      </c>
      <c r="S52" s="239">
        <f t="shared" si="12"/>
        <v>256.30000000000018</v>
      </c>
      <c r="T52" s="240">
        <f t="shared" si="13"/>
        <v>20</v>
      </c>
    </row>
    <row r="53" spans="1:20">
      <c r="A53" s="1831" t="s">
        <v>73</v>
      </c>
      <c r="B53" s="1831"/>
      <c r="C53" s="1831"/>
      <c r="D53" s="1831"/>
      <c r="E53" s="1831"/>
      <c r="F53" s="1831"/>
      <c r="G53" s="1831"/>
      <c r="H53" s="1831"/>
      <c r="I53" s="1831"/>
      <c r="J53" s="1831"/>
      <c r="K53" s="1831"/>
      <c r="L53" s="1831"/>
      <c r="M53" s="1831"/>
      <c r="N53" s="1831"/>
      <c r="O53" s="1831"/>
      <c r="P53" s="1831"/>
      <c r="Q53" s="114"/>
    </row>
    <row r="54" spans="1:20" ht="14.2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</row>
    <row r="55" spans="1:20" ht="18.75" customHeight="1" thickBot="1">
      <c r="A55" s="1793" t="s">
        <v>18</v>
      </c>
      <c r="B55" s="1793"/>
      <c r="C55" s="1793"/>
      <c r="D55" s="1793"/>
      <c r="E55" s="1793"/>
      <c r="F55" s="1793"/>
      <c r="G55" s="1793"/>
      <c r="H55" s="1793"/>
      <c r="I55" s="1793"/>
      <c r="J55" s="1793"/>
      <c r="K55" s="1793"/>
      <c r="L55" s="1793"/>
      <c r="M55" s="1793"/>
      <c r="N55" s="1793"/>
      <c r="O55" s="1793"/>
      <c r="P55" s="1793"/>
      <c r="Q55" s="1793"/>
      <c r="R55" s="1793"/>
      <c r="S55" s="1793"/>
      <c r="T55" s="1793"/>
    </row>
    <row r="56" spans="1:20" ht="32.25" customHeight="1">
      <c r="A56" s="1769" t="s">
        <v>15</v>
      </c>
      <c r="B56" s="1223"/>
      <c r="C56" s="1223"/>
      <c r="D56" s="1223"/>
      <c r="E56" s="1223"/>
      <c r="F56" s="1223"/>
      <c r="G56" s="1223"/>
      <c r="H56" s="1347"/>
      <c r="I56" s="1222" t="s">
        <v>68</v>
      </c>
      <c r="J56" s="1223"/>
      <c r="K56" s="1223"/>
      <c r="L56" s="1347"/>
      <c r="M56" s="1222" t="s">
        <v>90</v>
      </c>
      <c r="N56" s="1223"/>
      <c r="O56" s="1223"/>
      <c r="P56" s="1224"/>
      <c r="Q56" s="1794" t="s">
        <v>88</v>
      </c>
      <c r="R56" s="1795"/>
      <c r="S56" s="1795"/>
      <c r="T56" s="1796"/>
    </row>
    <row r="57" spans="1:20">
      <c r="A57" s="1757" t="s">
        <v>19</v>
      </c>
      <c r="B57" s="1758"/>
      <c r="C57" s="1758"/>
      <c r="D57" s="1758"/>
      <c r="E57" s="1758"/>
      <c r="F57" s="1758"/>
      <c r="G57" s="1758"/>
      <c r="H57" s="1759"/>
      <c r="I57" s="1370">
        <f>SUM(I58:L62)</f>
        <v>6524</v>
      </c>
      <c r="J57" s="1370"/>
      <c r="K57" s="1370"/>
      <c r="L57" s="1371"/>
      <c r="M57" s="1370">
        <f ca="1">SUM(M58:P62)</f>
        <v>6613</v>
      </c>
      <c r="N57" s="1370"/>
      <c r="O57" s="1370"/>
      <c r="P57" s="1370"/>
      <c r="Q57" s="1797">
        <f ca="1">M57-I57</f>
        <v>89</v>
      </c>
      <c r="R57" s="1798"/>
      <c r="S57" s="1798"/>
      <c r="T57" s="1799"/>
    </row>
    <row r="58" spans="1:20" ht="12.75" customHeight="1">
      <c r="A58" s="1173" t="s">
        <v>40</v>
      </c>
      <c r="B58" s="1174"/>
      <c r="C58" s="1174"/>
      <c r="D58" s="1174"/>
      <c r="E58" s="1174"/>
      <c r="F58" s="1174"/>
      <c r="G58" s="1174"/>
      <c r="H58" s="1175"/>
      <c r="I58" s="1365">
        <f>SUMIF(H12:H46,"SB",I12:I46)</f>
        <v>550.5</v>
      </c>
      <c r="J58" s="1365"/>
      <c r="K58" s="1365"/>
      <c r="L58" s="1366"/>
      <c r="M58" s="1365">
        <f>SUMIF(H12:H49,"sb",M12:M49)</f>
        <v>550.5</v>
      </c>
      <c r="N58" s="1365"/>
      <c r="O58" s="1365"/>
      <c r="P58" s="1365"/>
      <c r="Q58" s="1800">
        <f t="shared" ref="Q58:Q67" si="14">M58-I58</f>
        <v>0</v>
      </c>
      <c r="R58" s="1801"/>
      <c r="S58" s="1801"/>
      <c r="T58" s="1802"/>
    </row>
    <row r="59" spans="1:20">
      <c r="A59" s="1803" t="s">
        <v>41</v>
      </c>
      <c r="B59" s="1804"/>
      <c r="C59" s="1804"/>
      <c r="D59" s="1804"/>
      <c r="E59" s="1804"/>
      <c r="F59" s="1804"/>
      <c r="G59" s="1804"/>
      <c r="H59" s="1805"/>
      <c r="I59" s="1365">
        <f>SUMIF(H12:H50,"SB(AA)",I12:I50)</f>
        <v>298</v>
      </c>
      <c r="J59" s="1365"/>
      <c r="K59" s="1365"/>
      <c r="L59" s="1366"/>
      <c r="M59" s="1365">
        <f>SUMIF(H12:H44,H13,M12:M44)</f>
        <v>298</v>
      </c>
      <c r="N59" s="1365"/>
      <c r="O59" s="1365"/>
      <c r="P59" s="1365"/>
      <c r="Q59" s="1800">
        <f t="shared" si="14"/>
        <v>0</v>
      </c>
      <c r="R59" s="1801"/>
      <c r="S59" s="1801"/>
      <c r="T59" s="1802"/>
    </row>
    <row r="60" spans="1:20" ht="26.25" customHeight="1">
      <c r="A60" s="1803" t="s">
        <v>51</v>
      </c>
      <c r="B60" s="1804"/>
      <c r="C60" s="1804"/>
      <c r="D60" s="1804"/>
      <c r="E60" s="1804"/>
      <c r="F60" s="1804"/>
      <c r="G60" s="1804"/>
      <c r="H60" s="1805"/>
      <c r="I60" s="1760">
        <f>SUMIF(H12:H48,H14,I12:I48)</f>
        <v>0</v>
      </c>
      <c r="J60" s="1365"/>
      <c r="K60" s="1365"/>
      <c r="L60" s="1366"/>
      <c r="M60" s="1760">
        <f>SUMIF(H12:H48,H14,M12:M48)</f>
        <v>89</v>
      </c>
      <c r="N60" s="1365"/>
      <c r="O60" s="1365"/>
      <c r="P60" s="1366"/>
      <c r="Q60" s="1828">
        <f>SUMIF(H12:H48,H14,Q12:Q48)</f>
        <v>89</v>
      </c>
      <c r="R60" s="1829"/>
      <c r="S60" s="1829"/>
      <c r="T60" s="1830"/>
    </row>
    <row r="61" spans="1:20">
      <c r="A61" s="1173" t="s">
        <v>49</v>
      </c>
      <c r="B61" s="1174"/>
      <c r="C61" s="1174"/>
      <c r="D61" s="1174"/>
      <c r="E61" s="1174"/>
      <c r="F61" s="1174"/>
      <c r="G61" s="1174"/>
      <c r="H61" s="1175"/>
      <c r="I61" s="1365">
        <f>SUMIF(H12:H46,"SB(SP)",I12:I46)</f>
        <v>150</v>
      </c>
      <c r="J61" s="1365"/>
      <c r="K61" s="1365"/>
      <c r="L61" s="1366"/>
      <c r="M61" s="1365">
        <f>SUMIF(H12:H44,H32,M12:M44)</f>
        <v>150</v>
      </c>
      <c r="N61" s="1365"/>
      <c r="O61" s="1365"/>
      <c r="P61" s="1365"/>
      <c r="Q61" s="1800">
        <f t="shared" si="14"/>
        <v>0</v>
      </c>
      <c r="R61" s="1801"/>
      <c r="S61" s="1801"/>
      <c r="T61" s="1802"/>
    </row>
    <row r="62" spans="1:20" ht="30" customHeight="1">
      <c r="A62" s="1173" t="s">
        <v>48</v>
      </c>
      <c r="B62" s="1174"/>
      <c r="C62" s="1174"/>
      <c r="D62" s="1174"/>
      <c r="E62" s="1174"/>
      <c r="F62" s="1174"/>
      <c r="G62" s="1174"/>
      <c r="H62" s="1175"/>
      <c r="I62" s="1365">
        <f>SUMIF(H12:H46,"SB(VB)",I12:I46)</f>
        <v>5525.5</v>
      </c>
      <c r="J62" s="1365"/>
      <c r="K62" s="1365"/>
      <c r="L62" s="1366"/>
      <c r="M62" s="1365">
        <f ca="1">SUMIF(H44:I45:H12,H28,M12:M44)</f>
        <v>5525.5</v>
      </c>
      <c r="N62" s="1365"/>
      <c r="O62" s="1365"/>
      <c r="P62" s="1365"/>
      <c r="Q62" s="1800">
        <f t="shared" ca="1" si="14"/>
        <v>0</v>
      </c>
      <c r="R62" s="1801"/>
      <c r="S62" s="1801"/>
      <c r="T62" s="1802"/>
    </row>
    <row r="63" spans="1:20">
      <c r="A63" s="1757" t="s">
        <v>20</v>
      </c>
      <c r="B63" s="1758"/>
      <c r="C63" s="1758"/>
      <c r="D63" s="1758"/>
      <c r="E63" s="1758"/>
      <c r="F63" s="1758"/>
      <c r="G63" s="1758"/>
      <c r="H63" s="1759"/>
      <c r="I63" s="1370">
        <f>SUM(I64:L66)</f>
        <v>1285.5</v>
      </c>
      <c r="J63" s="1370"/>
      <c r="K63" s="1370"/>
      <c r="L63" s="1371"/>
      <c r="M63" s="1370">
        <f>SUM(M64:P66)</f>
        <v>2221.8000000000002</v>
      </c>
      <c r="N63" s="1370"/>
      <c r="O63" s="1370"/>
      <c r="P63" s="1370"/>
      <c r="Q63" s="1797">
        <f t="shared" si="14"/>
        <v>936.30000000000018</v>
      </c>
      <c r="R63" s="1798"/>
      <c r="S63" s="1798"/>
      <c r="T63" s="1799"/>
    </row>
    <row r="64" spans="1:20">
      <c r="A64" s="1173" t="s">
        <v>42</v>
      </c>
      <c r="B64" s="1174"/>
      <c r="C64" s="1174"/>
      <c r="D64" s="1174"/>
      <c r="E64" s="1174"/>
      <c r="F64" s="1174"/>
      <c r="G64" s="1174"/>
      <c r="H64" s="1175"/>
      <c r="I64" s="1365">
        <f>SUMIF(H12:H46,"LRVB",I12:I46)</f>
        <v>0</v>
      </c>
      <c r="J64" s="1365"/>
      <c r="K64" s="1365"/>
      <c r="L64" s="1366"/>
      <c r="M64" s="1365">
        <f>SUMIF(H12:H44,#REF!,M12:M44)</f>
        <v>0</v>
      </c>
      <c r="N64" s="1365"/>
      <c r="O64" s="1365"/>
      <c r="P64" s="1365"/>
      <c r="Q64" s="1800">
        <f t="shared" si="14"/>
        <v>0</v>
      </c>
      <c r="R64" s="1801"/>
      <c r="S64" s="1801"/>
      <c r="T64" s="1802"/>
    </row>
    <row r="65" spans="1:20">
      <c r="A65" s="1173" t="s">
        <v>45</v>
      </c>
      <c r="B65" s="1174"/>
      <c r="C65" s="1174"/>
      <c r="D65" s="1174"/>
      <c r="E65" s="1174"/>
      <c r="F65" s="1174"/>
      <c r="G65" s="1174"/>
      <c r="H65" s="1175"/>
      <c r="I65" s="1365">
        <f>SUMIF(H12:H50,"PSDF",I12:I50)</f>
        <v>0</v>
      </c>
      <c r="J65" s="1365"/>
      <c r="K65" s="1365"/>
      <c r="L65" s="1366"/>
      <c r="M65" s="1365">
        <f>SUMIF(H12:H48,H15,M12:M48)</f>
        <v>761.6</v>
      </c>
      <c r="N65" s="1365"/>
      <c r="O65" s="1365"/>
      <c r="P65" s="1365"/>
      <c r="Q65" s="1800">
        <f t="shared" si="14"/>
        <v>761.6</v>
      </c>
      <c r="R65" s="1801"/>
      <c r="S65" s="1801"/>
      <c r="T65" s="1802"/>
    </row>
    <row r="66" spans="1:20">
      <c r="A66" s="1803" t="s">
        <v>85</v>
      </c>
      <c r="B66" s="1804"/>
      <c r="C66" s="1804"/>
      <c r="D66" s="1804"/>
      <c r="E66" s="1804"/>
      <c r="F66" s="1804"/>
      <c r="G66" s="1804"/>
      <c r="H66" s="1805"/>
      <c r="I66" s="1760">
        <f>SUMIF(H12:H45,"kt",I12:I45)</f>
        <v>1285.5</v>
      </c>
      <c r="J66" s="1365"/>
      <c r="K66" s="1365"/>
      <c r="L66" s="1366"/>
      <c r="M66" s="1760">
        <f>SUMIF(H12:H48,H44,M12:M48)</f>
        <v>1460.2</v>
      </c>
      <c r="N66" s="1365"/>
      <c r="O66" s="1365"/>
      <c r="P66" s="1365"/>
      <c r="Q66" s="1800">
        <f t="shared" si="14"/>
        <v>174.70000000000005</v>
      </c>
      <c r="R66" s="1801"/>
      <c r="S66" s="1801"/>
      <c r="T66" s="1802"/>
    </row>
    <row r="67" spans="1:20" ht="13.5" thickBot="1">
      <c r="A67" s="1833" t="s">
        <v>21</v>
      </c>
      <c r="B67" s="1834"/>
      <c r="C67" s="1834"/>
      <c r="D67" s="1834"/>
      <c r="E67" s="1834"/>
      <c r="F67" s="1834"/>
      <c r="G67" s="1834"/>
      <c r="H67" s="1835"/>
      <c r="I67" s="1832">
        <f>SUM(I57,I63)</f>
        <v>7809.5</v>
      </c>
      <c r="J67" s="1832"/>
      <c r="K67" s="1832"/>
      <c r="L67" s="1836"/>
      <c r="M67" s="1832">
        <f ca="1">SUM(M57,M63)</f>
        <v>8834.7999999999993</v>
      </c>
      <c r="N67" s="1832"/>
      <c r="O67" s="1832"/>
      <c r="P67" s="1832"/>
      <c r="Q67" s="1825">
        <f t="shared" ca="1" si="14"/>
        <v>1025.2999999999993</v>
      </c>
      <c r="R67" s="1826"/>
      <c r="S67" s="1826"/>
      <c r="T67" s="1827"/>
    </row>
    <row r="68" spans="1:20">
      <c r="A68" s="44"/>
      <c r="B68" s="43"/>
      <c r="C68" s="43"/>
      <c r="D68" s="43"/>
      <c r="E68" s="43"/>
      <c r="F68" s="43"/>
    </row>
  </sheetData>
  <mergeCells count="145">
    <mergeCell ref="Q66:T66"/>
    <mergeCell ref="Q63:T63"/>
    <mergeCell ref="Q64:T64"/>
    <mergeCell ref="Q67:T67"/>
    <mergeCell ref="Q60:T60"/>
    <mergeCell ref="Q65:T65"/>
    <mergeCell ref="A53:P53"/>
    <mergeCell ref="A56:H56"/>
    <mergeCell ref="I56:L56"/>
    <mergeCell ref="A57:H57"/>
    <mergeCell ref="I57:L57"/>
    <mergeCell ref="Q61:T61"/>
    <mergeCell ref="Q62:T62"/>
    <mergeCell ref="M62:P62"/>
    <mergeCell ref="A65:H65"/>
    <mergeCell ref="I65:L65"/>
    <mergeCell ref="A66:H66"/>
    <mergeCell ref="I66:L66"/>
    <mergeCell ref="M67:P67"/>
    <mergeCell ref="A62:H62"/>
    <mergeCell ref="I62:L62"/>
    <mergeCell ref="A67:H67"/>
    <mergeCell ref="I67:L67"/>
    <mergeCell ref="M63:P63"/>
    <mergeCell ref="A5:A7"/>
    <mergeCell ref="B5:B7"/>
    <mergeCell ref="C5:C7"/>
    <mergeCell ref="A47:A49"/>
    <mergeCell ref="B47:B49"/>
    <mergeCell ref="C47:C49"/>
    <mergeCell ref="A12:A16"/>
    <mergeCell ref="B12:B16"/>
    <mergeCell ref="C12:C16"/>
    <mergeCell ref="C17:C19"/>
    <mergeCell ref="A20:A21"/>
    <mergeCell ref="B20:B21"/>
    <mergeCell ref="C20:C21"/>
    <mergeCell ref="F47:F49"/>
    <mergeCell ref="D5:D7"/>
    <mergeCell ref="D12:D16"/>
    <mergeCell ref="D17:D19"/>
    <mergeCell ref="F17:F19"/>
    <mergeCell ref="D36:D37"/>
    <mergeCell ref="E36:E37"/>
    <mergeCell ref="F36:F37"/>
    <mergeCell ref="D20:D23"/>
    <mergeCell ref="D28:D30"/>
    <mergeCell ref="D31:D35"/>
    <mergeCell ref="F31:F35"/>
    <mergeCell ref="T6:T7"/>
    <mergeCell ref="G5:G7"/>
    <mergeCell ref="H5:H7"/>
    <mergeCell ref="I5:L5"/>
    <mergeCell ref="I6:I7"/>
    <mergeCell ref="J6:K6"/>
    <mergeCell ref="L6:L7"/>
    <mergeCell ref="G47:G49"/>
    <mergeCell ref="E5:E7"/>
    <mergeCell ref="F5:F7"/>
    <mergeCell ref="Q5:T5"/>
    <mergeCell ref="Q6:Q7"/>
    <mergeCell ref="R6:S6"/>
    <mergeCell ref="E12:E16"/>
    <mergeCell ref="F12:F16"/>
    <mergeCell ref="G12:G16"/>
    <mergeCell ref="E17:E19"/>
    <mergeCell ref="E20:E23"/>
    <mergeCell ref="F20:F23"/>
    <mergeCell ref="E28:E30"/>
    <mergeCell ref="F28:F30"/>
    <mergeCell ref="G28:G30"/>
    <mergeCell ref="G17:G19"/>
    <mergeCell ref="E31:E35"/>
    <mergeCell ref="G31:G35"/>
    <mergeCell ref="G20:G23"/>
    <mergeCell ref="C50:H50"/>
    <mergeCell ref="B51:H51"/>
    <mergeCell ref="B52:H52"/>
    <mergeCell ref="A61:H61"/>
    <mergeCell ref="A55:T55"/>
    <mergeCell ref="Q56:T56"/>
    <mergeCell ref="Q57:T57"/>
    <mergeCell ref="Q58:T58"/>
    <mergeCell ref="Q59:T59"/>
    <mergeCell ref="E44:E46"/>
    <mergeCell ref="A58:H58"/>
    <mergeCell ref="I58:L58"/>
    <mergeCell ref="A59:H59"/>
    <mergeCell ref="I59:L59"/>
    <mergeCell ref="A60:H60"/>
    <mergeCell ref="I60:L60"/>
    <mergeCell ref="M60:P60"/>
    <mergeCell ref="I61:L61"/>
    <mergeCell ref="M61:P61"/>
    <mergeCell ref="C39:T39"/>
    <mergeCell ref="D47:D49"/>
    <mergeCell ref="E47:E49"/>
    <mergeCell ref="N6:O6"/>
    <mergeCell ref="P6:P7"/>
    <mergeCell ref="M58:P58"/>
    <mergeCell ref="M59:P59"/>
    <mergeCell ref="A8:T8"/>
    <mergeCell ref="F44:F46"/>
    <mergeCell ref="G44:G46"/>
    <mergeCell ref="B44:B46"/>
    <mergeCell ref="C44:C46"/>
    <mergeCell ref="D44:D46"/>
    <mergeCell ref="M56:P56"/>
    <mergeCell ref="M57:P57"/>
    <mergeCell ref="D24:D25"/>
    <mergeCell ref="E24:E25"/>
    <mergeCell ref="C26:H26"/>
    <mergeCell ref="F42:F43"/>
    <mergeCell ref="C38:H38"/>
    <mergeCell ref="A40:A41"/>
    <mergeCell ref="B40:B41"/>
    <mergeCell ref="C40:C41"/>
    <mergeCell ref="D40:D41"/>
    <mergeCell ref="E40:E41"/>
    <mergeCell ref="F40:F41"/>
    <mergeCell ref="G40:G41"/>
    <mergeCell ref="M64:P64"/>
    <mergeCell ref="A63:H63"/>
    <mergeCell ref="I63:L63"/>
    <mergeCell ref="A64:H64"/>
    <mergeCell ref="I64:L64"/>
    <mergeCell ref="M65:P65"/>
    <mergeCell ref="M66:P66"/>
    <mergeCell ref="A44:A46"/>
    <mergeCell ref="A1:T1"/>
    <mergeCell ref="A2:T2"/>
    <mergeCell ref="A3:T3"/>
    <mergeCell ref="A4:T4"/>
    <mergeCell ref="A9:T9"/>
    <mergeCell ref="B10:T10"/>
    <mergeCell ref="A42:A43"/>
    <mergeCell ref="M5:P5"/>
    <mergeCell ref="M6:M7"/>
    <mergeCell ref="B42:B43"/>
    <mergeCell ref="C42:C43"/>
    <mergeCell ref="D42:D43"/>
    <mergeCell ref="E42:E43"/>
    <mergeCell ref="C11:T11"/>
    <mergeCell ref="G42:G43"/>
    <mergeCell ref="G36:G37"/>
  </mergeCells>
  <phoneticPr fontId="23" type="noConversion"/>
  <pageMargins left="0" right="0" top="0.39370078740157483" bottom="0.39370078740157483" header="0.31496062992125984" footer="0.31496062992125984"/>
  <pageSetup paperSize="9" orientation="landscape" r:id="rId1"/>
  <rowBreaks count="2" manualBreakCount="2">
    <brk id="30" max="16383" man="1"/>
    <brk id="5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/>
  <cols>
    <col min="1" max="1" width="22.7109375" style="123" customWidth="1"/>
    <col min="2" max="2" width="60.7109375" style="123" customWidth="1"/>
    <col min="3" max="16384" width="9.140625" style="123"/>
  </cols>
  <sheetData>
    <row r="1" spans="1:2">
      <c r="A1" s="1837" t="s">
        <v>74</v>
      </c>
      <c r="B1" s="1837"/>
    </row>
    <row r="2" spans="1:2" ht="31.5">
      <c r="A2" s="124" t="s">
        <v>5</v>
      </c>
      <c r="B2" s="125" t="s">
        <v>75</v>
      </c>
    </row>
    <row r="3" spans="1:2">
      <c r="A3" s="124">
        <v>1</v>
      </c>
      <c r="B3" s="125" t="s">
        <v>76</v>
      </c>
    </row>
    <row r="4" spans="1:2">
      <c r="A4" s="124">
        <v>2</v>
      </c>
      <c r="B4" s="125" t="s">
        <v>77</v>
      </c>
    </row>
    <row r="5" spans="1:2">
      <c r="A5" s="124">
        <v>3</v>
      </c>
      <c r="B5" s="125" t="s">
        <v>78</v>
      </c>
    </row>
    <row r="6" spans="1:2">
      <c r="A6" s="124">
        <v>4</v>
      </c>
      <c r="B6" s="125" t="s">
        <v>79</v>
      </c>
    </row>
    <row r="7" spans="1:2">
      <c r="A7" s="124">
        <v>5</v>
      </c>
      <c r="B7" s="125" t="s">
        <v>80</v>
      </c>
    </row>
    <row r="8" spans="1:2">
      <c r="A8" s="124">
        <v>6</v>
      </c>
      <c r="B8" s="125" t="s">
        <v>81</v>
      </c>
    </row>
    <row r="9" spans="1:2" ht="15.75" customHeight="1"/>
    <row r="10" spans="1:2" ht="15.75" customHeight="1">
      <c r="A10" s="1838" t="s">
        <v>82</v>
      </c>
      <c r="B10" s="1838"/>
    </row>
  </sheetData>
  <mergeCells count="2">
    <mergeCell ref="A1:B1"/>
    <mergeCell ref="A10:B10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5"/>
  <sheetViews>
    <sheetView workbookViewId="0">
      <selection activeCell="AC13" sqref="AC13"/>
    </sheetView>
  </sheetViews>
  <sheetFormatPr defaultRowHeight="12"/>
  <cols>
    <col min="1" max="3" width="2.7109375" style="600" customWidth="1"/>
    <col min="4" max="4" width="38.7109375" style="600" customWidth="1"/>
    <col min="5" max="5" width="3" style="600" customWidth="1"/>
    <col min="6" max="6" width="3" style="607" customWidth="1"/>
    <col min="7" max="7" width="7.28515625" style="608" customWidth="1"/>
    <col min="8" max="8" width="6.5703125" style="609" hidden="1" customWidth="1"/>
    <col min="9" max="10" width="6.140625" style="609" hidden="1" customWidth="1"/>
    <col min="11" max="11" width="6.42578125" style="609" hidden="1" customWidth="1"/>
    <col min="12" max="12" width="6.85546875" style="609" customWidth="1"/>
    <col min="13" max="13" width="7.28515625" style="609" hidden="1" customWidth="1"/>
    <col min="14" max="15" width="6.42578125" style="609" hidden="1" customWidth="1"/>
    <col min="16" max="16" width="6.7109375" style="608" hidden="1" customWidth="1"/>
    <col min="17" max="19" width="6.5703125" style="608" hidden="1" customWidth="1"/>
    <col min="20" max="21" width="7.5703125" style="609" customWidth="1"/>
    <col min="22" max="22" width="26.28515625" style="600" customWidth="1"/>
    <col min="23" max="24" width="5.5703125" style="840" customWidth="1"/>
    <col min="25" max="25" width="5.5703125" style="513" customWidth="1"/>
    <col min="26" max="16384" width="9.140625" style="513"/>
  </cols>
  <sheetData>
    <row r="1" spans="1:25">
      <c r="A1" s="1673" t="s">
        <v>131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73"/>
      <c r="Q1" s="1673"/>
      <c r="R1" s="1673"/>
      <c r="S1" s="1673"/>
      <c r="T1" s="1673"/>
      <c r="U1" s="1673"/>
      <c r="V1" s="1673"/>
      <c r="W1" s="1673"/>
      <c r="X1" s="1673"/>
      <c r="Y1" s="1673"/>
    </row>
    <row r="2" spans="1:25">
      <c r="A2" s="1530" t="s">
        <v>72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  <c r="N2" s="1530"/>
      <c r="O2" s="1530"/>
      <c r="P2" s="1530"/>
      <c r="Q2" s="1530"/>
      <c r="R2" s="1530"/>
      <c r="S2" s="1530"/>
      <c r="T2" s="1530"/>
      <c r="U2" s="1530"/>
      <c r="V2" s="1530"/>
      <c r="W2" s="1530"/>
      <c r="X2" s="1530"/>
      <c r="Y2" s="1530"/>
    </row>
    <row r="3" spans="1:25">
      <c r="A3" s="1683" t="s">
        <v>124</v>
      </c>
      <c r="B3" s="1683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P3" s="1683"/>
      <c r="Q3" s="1683"/>
      <c r="R3" s="1683"/>
      <c r="S3" s="1683"/>
      <c r="T3" s="1683"/>
      <c r="U3" s="1683"/>
      <c r="V3" s="1683"/>
      <c r="W3" s="1683"/>
      <c r="X3" s="1683"/>
      <c r="Y3" s="1683"/>
    </row>
    <row r="4" spans="1:25" ht="12.75" thickBot="1">
      <c r="A4" s="1674" t="s">
        <v>0</v>
      </c>
      <c r="B4" s="1674"/>
      <c r="C4" s="1674"/>
      <c r="D4" s="1674"/>
      <c r="E4" s="1674"/>
      <c r="F4" s="1674"/>
      <c r="G4" s="1674"/>
      <c r="H4" s="1674"/>
      <c r="I4" s="1674"/>
      <c r="J4" s="1674"/>
      <c r="K4" s="1674"/>
      <c r="L4" s="1674"/>
      <c r="M4" s="1674"/>
      <c r="N4" s="1674"/>
      <c r="O4" s="1674"/>
      <c r="P4" s="1674"/>
      <c r="Q4" s="1674"/>
      <c r="R4" s="1674"/>
      <c r="S4" s="1674"/>
      <c r="T4" s="1674"/>
      <c r="U4" s="1674"/>
      <c r="V4" s="1674"/>
      <c r="W4" s="1674"/>
      <c r="X4" s="1674"/>
      <c r="Y4" s="1674"/>
    </row>
    <row r="5" spans="1:25">
      <c r="A5" s="1675" t="s">
        <v>1</v>
      </c>
      <c r="B5" s="1678" t="s">
        <v>2</v>
      </c>
      <c r="C5" s="1678" t="s">
        <v>3</v>
      </c>
      <c r="D5" s="1661" t="s">
        <v>16</v>
      </c>
      <c r="E5" s="1664" t="s">
        <v>4</v>
      </c>
      <c r="F5" s="1658" t="s">
        <v>5</v>
      </c>
      <c r="G5" s="1686" t="s">
        <v>6</v>
      </c>
      <c r="H5" s="1555" t="s">
        <v>132</v>
      </c>
      <c r="I5" s="1416"/>
      <c r="J5" s="1416"/>
      <c r="K5" s="1556"/>
      <c r="L5" s="1839" t="s">
        <v>193</v>
      </c>
      <c r="M5" s="1840"/>
      <c r="N5" s="1840"/>
      <c r="O5" s="1841"/>
      <c r="P5" s="1415" t="s">
        <v>134</v>
      </c>
      <c r="Q5" s="1416"/>
      <c r="R5" s="1416"/>
      <c r="S5" s="1556"/>
      <c r="T5" s="1686" t="s">
        <v>94</v>
      </c>
      <c r="U5" s="1649" t="s">
        <v>135</v>
      </c>
      <c r="V5" s="1691" t="s">
        <v>125</v>
      </c>
      <c r="W5" s="1692"/>
      <c r="X5" s="1692"/>
      <c r="Y5" s="1693"/>
    </row>
    <row r="6" spans="1:25">
      <c r="A6" s="1676"/>
      <c r="B6" s="1642"/>
      <c r="C6" s="1642"/>
      <c r="D6" s="1662"/>
      <c r="E6" s="1665"/>
      <c r="F6" s="1659"/>
      <c r="G6" s="1687"/>
      <c r="H6" s="1639" t="s">
        <v>7</v>
      </c>
      <c r="I6" s="1641" t="s">
        <v>8</v>
      </c>
      <c r="J6" s="1641"/>
      <c r="K6" s="1684" t="s">
        <v>22</v>
      </c>
      <c r="L6" s="1842"/>
      <c r="M6" s="1843"/>
      <c r="N6" s="1843"/>
      <c r="O6" s="1844"/>
      <c r="P6" s="1681" t="s">
        <v>7</v>
      </c>
      <c r="Q6" s="1641" t="s">
        <v>8</v>
      </c>
      <c r="R6" s="1641"/>
      <c r="S6" s="1684" t="s">
        <v>22</v>
      </c>
      <c r="T6" s="1687"/>
      <c r="U6" s="1650"/>
      <c r="V6" s="1689" t="s">
        <v>16</v>
      </c>
      <c r="W6" s="1642" t="s">
        <v>65</v>
      </c>
      <c r="X6" s="1642" t="s">
        <v>95</v>
      </c>
      <c r="Y6" s="1656" t="s">
        <v>136</v>
      </c>
    </row>
    <row r="7" spans="1:25" ht="51" thickBot="1">
      <c r="A7" s="1677"/>
      <c r="B7" s="1643"/>
      <c r="C7" s="1643"/>
      <c r="D7" s="1663"/>
      <c r="E7" s="1666"/>
      <c r="F7" s="1660"/>
      <c r="G7" s="1688"/>
      <c r="H7" s="1640"/>
      <c r="I7" s="514" t="s">
        <v>7</v>
      </c>
      <c r="J7" s="515" t="s">
        <v>17</v>
      </c>
      <c r="K7" s="1685"/>
      <c r="L7" s="1845"/>
      <c r="M7" s="1846"/>
      <c r="N7" s="1846"/>
      <c r="O7" s="1847"/>
      <c r="P7" s="1682"/>
      <c r="Q7" s="634" t="s">
        <v>7</v>
      </c>
      <c r="R7" s="515" t="s">
        <v>17</v>
      </c>
      <c r="S7" s="1685"/>
      <c r="T7" s="1688"/>
      <c r="U7" s="1651"/>
      <c r="V7" s="1690"/>
      <c r="W7" s="1643"/>
      <c r="X7" s="1643"/>
      <c r="Y7" s="1657"/>
    </row>
    <row r="8" spans="1:25" ht="12.75" thickBot="1">
      <c r="A8" s="1670" t="s">
        <v>33</v>
      </c>
      <c r="B8" s="1671"/>
      <c r="C8" s="1671"/>
      <c r="D8" s="1671"/>
      <c r="E8" s="1671"/>
      <c r="F8" s="1671"/>
      <c r="G8" s="1671"/>
      <c r="H8" s="1671"/>
      <c r="I8" s="1671"/>
      <c r="J8" s="1671"/>
      <c r="K8" s="1671"/>
      <c r="L8" s="1671"/>
      <c r="M8" s="1671"/>
      <c r="N8" s="1671"/>
      <c r="O8" s="1671"/>
      <c r="P8" s="1671"/>
      <c r="Q8" s="1671"/>
      <c r="R8" s="1671"/>
      <c r="S8" s="1671"/>
      <c r="T8" s="1671"/>
      <c r="U8" s="1671"/>
      <c r="V8" s="1671"/>
      <c r="W8" s="1671"/>
      <c r="X8" s="1671"/>
      <c r="Y8" s="1672"/>
    </row>
    <row r="9" spans="1:25" ht="12.75" thickBot="1">
      <c r="A9" s="1609" t="s">
        <v>55</v>
      </c>
      <c r="B9" s="1610"/>
      <c r="C9" s="1610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0"/>
      <c r="S9" s="1610"/>
      <c r="T9" s="1610"/>
      <c r="U9" s="1610"/>
      <c r="V9" s="1610"/>
      <c r="W9" s="1610"/>
      <c r="X9" s="1610"/>
      <c r="Y9" s="1611"/>
    </row>
    <row r="10" spans="1:25" ht="12.75" thickBot="1">
      <c r="A10" s="516" t="s">
        <v>9</v>
      </c>
      <c r="B10" s="1606" t="s">
        <v>47</v>
      </c>
      <c r="C10" s="1607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7"/>
      <c r="S10" s="1607"/>
      <c r="T10" s="1607"/>
      <c r="U10" s="1607"/>
      <c r="V10" s="1607"/>
      <c r="W10" s="1607"/>
      <c r="X10" s="1607"/>
      <c r="Y10" s="1608"/>
    </row>
    <row r="11" spans="1:25" ht="12.75" thickBot="1">
      <c r="A11" s="517" t="s">
        <v>9</v>
      </c>
      <c r="B11" s="518" t="s">
        <v>9</v>
      </c>
      <c r="C11" s="1646" t="s">
        <v>35</v>
      </c>
      <c r="D11" s="1647"/>
      <c r="E11" s="1647"/>
      <c r="F11" s="1647"/>
      <c r="G11" s="1647"/>
      <c r="H11" s="1647"/>
      <c r="I11" s="1647"/>
      <c r="J11" s="1647"/>
      <c r="K11" s="1647"/>
      <c r="L11" s="1647"/>
      <c r="M11" s="1647"/>
      <c r="N11" s="1647"/>
      <c r="O11" s="1647"/>
      <c r="P11" s="1647"/>
      <c r="Q11" s="1647"/>
      <c r="R11" s="1647"/>
      <c r="S11" s="1647"/>
      <c r="T11" s="1647"/>
      <c r="U11" s="1647"/>
      <c r="V11" s="1647"/>
      <c r="W11" s="1647"/>
      <c r="X11" s="1647"/>
      <c r="Y11" s="1648"/>
    </row>
    <row r="12" spans="1:25" ht="32.25">
      <c r="A12" s="1558" t="s">
        <v>9</v>
      </c>
      <c r="B12" s="1625" t="s">
        <v>9</v>
      </c>
      <c r="C12" s="1562" t="s">
        <v>9</v>
      </c>
      <c r="D12" s="1631" t="s">
        <v>23</v>
      </c>
      <c r="E12" s="519" t="s">
        <v>106</v>
      </c>
      <c r="F12" s="1591" t="s">
        <v>43</v>
      </c>
      <c r="G12" s="520" t="s">
        <v>25</v>
      </c>
      <c r="H12" s="635">
        <f t="shared" ref="H12:H14" si="0">I12+K12</f>
        <v>36.799999999999997</v>
      </c>
      <c r="I12" s="636">
        <v>36.799999999999997</v>
      </c>
      <c r="J12" s="636"/>
      <c r="K12" s="637"/>
      <c r="L12" s="795">
        <f>M12+O12</f>
        <v>36.799999999999997</v>
      </c>
      <c r="M12" s="741">
        <v>36.799999999999997</v>
      </c>
      <c r="N12" s="639"/>
      <c r="O12" s="640"/>
      <c r="P12" s="641">
        <f t="shared" ref="P12:P14" si="1">Q12+S12</f>
        <v>0</v>
      </c>
      <c r="Q12" s="642">
        <v>0</v>
      </c>
      <c r="R12" s="642"/>
      <c r="S12" s="643"/>
      <c r="T12" s="644">
        <v>36.799999999999997</v>
      </c>
      <c r="U12" s="645">
        <v>36.799999999999997</v>
      </c>
      <c r="V12" s="1652" t="s">
        <v>122</v>
      </c>
      <c r="W12" s="521">
        <v>100</v>
      </c>
      <c r="X12" s="521">
        <v>100</v>
      </c>
      <c r="Y12" s="522">
        <v>100</v>
      </c>
    </row>
    <row r="13" spans="1:25">
      <c r="A13" s="1559"/>
      <c r="B13" s="1626"/>
      <c r="C13" s="1563"/>
      <c r="D13" s="1632"/>
      <c r="E13" s="1620" t="s">
        <v>107</v>
      </c>
      <c r="F13" s="1592"/>
      <c r="G13" s="523" t="s">
        <v>26</v>
      </c>
      <c r="H13" s="646">
        <f t="shared" si="0"/>
        <v>318</v>
      </c>
      <c r="I13" s="647">
        <v>318</v>
      </c>
      <c r="J13" s="647"/>
      <c r="K13" s="648"/>
      <c r="L13" s="796">
        <f>M13+O13</f>
        <v>332</v>
      </c>
      <c r="M13" s="694">
        <v>332</v>
      </c>
      <c r="N13" s="650"/>
      <c r="O13" s="651"/>
      <c r="P13" s="766">
        <f>Q13+S13</f>
        <v>0</v>
      </c>
      <c r="Q13" s="767">
        <v>0</v>
      </c>
      <c r="R13" s="767"/>
      <c r="S13" s="768"/>
      <c r="T13" s="654">
        <v>332</v>
      </c>
      <c r="U13" s="655">
        <v>332</v>
      </c>
      <c r="V13" s="1653"/>
      <c r="W13" s="524"/>
      <c r="X13" s="524"/>
      <c r="Y13" s="525"/>
    </row>
    <row r="14" spans="1:25" ht="24">
      <c r="A14" s="1623"/>
      <c r="B14" s="1627"/>
      <c r="C14" s="1629"/>
      <c r="D14" s="1632"/>
      <c r="E14" s="1622"/>
      <c r="F14" s="1592"/>
      <c r="G14" s="526" t="s">
        <v>50</v>
      </c>
      <c r="H14" s="656">
        <f t="shared" si="0"/>
        <v>127.7</v>
      </c>
      <c r="I14" s="477">
        <v>127.7</v>
      </c>
      <c r="J14" s="477"/>
      <c r="K14" s="478"/>
      <c r="L14" s="797"/>
      <c r="M14" s="486"/>
      <c r="N14" s="485"/>
      <c r="O14" s="657"/>
      <c r="P14" s="658">
        <f t="shared" si="1"/>
        <v>0</v>
      </c>
      <c r="Q14" s="449">
        <v>0</v>
      </c>
      <c r="R14" s="449"/>
      <c r="S14" s="451"/>
      <c r="T14" s="659"/>
      <c r="U14" s="660"/>
      <c r="V14" s="1653"/>
      <c r="W14" s="524"/>
      <c r="X14" s="524"/>
      <c r="Y14" s="525"/>
    </row>
    <row r="15" spans="1:25">
      <c r="A15" s="1623"/>
      <c r="B15" s="1627"/>
      <c r="C15" s="1629"/>
      <c r="D15" s="1632"/>
      <c r="E15" s="1620" t="s">
        <v>89</v>
      </c>
      <c r="F15" s="1592"/>
      <c r="G15" s="526"/>
      <c r="H15" s="661"/>
      <c r="I15" s="662"/>
      <c r="J15" s="662"/>
      <c r="K15" s="663"/>
      <c r="L15" s="798"/>
      <c r="M15" s="792"/>
      <c r="N15" s="665"/>
      <c r="O15" s="666"/>
      <c r="P15" s="667"/>
      <c r="Q15" s="668"/>
      <c r="R15" s="668"/>
      <c r="S15" s="669"/>
      <c r="T15" s="670"/>
      <c r="U15" s="671"/>
      <c r="V15" s="1653"/>
      <c r="W15" s="527"/>
      <c r="X15" s="527"/>
      <c r="Y15" s="528"/>
    </row>
    <row r="16" spans="1:25" ht="12.75" thickBot="1">
      <c r="A16" s="1624"/>
      <c r="B16" s="1628"/>
      <c r="C16" s="1630"/>
      <c r="D16" s="1633"/>
      <c r="E16" s="1621"/>
      <c r="F16" s="1593"/>
      <c r="G16" s="529" t="s">
        <v>10</v>
      </c>
      <c r="H16" s="495">
        <f t="shared" ref="H16" si="2">I16+K16</f>
        <v>482.5</v>
      </c>
      <c r="I16" s="498">
        <f>SUM(I12:I15)</f>
        <v>482.5</v>
      </c>
      <c r="J16" s="498"/>
      <c r="K16" s="672"/>
      <c r="L16" s="799">
        <f>M16+O16</f>
        <v>368.8</v>
      </c>
      <c r="M16" s="674">
        <f>SUM(M12:M15)</f>
        <v>368.8</v>
      </c>
      <c r="N16" s="674"/>
      <c r="O16" s="675"/>
      <c r="P16" s="495">
        <f t="shared" ref="P16:P19" si="3">Q16+S16</f>
        <v>0</v>
      </c>
      <c r="Q16" s="498">
        <f>SUM(Q12:Q15)</f>
        <v>0</v>
      </c>
      <c r="R16" s="498"/>
      <c r="S16" s="672"/>
      <c r="T16" s="501">
        <f>SUM(T12:T15)</f>
        <v>368.8</v>
      </c>
      <c r="U16" s="503">
        <f>SUM(U12:U15)</f>
        <v>368.8</v>
      </c>
      <c r="V16" s="1654"/>
      <c r="W16" s="530"/>
      <c r="X16" s="530"/>
      <c r="Y16" s="531"/>
    </row>
    <row r="17" spans="1:31" ht="20.25" customHeight="1">
      <c r="A17" s="532" t="s">
        <v>9</v>
      </c>
      <c r="B17" s="533" t="s">
        <v>9</v>
      </c>
      <c r="C17" s="1634" t="s">
        <v>11</v>
      </c>
      <c r="D17" s="1636" t="s">
        <v>116</v>
      </c>
      <c r="E17" s="1644" t="s">
        <v>89</v>
      </c>
      <c r="F17" s="1591" t="s">
        <v>43</v>
      </c>
      <c r="G17" s="534" t="s">
        <v>39</v>
      </c>
      <c r="H17" s="479">
        <v>871.8</v>
      </c>
      <c r="I17" s="480">
        <v>871.8</v>
      </c>
      <c r="J17" s="480">
        <v>532.6</v>
      </c>
      <c r="K17" s="481"/>
      <c r="L17" s="800">
        <f>M17</f>
        <v>871.8</v>
      </c>
      <c r="M17" s="691">
        <v>871.8</v>
      </c>
      <c r="N17" s="492">
        <v>540.4</v>
      </c>
      <c r="O17" s="640"/>
      <c r="P17" s="465">
        <f>Q17+S17</f>
        <v>0</v>
      </c>
      <c r="Q17" s="466">
        <v>0</v>
      </c>
      <c r="R17" s="466">
        <v>0</v>
      </c>
      <c r="S17" s="467"/>
      <c r="T17" s="676">
        <v>888.6</v>
      </c>
      <c r="U17" s="645">
        <v>888.6</v>
      </c>
      <c r="V17" s="1655" t="s">
        <v>56</v>
      </c>
      <c r="W17" s="844">
        <v>51</v>
      </c>
      <c r="X17" s="844">
        <v>51</v>
      </c>
      <c r="Y17" s="846">
        <v>51</v>
      </c>
    </row>
    <row r="18" spans="1:31" ht="20.25" customHeight="1">
      <c r="A18" s="842"/>
      <c r="B18" s="847"/>
      <c r="C18" s="1563"/>
      <c r="D18" s="1637"/>
      <c r="E18" s="1645"/>
      <c r="F18" s="1592"/>
      <c r="G18" s="535" t="s">
        <v>25</v>
      </c>
      <c r="H18" s="656"/>
      <c r="I18" s="477"/>
      <c r="J18" s="477"/>
      <c r="K18" s="478"/>
      <c r="L18" s="797"/>
      <c r="M18" s="486"/>
      <c r="N18" s="485"/>
      <c r="O18" s="657"/>
      <c r="P18" s="658"/>
      <c r="Q18" s="449"/>
      <c r="R18" s="449"/>
      <c r="S18" s="451"/>
      <c r="T18" s="587"/>
      <c r="U18" s="655"/>
      <c r="V18" s="1269"/>
      <c r="W18" s="844"/>
      <c r="X18" s="844"/>
      <c r="Y18" s="846"/>
    </row>
    <row r="19" spans="1:31" ht="12.75" thickBot="1">
      <c r="A19" s="536"/>
      <c r="B19" s="518"/>
      <c r="C19" s="1635"/>
      <c r="D19" s="1638"/>
      <c r="E19" s="1621"/>
      <c r="F19" s="1593"/>
      <c r="G19" s="529" t="s">
        <v>10</v>
      </c>
      <c r="H19" s="495">
        <f t="shared" ref="H19" si="4">I19+K19</f>
        <v>871.8</v>
      </c>
      <c r="I19" s="494">
        <f>SUM(I17:I18)</f>
        <v>871.8</v>
      </c>
      <c r="J19" s="494">
        <f>SUM(J17:J18)</f>
        <v>532.6</v>
      </c>
      <c r="K19" s="496">
        <f>SUM(K17:K18)</f>
        <v>0</v>
      </c>
      <c r="L19" s="503">
        <f>M19+O19</f>
        <v>871.8</v>
      </c>
      <c r="M19" s="498">
        <f>SUM(M17:M18)</f>
        <v>871.8</v>
      </c>
      <c r="N19" s="494">
        <f>SUM(N17:N18)</f>
        <v>540.4</v>
      </c>
      <c r="O19" s="672"/>
      <c r="P19" s="495">
        <f t="shared" si="3"/>
        <v>0</v>
      </c>
      <c r="Q19" s="494">
        <f>SUM(Q17:Q18)</f>
        <v>0</v>
      </c>
      <c r="R19" s="494">
        <f>SUM(R17:R18)</f>
        <v>0</v>
      </c>
      <c r="S19" s="496">
        <f>SUM(S17:S18)</f>
        <v>0</v>
      </c>
      <c r="T19" s="621">
        <f>SUM(T17:T18)</f>
        <v>888.6</v>
      </c>
      <c r="U19" s="503">
        <f>SUM(U17:U18)</f>
        <v>888.6</v>
      </c>
      <c r="V19" s="1269"/>
      <c r="W19" s="844"/>
      <c r="X19" s="844"/>
      <c r="Y19" s="846"/>
    </row>
    <row r="20" spans="1:31" ht="12" customHeight="1">
      <c r="A20" s="1558" t="s">
        <v>9</v>
      </c>
      <c r="B20" s="1560" t="s">
        <v>9</v>
      </c>
      <c r="C20" s="1562" t="s">
        <v>29</v>
      </c>
      <c r="D20" s="1617" t="s">
        <v>117</v>
      </c>
      <c r="E20" s="1567"/>
      <c r="F20" s="1597" t="s">
        <v>43</v>
      </c>
      <c r="G20" s="537" t="s">
        <v>39</v>
      </c>
      <c r="H20" s="635">
        <f>I20</f>
        <v>557.79999999999995</v>
      </c>
      <c r="I20" s="636">
        <v>557.79999999999995</v>
      </c>
      <c r="J20" s="636">
        <v>232.3</v>
      </c>
      <c r="K20" s="475"/>
      <c r="L20" s="795">
        <f>M20</f>
        <v>566.29999999999995</v>
      </c>
      <c r="M20" s="793">
        <v>566.29999999999995</v>
      </c>
      <c r="N20" s="636">
        <v>330.4</v>
      </c>
      <c r="O20" s="728"/>
      <c r="P20" s="641">
        <f>Q20</f>
        <v>0</v>
      </c>
      <c r="Q20" s="642">
        <v>0</v>
      </c>
      <c r="R20" s="642">
        <v>0</v>
      </c>
      <c r="S20" s="321"/>
      <c r="T20" s="645">
        <v>566.29999999999995</v>
      </c>
      <c r="U20" s="645">
        <v>566.29999999999995</v>
      </c>
      <c r="V20" s="1604" t="s">
        <v>118</v>
      </c>
      <c r="W20" s="1612">
        <v>300</v>
      </c>
      <c r="X20" s="1612">
        <v>340</v>
      </c>
      <c r="Y20" s="1614">
        <v>380</v>
      </c>
    </row>
    <row r="21" spans="1:31">
      <c r="A21" s="1559"/>
      <c r="B21" s="1561"/>
      <c r="C21" s="1563"/>
      <c r="D21" s="1618"/>
      <c r="E21" s="1568"/>
      <c r="F21" s="1598"/>
      <c r="G21" s="538" t="s">
        <v>166</v>
      </c>
      <c r="H21" s="677">
        <v>5</v>
      </c>
      <c r="I21" s="678">
        <v>5</v>
      </c>
      <c r="J21" s="647"/>
      <c r="K21" s="476"/>
      <c r="L21" s="796"/>
      <c r="M21" s="694"/>
      <c r="N21" s="650"/>
      <c r="O21" s="679"/>
      <c r="P21" s="652"/>
      <c r="Q21" s="653"/>
      <c r="R21" s="653"/>
      <c r="S21" s="322"/>
      <c r="T21" s="655"/>
      <c r="U21" s="655"/>
      <c r="V21" s="1269" t="s">
        <v>57</v>
      </c>
      <c r="W21" s="1613">
        <v>260</v>
      </c>
      <c r="X21" s="1613">
        <v>300</v>
      </c>
      <c r="Y21" s="1615">
        <v>340</v>
      </c>
    </row>
    <row r="22" spans="1:31">
      <c r="A22" s="1559"/>
      <c r="B22" s="1561"/>
      <c r="C22" s="1563"/>
      <c r="D22" s="1618"/>
      <c r="E22" s="1568"/>
      <c r="F22" s="1598"/>
      <c r="G22" s="539" t="s">
        <v>25</v>
      </c>
      <c r="H22" s="656"/>
      <c r="I22" s="477"/>
      <c r="J22" s="477"/>
      <c r="K22" s="478"/>
      <c r="L22" s="798"/>
      <c r="M22" s="794"/>
      <c r="N22" s="681"/>
      <c r="O22" s="682"/>
      <c r="P22" s="658"/>
      <c r="Q22" s="449"/>
      <c r="R22" s="449"/>
      <c r="S22" s="451"/>
      <c r="T22" s="683"/>
      <c r="U22" s="683"/>
      <c r="V22" s="1616" t="s">
        <v>91</v>
      </c>
      <c r="W22" s="540">
        <v>92</v>
      </c>
      <c r="X22" s="540">
        <v>102</v>
      </c>
      <c r="Y22" s="541">
        <v>105</v>
      </c>
    </row>
    <row r="23" spans="1:31" ht="12.75" thickBot="1">
      <c r="A23" s="542"/>
      <c r="B23" s="543"/>
      <c r="C23" s="544"/>
      <c r="D23" s="1619"/>
      <c r="E23" s="1569"/>
      <c r="F23" s="1599"/>
      <c r="G23" s="545" t="s">
        <v>10</v>
      </c>
      <c r="H23" s="621">
        <f t="shared" ref="H23:K23" si="5">SUM(H20:H22)</f>
        <v>562.79999999999995</v>
      </c>
      <c r="I23" s="494">
        <f t="shared" si="5"/>
        <v>562.79999999999995</v>
      </c>
      <c r="J23" s="501">
        <f t="shared" si="5"/>
        <v>232.3</v>
      </c>
      <c r="K23" s="499">
        <f t="shared" si="5"/>
        <v>0</v>
      </c>
      <c r="L23" s="503">
        <f>SUM(L20:L22)</f>
        <v>566.29999999999995</v>
      </c>
      <c r="M23" s="501">
        <f>SUM(M20:M22)</f>
        <v>566.29999999999995</v>
      </c>
      <c r="N23" s="494">
        <f>SUM(N20:N22)</f>
        <v>330.4</v>
      </c>
      <c r="O23" s="501"/>
      <c r="P23" s="621">
        <f t="shared" ref="P23:U23" si="6">SUM(P20:P22)</f>
        <v>0</v>
      </c>
      <c r="Q23" s="494">
        <f t="shared" si="6"/>
        <v>0</v>
      </c>
      <c r="R23" s="501">
        <f t="shared" si="6"/>
        <v>0</v>
      </c>
      <c r="S23" s="499">
        <f t="shared" si="6"/>
        <v>0</v>
      </c>
      <c r="T23" s="621">
        <f t="shared" si="6"/>
        <v>566.29999999999995</v>
      </c>
      <c r="U23" s="503">
        <f t="shared" si="6"/>
        <v>566.29999999999995</v>
      </c>
      <c r="V23" s="1605"/>
      <c r="W23" s="844"/>
      <c r="X23" s="844"/>
      <c r="Y23" s="846"/>
      <c r="AE23" s="569"/>
    </row>
    <row r="24" spans="1:31" ht="12" customHeight="1">
      <c r="A24" s="1558" t="s">
        <v>9</v>
      </c>
      <c r="B24" s="1560" t="s">
        <v>9</v>
      </c>
      <c r="C24" s="1562" t="s">
        <v>69</v>
      </c>
      <c r="D24" s="1564" t="s">
        <v>140</v>
      </c>
      <c r="E24" s="1567"/>
      <c r="F24" s="1597" t="s">
        <v>43</v>
      </c>
      <c r="G24" s="811" t="s">
        <v>103</v>
      </c>
      <c r="H24" s="491">
        <f>I24</f>
        <v>92.6</v>
      </c>
      <c r="I24" s="492">
        <v>92.6</v>
      </c>
      <c r="J24" s="492">
        <v>3</v>
      </c>
      <c r="K24" s="812"/>
      <c r="L24" s="800">
        <f>M24+O24</f>
        <v>66.599999999999994</v>
      </c>
      <c r="M24" s="691">
        <v>66.599999999999994</v>
      </c>
      <c r="N24" s="492">
        <v>2.2999999999999998</v>
      </c>
      <c r="O24" s="684"/>
      <c r="P24" s="465"/>
      <c r="Q24" s="466"/>
      <c r="R24" s="466"/>
      <c r="S24" s="813"/>
      <c r="T24" s="464"/>
      <c r="U24" s="464"/>
      <c r="V24" s="841" t="s">
        <v>141</v>
      </c>
      <c r="W24" s="546">
        <v>1</v>
      </c>
      <c r="X24" s="843"/>
      <c r="Y24" s="845"/>
    </row>
    <row r="25" spans="1:31">
      <c r="A25" s="1559"/>
      <c r="B25" s="1561"/>
      <c r="C25" s="1563"/>
      <c r="D25" s="1565"/>
      <c r="E25" s="1568"/>
      <c r="F25" s="1598"/>
      <c r="G25" s="807"/>
      <c r="H25" s="649"/>
      <c r="I25" s="650"/>
      <c r="J25" s="650"/>
      <c r="K25" s="483"/>
      <c r="L25" s="808"/>
      <c r="M25" s="809"/>
      <c r="N25" s="678"/>
      <c r="O25" s="810"/>
      <c r="P25" s="652"/>
      <c r="Q25" s="653"/>
      <c r="R25" s="653"/>
      <c r="S25" s="322"/>
      <c r="T25" s="655"/>
      <c r="U25" s="655"/>
      <c r="V25" s="1600" t="s">
        <v>142</v>
      </c>
      <c r="W25" s="547">
        <v>1</v>
      </c>
      <c r="X25" s="540"/>
      <c r="Y25" s="541"/>
    </row>
    <row r="26" spans="1:31" ht="12.75" thickBot="1">
      <c r="A26" s="542"/>
      <c r="B26" s="543"/>
      <c r="C26" s="544"/>
      <c r="D26" s="1566"/>
      <c r="E26" s="1569"/>
      <c r="F26" s="1599"/>
      <c r="G26" s="545" t="s">
        <v>10</v>
      </c>
      <c r="H26" s="621">
        <f>SUM(H24:H25)</f>
        <v>92.6</v>
      </c>
      <c r="I26" s="494">
        <f>SUM(I24:I25)</f>
        <v>92.6</v>
      </c>
      <c r="J26" s="501">
        <f>SUM(J24:J25)</f>
        <v>3</v>
      </c>
      <c r="K26" s="499"/>
      <c r="L26" s="503">
        <f>SUM(L24:L25)</f>
        <v>66.599999999999994</v>
      </c>
      <c r="M26" s="501">
        <f>SUM(M24:M25)</f>
        <v>66.599999999999994</v>
      </c>
      <c r="N26" s="494">
        <f>SUM(N24:N25)</f>
        <v>2.2999999999999998</v>
      </c>
      <c r="O26" s="501"/>
      <c r="P26" s="621">
        <f t="shared" ref="P26:U26" si="7">SUM(P24:P25)</f>
        <v>0</v>
      </c>
      <c r="Q26" s="494">
        <f t="shared" si="7"/>
        <v>0</v>
      </c>
      <c r="R26" s="501">
        <f t="shared" si="7"/>
        <v>0</v>
      </c>
      <c r="S26" s="499">
        <f t="shared" si="7"/>
        <v>0</v>
      </c>
      <c r="T26" s="621">
        <f t="shared" si="7"/>
        <v>0</v>
      </c>
      <c r="U26" s="503">
        <f t="shared" si="7"/>
        <v>0</v>
      </c>
      <c r="V26" s="1601"/>
      <c r="W26" s="844"/>
      <c r="X26" s="548"/>
      <c r="Y26" s="549"/>
    </row>
    <row r="27" spans="1:31" ht="12.75" thickBot="1">
      <c r="A27" s="550" t="s">
        <v>9</v>
      </c>
      <c r="B27" s="551" t="s">
        <v>9</v>
      </c>
      <c r="C27" s="1570" t="s">
        <v>12</v>
      </c>
      <c r="D27" s="1571"/>
      <c r="E27" s="1571"/>
      <c r="F27" s="1571"/>
      <c r="G27" s="1572"/>
      <c r="H27" s="685">
        <f>H23+H19+H16+H26</f>
        <v>2009.6999999999998</v>
      </c>
      <c r="I27" s="685">
        <f>I23+I19+I16+I26</f>
        <v>2009.6999999999998</v>
      </c>
      <c r="J27" s="685">
        <f>J23+J19+J16+J26</f>
        <v>767.90000000000009</v>
      </c>
      <c r="K27" s="686">
        <f>K23+K19+K16</f>
        <v>0</v>
      </c>
      <c r="L27" s="687">
        <f>L23+L19+L16+L26</f>
        <v>1873.4999999999998</v>
      </c>
      <c r="M27" s="688">
        <f>M23+M19+M16+M26</f>
        <v>1873.4999999999998</v>
      </c>
      <c r="N27" s="688">
        <f>N23+N19+N16+N26</f>
        <v>873.09999999999991</v>
      </c>
      <c r="O27" s="689">
        <f t="shared" ref="O27:U27" si="8">O23+O19+O16</f>
        <v>0</v>
      </c>
      <c r="P27" s="685">
        <f t="shared" si="8"/>
        <v>0</v>
      </c>
      <c r="Q27" s="685">
        <f t="shared" si="8"/>
        <v>0</v>
      </c>
      <c r="R27" s="685">
        <f t="shared" si="8"/>
        <v>0</v>
      </c>
      <c r="S27" s="686">
        <f t="shared" si="8"/>
        <v>0</v>
      </c>
      <c r="T27" s="690">
        <f t="shared" si="8"/>
        <v>1823.7</v>
      </c>
      <c r="U27" s="685">
        <f t="shared" si="8"/>
        <v>1823.7</v>
      </c>
      <c r="V27" s="1300"/>
      <c r="W27" s="1301"/>
      <c r="X27" s="1301"/>
      <c r="Y27" s="1302"/>
      <c r="Z27" s="618"/>
    </row>
    <row r="28" spans="1:31" ht="12.75" thickBot="1">
      <c r="A28" s="517" t="s">
        <v>9</v>
      </c>
      <c r="B28" s="552" t="s">
        <v>11</v>
      </c>
      <c r="C28" s="1579" t="s">
        <v>52</v>
      </c>
      <c r="D28" s="1580"/>
      <c r="E28" s="1580"/>
      <c r="F28" s="1580"/>
      <c r="G28" s="1580"/>
      <c r="H28" s="1580"/>
      <c r="I28" s="1580"/>
      <c r="J28" s="1580"/>
      <c r="K28" s="1580"/>
      <c r="L28" s="1580"/>
      <c r="M28" s="1580"/>
      <c r="N28" s="1580"/>
      <c r="O28" s="1580"/>
      <c r="P28" s="1580"/>
      <c r="Q28" s="1580"/>
      <c r="R28" s="1580"/>
      <c r="S28" s="1580"/>
      <c r="T28" s="1580"/>
      <c r="U28" s="1580"/>
      <c r="V28" s="1580"/>
      <c r="W28" s="1580"/>
      <c r="X28" s="1580"/>
      <c r="Y28" s="1581"/>
    </row>
    <row r="29" spans="1:31" ht="17.25" customHeight="1">
      <c r="A29" s="553" t="s">
        <v>9</v>
      </c>
      <c r="B29" s="554" t="s">
        <v>11</v>
      </c>
      <c r="C29" s="555" t="s">
        <v>9</v>
      </c>
      <c r="D29" s="1582" t="s">
        <v>37</v>
      </c>
      <c r="E29" s="1585"/>
      <c r="F29" s="1591" t="s">
        <v>43</v>
      </c>
      <c r="G29" s="556" t="s">
        <v>39</v>
      </c>
      <c r="H29" s="479">
        <f>I29+K29</f>
        <v>2910.2999999999997</v>
      </c>
      <c r="I29" s="480">
        <v>2857.1</v>
      </c>
      <c r="J29" s="480">
        <v>1776.1</v>
      </c>
      <c r="K29" s="481">
        <v>53.2</v>
      </c>
      <c r="L29" s="800">
        <f>M29+O29</f>
        <v>2910.2999999999997</v>
      </c>
      <c r="M29" s="691">
        <v>2853.7</v>
      </c>
      <c r="N29" s="691">
        <v>1775.9</v>
      </c>
      <c r="O29" s="692">
        <v>56.6</v>
      </c>
      <c r="P29" s="465">
        <f>Q29+S29</f>
        <v>0</v>
      </c>
      <c r="Q29" s="466">
        <v>0</v>
      </c>
      <c r="R29" s="466">
        <v>0</v>
      </c>
      <c r="S29" s="467">
        <v>0</v>
      </c>
      <c r="T29" s="151">
        <v>2910.3</v>
      </c>
      <c r="U29" s="464">
        <v>2910.3</v>
      </c>
      <c r="V29" s="488" t="s">
        <v>58</v>
      </c>
      <c r="W29" s="557">
        <v>55</v>
      </c>
      <c r="X29" s="558" t="s">
        <v>59</v>
      </c>
      <c r="Y29" s="559">
        <v>55</v>
      </c>
    </row>
    <row r="30" spans="1:31" ht="18" customHeight="1">
      <c r="A30" s="560"/>
      <c r="B30" s="561"/>
      <c r="C30" s="562"/>
      <c r="D30" s="1583"/>
      <c r="E30" s="1586"/>
      <c r="F30" s="1592"/>
      <c r="G30" s="566"/>
      <c r="H30" s="646"/>
      <c r="I30" s="647"/>
      <c r="J30" s="647"/>
      <c r="K30" s="693"/>
      <c r="L30" s="796"/>
      <c r="M30" s="694"/>
      <c r="N30" s="694"/>
      <c r="O30" s="651"/>
      <c r="P30" s="652"/>
      <c r="Q30" s="653"/>
      <c r="R30" s="653"/>
      <c r="S30" s="695"/>
      <c r="T30" s="696"/>
      <c r="U30" s="655"/>
      <c r="V30" s="489" t="s">
        <v>97</v>
      </c>
      <c r="W30" s="785" t="s">
        <v>96</v>
      </c>
      <c r="X30" s="786" t="s">
        <v>96</v>
      </c>
      <c r="Y30" s="787" t="s">
        <v>96</v>
      </c>
    </row>
    <row r="31" spans="1:31" ht="41.25" customHeight="1">
      <c r="A31" s="560"/>
      <c r="B31" s="561"/>
      <c r="C31" s="562"/>
      <c r="D31" s="1583"/>
      <c r="E31" s="1586"/>
      <c r="F31" s="1592"/>
      <c r="G31" s="566"/>
      <c r="H31" s="646"/>
      <c r="I31" s="647"/>
      <c r="J31" s="647"/>
      <c r="K31" s="693"/>
      <c r="L31" s="796"/>
      <c r="M31" s="698"/>
      <c r="N31" s="698"/>
      <c r="O31" s="699"/>
      <c r="P31" s="652"/>
      <c r="Q31" s="653"/>
      <c r="R31" s="653"/>
      <c r="S31" s="695"/>
      <c r="T31" s="696"/>
      <c r="U31" s="655"/>
      <c r="V31" s="490" t="s">
        <v>60</v>
      </c>
      <c r="W31" s="567" t="s">
        <v>61</v>
      </c>
      <c r="X31" s="567" t="s">
        <v>62</v>
      </c>
      <c r="Y31" s="568" t="s">
        <v>62</v>
      </c>
      <c r="AA31" s="569"/>
    </row>
    <row r="32" spans="1:31" ht="18" customHeight="1">
      <c r="A32" s="560"/>
      <c r="B32" s="561"/>
      <c r="C32" s="562"/>
      <c r="D32" s="1583"/>
      <c r="E32" s="1586"/>
      <c r="F32" s="1592"/>
      <c r="G32" s="566"/>
      <c r="H32" s="646"/>
      <c r="I32" s="647"/>
      <c r="J32" s="647"/>
      <c r="K32" s="693"/>
      <c r="L32" s="796"/>
      <c r="M32" s="698"/>
      <c r="N32" s="698"/>
      <c r="O32" s="699"/>
      <c r="P32" s="652"/>
      <c r="Q32" s="653"/>
      <c r="R32" s="653"/>
      <c r="S32" s="695"/>
      <c r="T32" s="696"/>
      <c r="U32" s="655"/>
      <c r="V32" s="490" t="s">
        <v>121</v>
      </c>
      <c r="W32" s="567" t="s">
        <v>63</v>
      </c>
      <c r="X32" s="567" t="s">
        <v>63</v>
      </c>
      <c r="Y32" s="568" t="s">
        <v>63</v>
      </c>
      <c r="AA32" s="569"/>
    </row>
    <row r="33" spans="1:28">
      <c r="A33" s="560"/>
      <c r="B33" s="561"/>
      <c r="C33" s="562"/>
      <c r="D33" s="1583"/>
      <c r="E33" s="1586"/>
      <c r="F33" s="1592"/>
      <c r="G33" s="570" t="s">
        <v>27</v>
      </c>
      <c r="H33" s="656"/>
      <c r="I33" s="477"/>
      <c r="J33" s="477"/>
      <c r="K33" s="700"/>
      <c r="L33" s="797">
        <v>3.7</v>
      </c>
      <c r="M33" s="486">
        <v>3.7</v>
      </c>
      <c r="N33" s="486">
        <v>2.8</v>
      </c>
      <c r="O33" s="487"/>
      <c r="P33" s="658"/>
      <c r="Q33" s="449"/>
      <c r="R33" s="449"/>
      <c r="S33" s="701"/>
      <c r="T33" s="702">
        <v>3.7</v>
      </c>
      <c r="U33" s="660">
        <v>3.7</v>
      </c>
      <c r="V33" s="1535" t="s">
        <v>143</v>
      </c>
      <c r="W33" s="571" t="s">
        <v>144</v>
      </c>
      <c r="X33" s="571" t="s">
        <v>145</v>
      </c>
      <c r="Y33" s="572" t="s">
        <v>145</v>
      </c>
    </row>
    <row r="34" spans="1:28" ht="12.75" thickBot="1">
      <c r="A34" s="542"/>
      <c r="B34" s="543"/>
      <c r="C34" s="544"/>
      <c r="D34" s="1584"/>
      <c r="E34" s="1587"/>
      <c r="F34" s="1593"/>
      <c r="G34" s="472" t="s">
        <v>10</v>
      </c>
      <c r="H34" s="495">
        <f>I34+K34</f>
        <v>2910.2999999999997</v>
      </c>
      <c r="I34" s="494">
        <f>SUM(I29:I31)</f>
        <v>2857.1</v>
      </c>
      <c r="J34" s="494">
        <f>SUM(J29:J31)</f>
        <v>1776.1</v>
      </c>
      <c r="K34" s="496">
        <f>SUM(K29:K33)</f>
        <v>53.2</v>
      </c>
      <c r="L34" s="503">
        <f>M34+O34</f>
        <v>2913.9999999999995</v>
      </c>
      <c r="M34" s="498">
        <f>SUM(M29:M33)</f>
        <v>2857.3999999999996</v>
      </c>
      <c r="N34" s="494">
        <f>SUM(N29:N33)</f>
        <v>1778.7</v>
      </c>
      <c r="O34" s="499">
        <f>SUM(O29:O33)</f>
        <v>56.6</v>
      </c>
      <c r="P34" s="495">
        <f>Q34+S34</f>
        <v>0</v>
      </c>
      <c r="Q34" s="494">
        <f>SUM(Q29:Q31)</f>
        <v>0</v>
      </c>
      <c r="R34" s="494">
        <f>SUM(R29:R31)</f>
        <v>0</v>
      </c>
      <c r="S34" s="496">
        <f>SUM(S29:S33)</f>
        <v>0</v>
      </c>
      <c r="T34" s="621">
        <f>SUM(T29:T31)</f>
        <v>2910.3</v>
      </c>
      <c r="U34" s="503">
        <f>SUM(U29:U31)</f>
        <v>2910.3</v>
      </c>
      <c r="V34" s="1536"/>
      <c r="W34" s="573"/>
      <c r="X34" s="573"/>
      <c r="Y34" s="574"/>
      <c r="AB34" s="569"/>
    </row>
    <row r="35" spans="1:28">
      <c r="A35" s="553" t="s">
        <v>9</v>
      </c>
      <c r="B35" s="554" t="s">
        <v>11</v>
      </c>
      <c r="C35" s="555" t="s">
        <v>11</v>
      </c>
      <c r="D35" s="1741" t="s">
        <v>191</v>
      </c>
      <c r="E35" s="1585"/>
      <c r="F35" s="1591" t="s">
        <v>43</v>
      </c>
      <c r="G35" s="556" t="s">
        <v>36</v>
      </c>
      <c r="H35" s="491"/>
      <c r="I35" s="492"/>
      <c r="J35" s="492"/>
      <c r="K35" s="493"/>
      <c r="L35" s="800">
        <v>83</v>
      </c>
      <c r="M35" s="691">
        <v>83</v>
      </c>
      <c r="N35" s="691">
        <v>30.9</v>
      </c>
      <c r="O35" s="692"/>
      <c r="P35" s="497"/>
      <c r="Q35" s="466"/>
      <c r="R35" s="466"/>
      <c r="S35" s="467"/>
      <c r="T35" s="502">
        <v>83</v>
      </c>
      <c r="U35" s="504">
        <v>83</v>
      </c>
      <c r="V35" s="508" t="s">
        <v>146</v>
      </c>
      <c r="W35" s="575">
        <v>12</v>
      </c>
      <c r="X35" s="576" t="s">
        <v>147</v>
      </c>
      <c r="Y35" s="577">
        <v>12</v>
      </c>
    </row>
    <row r="36" spans="1:28" ht="12.75" thickBot="1">
      <c r="A36" s="542"/>
      <c r="B36" s="543"/>
      <c r="C36" s="544"/>
      <c r="D36" s="1742"/>
      <c r="E36" s="1587"/>
      <c r="F36" s="1593"/>
      <c r="G36" s="472" t="s">
        <v>10</v>
      </c>
      <c r="H36" s="495">
        <f>I36+K36</f>
        <v>0</v>
      </c>
      <c r="I36" s="494">
        <f t="shared" ref="I36:U36" si="9">SUM(I35:I35)</f>
        <v>0</v>
      </c>
      <c r="J36" s="494">
        <f t="shared" si="9"/>
        <v>0</v>
      </c>
      <c r="K36" s="496">
        <f t="shared" si="9"/>
        <v>0</v>
      </c>
      <c r="L36" s="503">
        <f t="shared" si="9"/>
        <v>83</v>
      </c>
      <c r="M36" s="498">
        <f t="shared" si="9"/>
        <v>83</v>
      </c>
      <c r="N36" s="494">
        <f t="shared" si="9"/>
        <v>30.9</v>
      </c>
      <c r="O36" s="499">
        <f t="shared" si="9"/>
        <v>0</v>
      </c>
      <c r="P36" s="498">
        <f t="shared" si="9"/>
        <v>0</v>
      </c>
      <c r="Q36" s="494">
        <f t="shared" si="9"/>
        <v>0</v>
      </c>
      <c r="R36" s="494">
        <f t="shared" si="9"/>
        <v>0</v>
      </c>
      <c r="S36" s="496">
        <f t="shared" si="9"/>
        <v>0</v>
      </c>
      <c r="T36" s="503">
        <f>SUM(T35:T35)</f>
        <v>83</v>
      </c>
      <c r="U36" s="501">
        <f t="shared" si="9"/>
        <v>83</v>
      </c>
      <c r="V36" s="578"/>
      <c r="W36" s="579"/>
      <c r="X36" s="579"/>
      <c r="Y36" s="580"/>
    </row>
    <row r="37" spans="1:28">
      <c r="A37" s="553" t="s">
        <v>9</v>
      </c>
      <c r="B37" s="554" t="s">
        <v>11</v>
      </c>
      <c r="C37" s="555" t="s">
        <v>29</v>
      </c>
      <c r="D37" s="1602" t="s">
        <v>148</v>
      </c>
      <c r="E37" s="1585"/>
      <c r="F37" s="1591" t="s">
        <v>43</v>
      </c>
      <c r="G37" s="520" t="s">
        <v>25</v>
      </c>
      <c r="H37" s="491"/>
      <c r="I37" s="492"/>
      <c r="J37" s="492"/>
      <c r="K37" s="493"/>
      <c r="L37" s="800"/>
      <c r="M37" s="691"/>
      <c r="N37" s="691"/>
      <c r="O37" s="692"/>
      <c r="P37" s="497"/>
      <c r="Q37" s="466"/>
      <c r="R37" s="466"/>
      <c r="S37" s="467"/>
      <c r="T37" s="502">
        <v>59.9</v>
      </c>
      <c r="U37" s="504">
        <v>59.9</v>
      </c>
      <c r="V37" s="508" t="s">
        <v>146</v>
      </c>
      <c r="W37" s="575"/>
      <c r="X37" s="576" t="s">
        <v>149</v>
      </c>
      <c r="Y37" s="577">
        <v>2</v>
      </c>
      <c r="AA37" s="569"/>
    </row>
    <row r="38" spans="1:28" ht="12.75" thickBot="1">
      <c r="A38" s="542"/>
      <c r="B38" s="543"/>
      <c r="C38" s="544"/>
      <c r="D38" s="1603"/>
      <c r="E38" s="1587"/>
      <c r="F38" s="1593"/>
      <c r="G38" s="472" t="s">
        <v>10</v>
      </c>
      <c r="H38" s="495">
        <f>I38+K38</f>
        <v>0</v>
      </c>
      <c r="I38" s="494">
        <f t="shared" ref="I38:U38" si="10">SUM(I37:I37)</f>
        <v>0</v>
      </c>
      <c r="J38" s="494">
        <f t="shared" si="10"/>
        <v>0</v>
      </c>
      <c r="K38" s="496">
        <f t="shared" si="10"/>
        <v>0</v>
      </c>
      <c r="L38" s="503">
        <f t="shared" si="10"/>
        <v>0</v>
      </c>
      <c r="M38" s="498">
        <f t="shared" si="10"/>
        <v>0</v>
      </c>
      <c r="N38" s="494">
        <f t="shared" si="10"/>
        <v>0</v>
      </c>
      <c r="O38" s="499">
        <f t="shared" si="10"/>
        <v>0</v>
      </c>
      <c r="P38" s="498">
        <f t="shared" si="10"/>
        <v>0</v>
      </c>
      <c r="Q38" s="494">
        <f t="shared" si="10"/>
        <v>0</v>
      </c>
      <c r="R38" s="494">
        <f t="shared" si="10"/>
        <v>0</v>
      </c>
      <c r="S38" s="496">
        <f t="shared" si="10"/>
        <v>0</v>
      </c>
      <c r="T38" s="503">
        <f t="shared" si="10"/>
        <v>59.9</v>
      </c>
      <c r="U38" s="501">
        <f t="shared" si="10"/>
        <v>59.9</v>
      </c>
      <c r="V38" s="848"/>
      <c r="W38" s="573"/>
      <c r="X38" s="573"/>
      <c r="Y38" s="581"/>
      <c r="AA38" s="569"/>
    </row>
    <row r="39" spans="1:28">
      <c r="A39" s="553" t="s">
        <v>9</v>
      </c>
      <c r="B39" s="554" t="s">
        <v>11</v>
      </c>
      <c r="C39" s="555" t="s">
        <v>69</v>
      </c>
      <c r="D39" s="1602" t="s">
        <v>150</v>
      </c>
      <c r="E39" s="1585"/>
      <c r="F39" s="1591" t="s">
        <v>43</v>
      </c>
      <c r="G39" s="520" t="s">
        <v>25</v>
      </c>
      <c r="H39" s="491"/>
      <c r="I39" s="492"/>
      <c r="J39" s="492"/>
      <c r="K39" s="493"/>
      <c r="L39" s="800"/>
      <c r="M39" s="801"/>
      <c r="N39" s="691"/>
      <c r="O39" s="692"/>
      <c r="P39" s="497"/>
      <c r="Q39" s="466"/>
      <c r="R39" s="466"/>
      <c r="S39" s="467"/>
      <c r="T39" s="502">
        <v>100</v>
      </c>
      <c r="U39" s="504">
        <v>100</v>
      </c>
      <c r="V39" s="1604" t="s">
        <v>151</v>
      </c>
      <c r="W39" s="575"/>
      <c r="X39" s="576" t="s">
        <v>152</v>
      </c>
      <c r="Y39" s="577">
        <v>92</v>
      </c>
    </row>
    <row r="40" spans="1:28" ht="12.75" thickBot="1">
      <c r="A40" s="542"/>
      <c r="B40" s="543"/>
      <c r="C40" s="544"/>
      <c r="D40" s="1603"/>
      <c r="E40" s="1587"/>
      <c r="F40" s="1593"/>
      <c r="G40" s="472" t="s">
        <v>10</v>
      </c>
      <c r="H40" s="495">
        <f>I40+K40</f>
        <v>0</v>
      </c>
      <c r="I40" s="494">
        <f t="shared" ref="I40:U40" si="11">SUM(I39:I39)</f>
        <v>0</v>
      </c>
      <c r="J40" s="494">
        <f t="shared" si="11"/>
        <v>0</v>
      </c>
      <c r="K40" s="496">
        <f t="shared" si="11"/>
        <v>0</v>
      </c>
      <c r="L40" s="503">
        <f t="shared" si="11"/>
        <v>0</v>
      </c>
      <c r="M40" s="498">
        <f t="shared" si="11"/>
        <v>0</v>
      </c>
      <c r="N40" s="494">
        <f t="shared" si="11"/>
        <v>0</v>
      </c>
      <c r="O40" s="499">
        <f t="shared" si="11"/>
        <v>0</v>
      </c>
      <c r="P40" s="498">
        <f t="shared" si="11"/>
        <v>0</v>
      </c>
      <c r="Q40" s="494">
        <f t="shared" si="11"/>
        <v>0</v>
      </c>
      <c r="R40" s="494">
        <f t="shared" si="11"/>
        <v>0</v>
      </c>
      <c r="S40" s="496">
        <f t="shared" si="11"/>
        <v>0</v>
      </c>
      <c r="T40" s="503">
        <f t="shared" si="11"/>
        <v>100</v>
      </c>
      <c r="U40" s="501">
        <f t="shared" si="11"/>
        <v>100</v>
      </c>
      <c r="V40" s="1605"/>
      <c r="W40" s="573"/>
      <c r="X40" s="573"/>
      <c r="Y40" s="581"/>
    </row>
    <row r="41" spans="1:28" ht="12.75" thickBot="1">
      <c r="A41" s="517" t="s">
        <v>9</v>
      </c>
      <c r="B41" s="551" t="s">
        <v>11</v>
      </c>
      <c r="C41" s="1543" t="s">
        <v>12</v>
      </c>
      <c r="D41" s="1544"/>
      <c r="E41" s="1544"/>
      <c r="F41" s="1544"/>
      <c r="G41" s="1545"/>
      <c r="H41" s="304">
        <f>+H34</f>
        <v>2910.2999999999997</v>
      </c>
      <c r="I41" s="433">
        <f>+I34</f>
        <v>2857.1</v>
      </c>
      <c r="J41" s="432">
        <f>+J34</f>
        <v>1776.1</v>
      </c>
      <c r="K41" s="506">
        <f>+K34</f>
        <v>53.2</v>
      </c>
      <c r="L41" s="505">
        <f>+L34+L40+L36</f>
        <v>2996.9999999999995</v>
      </c>
      <c r="M41" s="432">
        <f>+M34+M40+M36</f>
        <v>2940.3999999999996</v>
      </c>
      <c r="N41" s="433">
        <f>+N34+N36</f>
        <v>1809.6000000000001</v>
      </c>
      <c r="O41" s="507">
        <f>+O34</f>
        <v>56.6</v>
      </c>
      <c r="P41" s="432">
        <f t="shared" ref="P41:S41" si="12">+P34</f>
        <v>0</v>
      </c>
      <c r="Q41" s="433">
        <f t="shared" si="12"/>
        <v>0</v>
      </c>
      <c r="R41" s="432">
        <f t="shared" si="12"/>
        <v>0</v>
      </c>
      <c r="S41" s="431">
        <f t="shared" si="12"/>
        <v>0</v>
      </c>
      <c r="T41" s="500">
        <f>+T34+T40+T38+T36</f>
        <v>3153.2000000000003</v>
      </c>
      <c r="U41" s="432">
        <f>+U34+U36+U38+U40</f>
        <v>3153.2000000000003</v>
      </c>
      <c r="V41" s="1273"/>
      <c r="W41" s="1274"/>
      <c r="X41" s="1274"/>
      <c r="Y41" s="1275"/>
      <c r="Z41" s="569"/>
    </row>
    <row r="42" spans="1:28" ht="12.75" thickBot="1">
      <c r="A42" s="517" t="s">
        <v>9</v>
      </c>
      <c r="B42" s="552" t="s">
        <v>29</v>
      </c>
      <c r="C42" s="1540" t="s">
        <v>34</v>
      </c>
      <c r="D42" s="1541"/>
      <c r="E42" s="1541"/>
      <c r="F42" s="1541"/>
      <c r="G42" s="1541"/>
      <c r="H42" s="1541"/>
      <c r="I42" s="1541"/>
      <c r="J42" s="1541"/>
      <c r="K42" s="1541"/>
      <c r="L42" s="1541"/>
      <c r="M42" s="1541"/>
      <c r="N42" s="1541"/>
      <c r="O42" s="1541"/>
      <c r="P42" s="1541"/>
      <c r="Q42" s="1541"/>
      <c r="R42" s="1541"/>
      <c r="S42" s="1541"/>
      <c r="T42" s="1541"/>
      <c r="U42" s="1541"/>
      <c r="V42" s="1541"/>
      <c r="W42" s="1541"/>
      <c r="X42" s="1541"/>
      <c r="Y42" s="1542"/>
      <c r="Z42" s="569"/>
    </row>
    <row r="43" spans="1:28">
      <c r="A43" s="1745" t="s">
        <v>9</v>
      </c>
      <c r="B43" s="1560" t="s">
        <v>29</v>
      </c>
      <c r="C43" s="1725" t="s">
        <v>9</v>
      </c>
      <c r="D43" s="1728" t="s">
        <v>46</v>
      </c>
      <c r="E43" s="1576" t="s">
        <v>32</v>
      </c>
      <c r="F43" s="1717" t="s">
        <v>44</v>
      </c>
      <c r="G43" s="583" t="s">
        <v>31</v>
      </c>
      <c r="H43" s="703">
        <f t="shared" ref="H43:H45" si="13">I43+K43</f>
        <v>285</v>
      </c>
      <c r="I43" s="704"/>
      <c r="J43" s="704"/>
      <c r="K43" s="705">
        <v>285</v>
      </c>
      <c r="L43" s="804"/>
      <c r="M43" s="802"/>
      <c r="N43" s="707"/>
      <c r="O43" s="708"/>
      <c r="P43" s="709">
        <f t="shared" ref="P43:P45" si="14">Q43+S43</f>
        <v>0</v>
      </c>
      <c r="Q43" s="710"/>
      <c r="R43" s="710"/>
      <c r="S43" s="711">
        <v>0</v>
      </c>
      <c r="T43" s="712"/>
      <c r="U43" s="713"/>
      <c r="V43" s="1594" t="s">
        <v>184</v>
      </c>
      <c r="W43" s="622"/>
      <c r="X43" s="623"/>
      <c r="Y43" s="624"/>
    </row>
    <row r="44" spans="1:28">
      <c r="A44" s="1747"/>
      <c r="B44" s="1561"/>
      <c r="C44" s="1726"/>
      <c r="D44" s="1729"/>
      <c r="E44" s="1577"/>
      <c r="F44" s="1740"/>
      <c r="G44" s="584" t="s">
        <v>39</v>
      </c>
      <c r="H44" s="714">
        <f t="shared" si="13"/>
        <v>1000</v>
      </c>
      <c r="I44" s="715"/>
      <c r="J44" s="715"/>
      <c r="K44" s="716">
        <v>1000</v>
      </c>
      <c r="L44" s="805">
        <f t="shared" ref="L44" si="15">M44+O44</f>
        <v>285.5</v>
      </c>
      <c r="M44" s="803"/>
      <c r="N44" s="718"/>
      <c r="O44" s="719">
        <v>285.5</v>
      </c>
      <c r="P44" s="720">
        <f t="shared" si="14"/>
        <v>0</v>
      </c>
      <c r="Q44" s="721"/>
      <c r="R44" s="721"/>
      <c r="S44" s="722">
        <v>0</v>
      </c>
      <c r="T44" s="723"/>
      <c r="U44" s="724"/>
      <c r="V44" s="1595"/>
      <c r="W44" s="625"/>
      <c r="X44" s="626"/>
      <c r="Y44" s="627"/>
    </row>
    <row r="45" spans="1:28" ht="12.75" thickBot="1">
      <c r="A45" s="1746"/>
      <c r="B45" s="1721"/>
      <c r="C45" s="1727"/>
      <c r="D45" s="1730"/>
      <c r="E45" s="1578"/>
      <c r="F45" s="1718"/>
      <c r="G45" s="835" t="s">
        <v>10</v>
      </c>
      <c r="H45" s="725">
        <f t="shared" si="13"/>
        <v>1285</v>
      </c>
      <c r="I45" s="726"/>
      <c r="J45" s="726"/>
      <c r="K45" s="727">
        <f>SUM(K43:K44)</f>
        <v>1285</v>
      </c>
      <c r="L45" s="604">
        <f>M45+O45</f>
        <v>285.5</v>
      </c>
      <c r="M45" s="734"/>
      <c r="N45" s="726"/>
      <c r="O45" s="727">
        <f>SUM(O43:O44)</f>
        <v>285.5</v>
      </c>
      <c r="P45" s="725">
        <f t="shared" si="14"/>
        <v>0</v>
      </c>
      <c r="Q45" s="726"/>
      <c r="R45" s="726"/>
      <c r="S45" s="727">
        <f>SUM(S43:S44)</f>
        <v>0</v>
      </c>
      <c r="T45" s="604"/>
      <c r="U45" s="838"/>
      <c r="V45" s="1596"/>
      <c r="W45" s="631">
        <v>100</v>
      </c>
      <c r="X45" s="632"/>
      <c r="Y45" s="633"/>
      <c r="AA45" s="569"/>
    </row>
    <row r="46" spans="1:28">
      <c r="A46" s="1745" t="s">
        <v>9</v>
      </c>
      <c r="B46" s="1560" t="s">
        <v>29</v>
      </c>
      <c r="C46" s="1562" t="s">
        <v>11</v>
      </c>
      <c r="D46" s="1537" t="s">
        <v>190</v>
      </c>
      <c r="E46" s="1736" t="s">
        <v>32</v>
      </c>
      <c r="F46" s="1733" t="s">
        <v>44</v>
      </c>
      <c r="G46" s="582" t="s">
        <v>31</v>
      </c>
      <c r="H46" s="635">
        <f>I46+K46</f>
        <v>8</v>
      </c>
      <c r="I46" s="636"/>
      <c r="J46" s="636"/>
      <c r="K46" s="728">
        <v>8</v>
      </c>
      <c r="L46" s="795">
        <f>M46+O46</f>
        <v>20.6</v>
      </c>
      <c r="M46" s="741"/>
      <c r="N46" s="729"/>
      <c r="O46" s="644">
        <v>20.6</v>
      </c>
      <c r="P46" s="641">
        <f>Q46+S46</f>
        <v>0</v>
      </c>
      <c r="Q46" s="642"/>
      <c r="R46" s="642"/>
      <c r="S46" s="730">
        <v>0</v>
      </c>
      <c r="T46" s="676"/>
      <c r="U46" s="731"/>
      <c r="V46" s="628" t="s">
        <v>185</v>
      </c>
      <c r="W46" s="843">
        <v>1</v>
      </c>
      <c r="X46" s="843"/>
      <c r="Y46" s="593"/>
      <c r="Z46" s="618"/>
    </row>
    <row r="47" spans="1:28">
      <c r="A47" s="1747"/>
      <c r="B47" s="1561"/>
      <c r="C47" s="1563"/>
      <c r="D47" s="1538"/>
      <c r="E47" s="1748"/>
      <c r="F47" s="1734"/>
      <c r="G47" s="512" t="s">
        <v>108</v>
      </c>
      <c r="H47" s="646"/>
      <c r="I47" s="647"/>
      <c r="J47" s="647"/>
      <c r="K47" s="693"/>
      <c r="L47" s="806">
        <v>250</v>
      </c>
      <c r="M47" s="772"/>
      <c r="N47" s="773"/>
      <c r="O47" s="774">
        <v>250</v>
      </c>
      <c r="P47" s="652"/>
      <c r="Q47" s="653"/>
      <c r="R47" s="653"/>
      <c r="S47" s="695"/>
      <c r="T47" s="775">
        <v>143.1</v>
      </c>
      <c r="U47" s="732"/>
      <c r="V47" s="770" t="s">
        <v>186</v>
      </c>
      <c r="W47" s="844"/>
      <c r="X47" s="844">
        <v>1</v>
      </c>
      <c r="Y47" s="629"/>
    </row>
    <row r="48" spans="1:28" ht="12.75" thickBot="1">
      <c r="A48" s="1746"/>
      <c r="B48" s="1721"/>
      <c r="C48" s="1630"/>
      <c r="D48" s="1539"/>
      <c r="E48" s="1737"/>
      <c r="F48" s="1735"/>
      <c r="G48" s="836" t="s">
        <v>10</v>
      </c>
      <c r="H48" s="495">
        <f>I48+K48</f>
        <v>8</v>
      </c>
      <c r="I48" s="494"/>
      <c r="J48" s="494"/>
      <c r="K48" s="496">
        <f>K46</f>
        <v>8</v>
      </c>
      <c r="L48" s="503">
        <f>SUM(L46:L47)</f>
        <v>270.60000000000002</v>
      </c>
      <c r="M48" s="498"/>
      <c r="N48" s="494"/>
      <c r="O48" s="496">
        <f>SUM(O46:O47)</f>
        <v>270.60000000000002</v>
      </c>
      <c r="P48" s="495">
        <f>Q48+S48</f>
        <v>0</v>
      </c>
      <c r="Q48" s="494"/>
      <c r="R48" s="494"/>
      <c r="S48" s="496">
        <f>S46</f>
        <v>0</v>
      </c>
      <c r="T48" s="621">
        <f>SUM(T46:T47)</f>
        <v>143.1</v>
      </c>
      <c r="U48" s="621"/>
      <c r="V48" s="834"/>
      <c r="W48" s="548"/>
      <c r="X48" s="594"/>
      <c r="Y48" s="595"/>
    </row>
    <row r="49" spans="1:26" ht="24">
      <c r="A49" s="1745" t="s">
        <v>9</v>
      </c>
      <c r="B49" s="1560" t="s">
        <v>29</v>
      </c>
      <c r="C49" s="1562" t="s">
        <v>29</v>
      </c>
      <c r="D49" s="1537" t="s">
        <v>188</v>
      </c>
      <c r="E49" s="1736" t="s">
        <v>32</v>
      </c>
      <c r="F49" s="1717" t="s">
        <v>43</v>
      </c>
      <c r="G49" s="616" t="s">
        <v>103</v>
      </c>
      <c r="H49" s="479">
        <f t="shared" ref="H49" si="16">I49+K49</f>
        <v>1076.9000000000001</v>
      </c>
      <c r="I49" s="480"/>
      <c r="J49" s="480"/>
      <c r="K49" s="481">
        <v>1076.9000000000001</v>
      </c>
      <c r="L49" s="800">
        <v>340</v>
      </c>
      <c r="M49" s="691"/>
      <c r="N49" s="733"/>
      <c r="O49" s="493">
        <v>340</v>
      </c>
      <c r="P49" s="465">
        <f t="shared" ref="P49" si="17">Q49+S49</f>
        <v>0</v>
      </c>
      <c r="Q49" s="466"/>
      <c r="R49" s="466"/>
      <c r="S49" s="467">
        <v>0</v>
      </c>
      <c r="T49" s="617">
        <v>828.4</v>
      </c>
      <c r="U49" s="464">
        <v>828.4</v>
      </c>
      <c r="V49" s="509" t="s">
        <v>153</v>
      </c>
      <c r="W49" s="585">
        <v>1</v>
      </c>
      <c r="X49" s="585"/>
      <c r="Y49" s="586"/>
    </row>
    <row r="50" spans="1:26" ht="24">
      <c r="A50" s="1747"/>
      <c r="B50" s="1561"/>
      <c r="C50" s="1563"/>
      <c r="D50" s="1538"/>
      <c r="E50" s="1748"/>
      <c r="F50" s="1732"/>
      <c r="G50" s="512"/>
      <c r="H50" s="646"/>
      <c r="I50" s="647"/>
      <c r="J50" s="647"/>
      <c r="K50" s="693"/>
      <c r="L50" s="796"/>
      <c r="M50" s="694"/>
      <c r="N50" s="697"/>
      <c r="O50" s="654"/>
      <c r="P50" s="652"/>
      <c r="Q50" s="653"/>
      <c r="R50" s="653"/>
      <c r="S50" s="695"/>
      <c r="T50" s="587"/>
      <c r="U50" s="587"/>
      <c r="V50" s="510" t="s">
        <v>154</v>
      </c>
      <c r="W50" s="588"/>
      <c r="X50" s="588">
        <v>100</v>
      </c>
      <c r="Y50" s="589"/>
      <c r="Z50" s="618"/>
    </row>
    <row r="51" spans="1:26" ht="24">
      <c r="A51" s="1747"/>
      <c r="B51" s="1561"/>
      <c r="C51" s="1563"/>
      <c r="D51" s="1538"/>
      <c r="E51" s="1748"/>
      <c r="F51" s="1732"/>
      <c r="G51" s="512"/>
      <c r="H51" s="646"/>
      <c r="I51" s="647"/>
      <c r="J51" s="647"/>
      <c r="K51" s="693"/>
      <c r="L51" s="796"/>
      <c r="M51" s="694"/>
      <c r="N51" s="697"/>
      <c r="O51" s="654"/>
      <c r="P51" s="652"/>
      <c r="Q51" s="653"/>
      <c r="R51" s="653"/>
      <c r="S51" s="695"/>
      <c r="T51" s="587"/>
      <c r="U51" s="587"/>
      <c r="V51" s="510" t="s">
        <v>155</v>
      </c>
      <c r="W51" s="588"/>
      <c r="X51" s="588"/>
      <c r="Y51" s="589">
        <v>66</v>
      </c>
    </row>
    <row r="52" spans="1:26" ht="24.75" thickBot="1">
      <c r="A52" s="1746"/>
      <c r="B52" s="1721"/>
      <c r="C52" s="1630"/>
      <c r="D52" s="1539"/>
      <c r="E52" s="1737"/>
      <c r="F52" s="1718"/>
      <c r="G52" s="836" t="s">
        <v>10</v>
      </c>
      <c r="H52" s="495">
        <f>I52+K52</f>
        <v>1076.9000000000001</v>
      </c>
      <c r="I52" s="494"/>
      <c r="J52" s="494"/>
      <c r="K52" s="496">
        <f>K49</f>
        <v>1076.9000000000001</v>
      </c>
      <c r="L52" s="503">
        <f t="shared" ref="L52" si="18">M52+O52</f>
        <v>340</v>
      </c>
      <c r="M52" s="498"/>
      <c r="N52" s="494"/>
      <c r="O52" s="496">
        <f>O49</f>
        <v>340</v>
      </c>
      <c r="P52" s="495">
        <f>Q52+S52</f>
        <v>0</v>
      </c>
      <c r="Q52" s="494">
        <f>SUM(Q49)</f>
        <v>0</v>
      </c>
      <c r="R52" s="494"/>
      <c r="S52" s="496">
        <f>S49</f>
        <v>0</v>
      </c>
      <c r="T52" s="621">
        <f>+T49</f>
        <v>828.4</v>
      </c>
      <c r="U52" s="621">
        <f>SUM(U49:U51)</f>
        <v>828.4</v>
      </c>
      <c r="V52" s="511" t="s">
        <v>156</v>
      </c>
      <c r="W52" s="590"/>
      <c r="X52" s="590">
        <v>100</v>
      </c>
      <c r="Y52" s="591"/>
    </row>
    <row r="53" spans="1:26">
      <c r="A53" s="1745" t="s">
        <v>9</v>
      </c>
      <c r="B53" s="1560" t="s">
        <v>29</v>
      </c>
      <c r="C53" s="1562" t="s">
        <v>69</v>
      </c>
      <c r="D53" s="1751" t="s">
        <v>189</v>
      </c>
      <c r="E53" s="1736"/>
      <c r="F53" s="1717" t="s">
        <v>53</v>
      </c>
      <c r="G53" s="619" t="s">
        <v>25</v>
      </c>
      <c r="H53" s="638"/>
      <c r="I53" s="639"/>
      <c r="J53" s="639"/>
      <c r="K53" s="644"/>
      <c r="L53" s="795">
        <v>297.2</v>
      </c>
      <c r="M53" s="741"/>
      <c r="N53" s="639"/>
      <c r="O53" s="644">
        <v>297.2</v>
      </c>
      <c r="P53" s="641"/>
      <c r="Q53" s="642"/>
      <c r="R53" s="642"/>
      <c r="S53" s="730"/>
      <c r="T53" s="676"/>
      <c r="U53" s="676"/>
      <c r="V53" s="1604" t="s">
        <v>192</v>
      </c>
      <c r="W53" s="1754">
        <v>897.9</v>
      </c>
      <c r="X53" s="592"/>
      <c r="Y53" s="593"/>
    </row>
    <row r="54" spans="1:26" ht="12.75" thickBot="1">
      <c r="A54" s="1746"/>
      <c r="B54" s="1721"/>
      <c r="C54" s="1630"/>
      <c r="D54" s="1752"/>
      <c r="E54" s="1737"/>
      <c r="F54" s="1718"/>
      <c r="G54" s="836" t="s">
        <v>10</v>
      </c>
      <c r="H54" s="839"/>
      <c r="I54" s="726"/>
      <c r="J54" s="837"/>
      <c r="K54" s="726"/>
      <c r="L54" s="604">
        <f t="shared" ref="L54:S54" si="19">L53</f>
        <v>297.2</v>
      </c>
      <c r="M54" s="734">
        <f t="shared" si="19"/>
        <v>0</v>
      </c>
      <c r="N54" s="837">
        <f t="shared" si="19"/>
        <v>0</v>
      </c>
      <c r="O54" s="726">
        <f t="shared" si="19"/>
        <v>297.2</v>
      </c>
      <c r="P54" s="725">
        <f t="shared" si="19"/>
        <v>0</v>
      </c>
      <c r="Q54" s="837">
        <f t="shared" si="19"/>
        <v>0</v>
      </c>
      <c r="R54" s="726">
        <f t="shared" si="19"/>
        <v>0</v>
      </c>
      <c r="S54" s="734">
        <f t="shared" si="19"/>
        <v>0</v>
      </c>
      <c r="T54" s="725"/>
      <c r="U54" s="725"/>
      <c r="V54" s="1605"/>
      <c r="W54" s="1755"/>
      <c r="X54" s="594"/>
      <c r="Y54" s="595"/>
    </row>
    <row r="55" spans="1:26">
      <c r="A55" s="1745" t="s">
        <v>9</v>
      </c>
      <c r="B55" s="1560" t="s">
        <v>29</v>
      </c>
      <c r="C55" s="1562" t="s">
        <v>101</v>
      </c>
      <c r="D55" s="1749" t="s">
        <v>158</v>
      </c>
      <c r="E55" s="1736" t="s">
        <v>32</v>
      </c>
      <c r="F55" s="1717" t="s">
        <v>43</v>
      </c>
      <c r="G55" s="619" t="s">
        <v>31</v>
      </c>
      <c r="H55" s="638"/>
      <c r="I55" s="639"/>
      <c r="J55" s="639"/>
      <c r="K55" s="644"/>
      <c r="L55" s="795">
        <f>M55+O55</f>
        <v>4726.3999999999996</v>
      </c>
      <c r="M55" s="741"/>
      <c r="N55" s="729"/>
      <c r="O55" s="644">
        <v>4726.3999999999996</v>
      </c>
      <c r="P55" s="641"/>
      <c r="Q55" s="642"/>
      <c r="R55" s="642"/>
      <c r="S55" s="730"/>
      <c r="T55" s="676">
        <v>10730</v>
      </c>
      <c r="U55" s="676">
        <v>8098</v>
      </c>
      <c r="V55" s="630"/>
      <c r="W55" s="843"/>
      <c r="X55" s="592"/>
      <c r="Y55" s="593"/>
    </row>
    <row r="56" spans="1:26" ht="12.75" thickBot="1">
      <c r="A56" s="1746"/>
      <c r="B56" s="1721"/>
      <c r="C56" s="1630"/>
      <c r="D56" s="1750"/>
      <c r="E56" s="1737"/>
      <c r="F56" s="1718"/>
      <c r="G56" s="836" t="s">
        <v>10</v>
      </c>
      <c r="H56" s="839"/>
      <c r="I56" s="726"/>
      <c r="J56" s="837"/>
      <c r="K56" s="726"/>
      <c r="L56" s="604">
        <f t="shared" ref="L56:U56" si="20">L55</f>
        <v>4726.3999999999996</v>
      </c>
      <c r="M56" s="734">
        <f t="shared" si="20"/>
        <v>0</v>
      </c>
      <c r="N56" s="837">
        <f t="shared" si="20"/>
        <v>0</v>
      </c>
      <c r="O56" s="726">
        <f t="shared" si="20"/>
        <v>4726.3999999999996</v>
      </c>
      <c r="P56" s="725">
        <f t="shared" si="20"/>
        <v>0</v>
      </c>
      <c r="Q56" s="837">
        <f t="shared" si="20"/>
        <v>0</v>
      </c>
      <c r="R56" s="726">
        <f t="shared" si="20"/>
        <v>0</v>
      </c>
      <c r="S56" s="734">
        <f t="shared" si="20"/>
        <v>0</v>
      </c>
      <c r="T56" s="725">
        <f t="shared" si="20"/>
        <v>10730</v>
      </c>
      <c r="U56" s="725">
        <f t="shared" si="20"/>
        <v>8098</v>
      </c>
      <c r="V56" s="834"/>
      <c r="W56" s="548"/>
      <c r="X56" s="594"/>
      <c r="Y56" s="595"/>
    </row>
    <row r="57" spans="1:26">
      <c r="A57" s="1745" t="s">
        <v>9</v>
      </c>
      <c r="B57" s="1560" t="s">
        <v>29</v>
      </c>
      <c r="C57" s="1562" t="s">
        <v>157</v>
      </c>
      <c r="D57" s="1749" t="s">
        <v>159</v>
      </c>
      <c r="E57" s="1736" t="s">
        <v>32</v>
      </c>
      <c r="F57" s="1717" t="s">
        <v>43</v>
      </c>
      <c r="G57" s="620" t="s">
        <v>31</v>
      </c>
      <c r="H57" s="617"/>
      <c r="I57" s="492"/>
      <c r="J57" s="504"/>
      <c r="K57" s="493"/>
      <c r="L57" s="800">
        <v>260</v>
      </c>
      <c r="M57" s="691"/>
      <c r="N57" s="735"/>
      <c r="O57" s="493">
        <v>260</v>
      </c>
      <c r="P57" s="465"/>
      <c r="Q57" s="736"/>
      <c r="R57" s="466"/>
      <c r="S57" s="736"/>
      <c r="T57" s="617">
        <v>1220</v>
      </c>
      <c r="U57" s="464">
        <v>3100</v>
      </c>
      <c r="V57" s="509" t="s">
        <v>183</v>
      </c>
      <c r="W57" s="585">
        <v>1</v>
      </c>
      <c r="X57" s="585"/>
      <c r="Y57" s="586"/>
    </row>
    <row r="58" spans="1:26">
      <c r="A58" s="1747"/>
      <c r="B58" s="1561"/>
      <c r="C58" s="1563"/>
      <c r="D58" s="1756"/>
      <c r="E58" s="1748"/>
      <c r="F58" s="1732"/>
      <c r="G58" s="512"/>
      <c r="H58" s="587"/>
      <c r="I58" s="650"/>
      <c r="J58" s="737"/>
      <c r="K58" s="654"/>
      <c r="L58" s="796"/>
      <c r="M58" s="694"/>
      <c r="N58" s="738"/>
      <c r="O58" s="654"/>
      <c r="P58" s="652"/>
      <c r="Q58" s="739"/>
      <c r="R58" s="653"/>
      <c r="S58" s="739"/>
      <c r="T58" s="587"/>
      <c r="U58" s="587"/>
      <c r="V58" s="510" t="s">
        <v>160</v>
      </c>
      <c r="W58" s="588"/>
      <c r="X58" s="588"/>
      <c r="Y58" s="589">
        <v>100</v>
      </c>
    </row>
    <row r="59" spans="1:26">
      <c r="A59" s="1747"/>
      <c r="B59" s="1561"/>
      <c r="C59" s="1563"/>
      <c r="D59" s="1756"/>
      <c r="E59" s="1748"/>
      <c r="F59" s="1732"/>
      <c r="G59" s="512"/>
      <c r="H59" s="587"/>
      <c r="I59" s="650"/>
      <c r="J59" s="737"/>
      <c r="K59" s="654"/>
      <c r="L59" s="796"/>
      <c r="M59" s="694"/>
      <c r="N59" s="738"/>
      <c r="O59" s="654"/>
      <c r="P59" s="652"/>
      <c r="Q59" s="739"/>
      <c r="R59" s="653"/>
      <c r="S59" s="739"/>
      <c r="T59" s="587"/>
      <c r="U59" s="587"/>
      <c r="V59" s="510" t="s">
        <v>178</v>
      </c>
      <c r="W59" s="588"/>
      <c r="X59" s="588"/>
      <c r="Y59" s="589">
        <v>5</v>
      </c>
    </row>
    <row r="60" spans="1:26" ht="12.75" thickBot="1">
      <c r="A60" s="1746"/>
      <c r="B60" s="1721"/>
      <c r="C60" s="1630"/>
      <c r="D60" s="1750"/>
      <c r="E60" s="1737"/>
      <c r="F60" s="1718"/>
      <c r="G60" s="836" t="s">
        <v>10</v>
      </c>
      <c r="H60" s="839"/>
      <c r="I60" s="726"/>
      <c r="J60" s="837"/>
      <c r="K60" s="726"/>
      <c r="L60" s="604">
        <f t="shared" ref="L60:U60" si="21">L57</f>
        <v>260</v>
      </c>
      <c r="M60" s="734">
        <f t="shared" si="21"/>
        <v>0</v>
      </c>
      <c r="N60" s="837">
        <f t="shared" si="21"/>
        <v>0</v>
      </c>
      <c r="O60" s="726">
        <f t="shared" si="21"/>
        <v>260</v>
      </c>
      <c r="P60" s="725">
        <f t="shared" si="21"/>
        <v>0</v>
      </c>
      <c r="Q60" s="837">
        <f t="shared" si="21"/>
        <v>0</v>
      </c>
      <c r="R60" s="726">
        <f t="shared" si="21"/>
        <v>0</v>
      </c>
      <c r="S60" s="734">
        <f t="shared" si="21"/>
        <v>0</v>
      </c>
      <c r="T60" s="725">
        <f t="shared" si="21"/>
        <v>1220</v>
      </c>
      <c r="U60" s="725">
        <f t="shared" si="21"/>
        <v>3100</v>
      </c>
      <c r="V60" s="510" t="s">
        <v>179</v>
      </c>
      <c r="W60" s="588"/>
      <c r="X60" s="588"/>
      <c r="Y60" s="589">
        <v>293</v>
      </c>
    </row>
    <row r="61" spans="1:26">
      <c r="A61" s="1745" t="s">
        <v>9</v>
      </c>
      <c r="B61" s="1560" t="s">
        <v>29</v>
      </c>
      <c r="C61" s="1562" t="s">
        <v>24</v>
      </c>
      <c r="D61" s="1749" t="s">
        <v>162</v>
      </c>
      <c r="E61" s="1736" t="s">
        <v>32</v>
      </c>
      <c r="F61" s="1717" t="s">
        <v>43</v>
      </c>
      <c r="G61" s="619" t="s">
        <v>31</v>
      </c>
      <c r="H61" s="676"/>
      <c r="I61" s="639"/>
      <c r="J61" s="740"/>
      <c r="K61" s="644"/>
      <c r="L61" s="795">
        <v>571.4</v>
      </c>
      <c r="M61" s="741"/>
      <c r="N61" s="742"/>
      <c r="O61" s="644">
        <v>571.4</v>
      </c>
      <c r="P61" s="641"/>
      <c r="Q61" s="743"/>
      <c r="R61" s="642"/>
      <c r="S61" s="743"/>
      <c r="T61" s="676"/>
      <c r="U61" s="731"/>
      <c r="V61" s="509" t="s">
        <v>180</v>
      </c>
      <c r="W61" s="585">
        <v>1</v>
      </c>
      <c r="X61" s="585"/>
      <c r="Y61" s="586"/>
    </row>
    <row r="62" spans="1:26" ht="12.75" thickBot="1">
      <c r="A62" s="1746"/>
      <c r="B62" s="1721"/>
      <c r="C62" s="1630"/>
      <c r="D62" s="1750"/>
      <c r="E62" s="1737"/>
      <c r="F62" s="1718"/>
      <c r="G62" s="836" t="s">
        <v>10</v>
      </c>
      <c r="H62" s="839"/>
      <c r="I62" s="726"/>
      <c r="J62" s="837"/>
      <c r="K62" s="726"/>
      <c r="L62" s="604">
        <f t="shared" ref="L62:S62" si="22">L61</f>
        <v>571.4</v>
      </c>
      <c r="M62" s="734">
        <f t="shared" si="22"/>
        <v>0</v>
      </c>
      <c r="N62" s="837">
        <f t="shared" si="22"/>
        <v>0</v>
      </c>
      <c r="O62" s="726">
        <f t="shared" si="22"/>
        <v>571.4</v>
      </c>
      <c r="P62" s="725">
        <f t="shared" si="22"/>
        <v>0</v>
      </c>
      <c r="Q62" s="837">
        <f t="shared" si="22"/>
        <v>0</v>
      </c>
      <c r="R62" s="726">
        <f t="shared" si="22"/>
        <v>0</v>
      </c>
      <c r="S62" s="734">
        <f t="shared" si="22"/>
        <v>0</v>
      </c>
      <c r="T62" s="725"/>
      <c r="U62" s="725"/>
      <c r="V62" s="511" t="s">
        <v>181</v>
      </c>
      <c r="W62" s="590">
        <v>22</v>
      </c>
      <c r="X62" s="590"/>
      <c r="Y62" s="591"/>
    </row>
    <row r="63" spans="1:26">
      <c r="A63" s="1745" t="s">
        <v>9</v>
      </c>
      <c r="B63" s="1560" t="s">
        <v>29</v>
      </c>
      <c r="C63" s="1562" t="s">
        <v>161</v>
      </c>
      <c r="D63" s="1749" t="s">
        <v>164</v>
      </c>
      <c r="E63" s="1736" t="s">
        <v>32</v>
      </c>
      <c r="F63" s="1717" t="s">
        <v>43</v>
      </c>
      <c r="G63" s="619" t="s">
        <v>31</v>
      </c>
      <c r="H63" s="676"/>
      <c r="I63" s="639"/>
      <c r="J63" s="740"/>
      <c r="K63" s="644"/>
      <c r="L63" s="795">
        <v>82.8</v>
      </c>
      <c r="M63" s="741">
        <v>82.8</v>
      </c>
      <c r="N63" s="742"/>
      <c r="O63" s="644"/>
      <c r="P63" s="641"/>
      <c r="Q63" s="743"/>
      <c r="R63" s="642"/>
      <c r="S63" s="743"/>
      <c r="T63" s="676"/>
      <c r="U63" s="731"/>
      <c r="V63" s="1604" t="s">
        <v>165</v>
      </c>
      <c r="W63" s="1754">
        <v>100</v>
      </c>
      <c r="X63" s="592"/>
      <c r="Y63" s="593"/>
    </row>
    <row r="64" spans="1:26" ht="12.75" thickBot="1">
      <c r="A64" s="1746"/>
      <c r="B64" s="1721"/>
      <c r="C64" s="1630"/>
      <c r="D64" s="1750"/>
      <c r="E64" s="1737"/>
      <c r="F64" s="1718"/>
      <c r="G64" s="836" t="s">
        <v>10</v>
      </c>
      <c r="H64" s="839"/>
      <c r="I64" s="726"/>
      <c r="J64" s="837"/>
      <c r="K64" s="726"/>
      <c r="L64" s="604">
        <f t="shared" ref="L64:S64" si="23">L63</f>
        <v>82.8</v>
      </c>
      <c r="M64" s="734">
        <f t="shared" si="23"/>
        <v>82.8</v>
      </c>
      <c r="N64" s="837">
        <f t="shared" si="23"/>
        <v>0</v>
      </c>
      <c r="O64" s="726">
        <f t="shared" si="23"/>
        <v>0</v>
      </c>
      <c r="P64" s="725">
        <f t="shared" si="23"/>
        <v>0</v>
      </c>
      <c r="Q64" s="837">
        <f t="shared" si="23"/>
        <v>0</v>
      </c>
      <c r="R64" s="726">
        <f t="shared" si="23"/>
        <v>0</v>
      </c>
      <c r="S64" s="734">
        <f t="shared" si="23"/>
        <v>0</v>
      </c>
      <c r="T64" s="725"/>
      <c r="U64" s="725"/>
      <c r="V64" s="1605"/>
      <c r="W64" s="1755"/>
      <c r="X64" s="594"/>
      <c r="Y64" s="595"/>
    </row>
    <row r="65" spans="1:30" ht="12.75" thickBot="1">
      <c r="A65" s="596" t="s">
        <v>9</v>
      </c>
      <c r="B65" s="551" t="s">
        <v>29</v>
      </c>
      <c r="C65" s="1543" t="s">
        <v>12</v>
      </c>
      <c r="D65" s="1544"/>
      <c r="E65" s="1544"/>
      <c r="F65" s="1544"/>
      <c r="G65" s="1545"/>
      <c r="H65" s="750" t="e">
        <f>#REF!+#REF!+H64+H62+H60+H56+H45+H52+H48+H54</f>
        <v>#REF!</v>
      </c>
      <c r="I65" s="778"/>
      <c r="J65" s="777"/>
      <c r="K65" s="779" t="e">
        <f>#REF!+#REF!+K64+K62+K60+K56+K45+K52+K48+K54</f>
        <v>#REF!</v>
      </c>
      <c r="L65" s="780">
        <f>L64+L62+L60+L56+L54+L52+L48+L45</f>
        <v>6833.9</v>
      </c>
      <c r="M65" s="780">
        <f t="shared" ref="M65:U65" si="24">M64+M62+M60+M56+M54+M52+M48+M45</f>
        <v>82.8</v>
      </c>
      <c r="N65" s="780">
        <f t="shared" si="24"/>
        <v>0</v>
      </c>
      <c r="O65" s="780">
        <f t="shared" si="24"/>
        <v>6751.0999999999995</v>
      </c>
      <c r="P65" s="780">
        <f t="shared" si="24"/>
        <v>0</v>
      </c>
      <c r="Q65" s="780">
        <f t="shared" si="24"/>
        <v>0</v>
      </c>
      <c r="R65" s="780">
        <f t="shared" si="24"/>
        <v>0</v>
      </c>
      <c r="S65" s="780">
        <f t="shared" si="24"/>
        <v>0</v>
      </c>
      <c r="T65" s="780">
        <f t="shared" si="24"/>
        <v>12921.5</v>
      </c>
      <c r="U65" s="780">
        <f t="shared" si="24"/>
        <v>12026.4</v>
      </c>
      <c r="V65" s="1546"/>
      <c r="W65" s="1547"/>
      <c r="X65" s="1547"/>
      <c r="Y65" s="1548"/>
    </row>
    <row r="66" spans="1:30" ht="12.75" thickBot="1">
      <c r="A66" s="842" t="s">
        <v>9</v>
      </c>
      <c r="B66" s="1722" t="s">
        <v>13</v>
      </c>
      <c r="C66" s="1723"/>
      <c r="D66" s="1723"/>
      <c r="E66" s="1723"/>
      <c r="F66" s="1723"/>
      <c r="G66" s="1724"/>
      <c r="H66" s="751" t="e">
        <f>I66+K66</f>
        <v>#REF!</v>
      </c>
      <c r="I66" s="752">
        <f t="shared" ref="I66:O66" si="25">SUM(I65,I41,I27)</f>
        <v>4866.7999999999993</v>
      </c>
      <c r="J66" s="753">
        <f t="shared" si="25"/>
        <v>2544</v>
      </c>
      <c r="K66" s="754" t="e">
        <f t="shared" si="25"/>
        <v>#REF!</v>
      </c>
      <c r="L66" s="755">
        <f t="shared" si="25"/>
        <v>11704.4</v>
      </c>
      <c r="M66" s="752">
        <f t="shared" si="25"/>
        <v>4896.7</v>
      </c>
      <c r="N66" s="753">
        <f t="shared" si="25"/>
        <v>2682.7</v>
      </c>
      <c r="O66" s="754">
        <f t="shared" si="25"/>
        <v>6807.7</v>
      </c>
      <c r="P66" s="751">
        <f>Q66+S66</f>
        <v>0</v>
      </c>
      <c r="Q66" s="752">
        <f>SUM(Q65,Q41,Q27)</f>
        <v>0</v>
      </c>
      <c r="R66" s="753">
        <f>SUM(R65,R41,R27)</f>
        <v>0</v>
      </c>
      <c r="S66" s="754">
        <f>SUM(S65,S41,S27)</f>
        <v>0</v>
      </c>
      <c r="T66" s="756">
        <f>T65+T41+T27</f>
        <v>17898.400000000001</v>
      </c>
      <c r="U66" s="753">
        <f>U65+U41+U27</f>
        <v>17003.3</v>
      </c>
      <c r="V66" s="1355"/>
      <c r="W66" s="1356"/>
      <c r="X66" s="1356"/>
      <c r="Y66" s="1357"/>
    </row>
    <row r="67" spans="1:30" ht="12.75" thickBot="1">
      <c r="A67" s="597" t="s">
        <v>30</v>
      </c>
      <c r="B67" s="1549" t="s">
        <v>14</v>
      </c>
      <c r="C67" s="1550"/>
      <c r="D67" s="1550"/>
      <c r="E67" s="1550"/>
      <c r="F67" s="1550"/>
      <c r="G67" s="1551"/>
      <c r="H67" s="757" t="e">
        <f>I67+K67</f>
        <v>#REF!</v>
      </c>
      <c r="I67" s="758">
        <f t="shared" ref="I67:O67" si="26">I66</f>
        <v>4866.7999999999993</v>
      </c>
      <c r="J67" s="759">
        <f t="shared" si="26"/>
        <v>2544</v>
      </c>
      <c r="K67" s="760" t="e">
        <f t="shared" si="26"/>
        <v>#REF!</v>
      </c>
      <c r="L67" s="761">
        <f t="shared" si="26"/>
        <v>11704.4</v>
      </c>
      <c r="M67" s="758">
        <f t="shared" si="26"/>
        <v>4896.7</v>
      </c>
      <c r="N67" s="759">
        <f t="shared" si="26"/>
        <v>2682.7</v>
      </c>
      <c r="O67" s="760">
        <f t="shared" si="26"/>
        <v>6807.7</v>
      </c>
      <c r="P67" s="757">
        <f>Q67+S67</f>
        <v>0</v>
      </c>
      <c r="Q67" s="758">
        <f>Q66</f>
        <v>0</v>
      </c>
      <c r="R67" s="759">
        <f>R66</f>
        <v>0</v>
      </c>
      <c r="S67" s="760">
        <f>S66</f>
        <v>0</v>
      </c>
      <c r="T67" s="762">
        <f>T66</f>
        <v>17898.400000000001</v>
      </c>
      <c r="U67" s="759">
        <f>U66</f>
        <v>17003.3</v>
      </c>
      <c r="V67" s="1342"/>
      <c r="W67" s="1343"/>
      <c r="X67" s="1343"/>
      <c r="Y67" s="1344"/>
    </row>
    <row r="68" spans="1:30" s="613" customFormat="1">
      <c r="A68" s="788"/>
      <c r="B68" s="790"/>
      <c r="C68" s="790"/>
      <c r="D68" s="790"/>
      <c r="E68" s="790"/>
      <c r="F68" s="790"/>
      <c r="G68" s="790"/>
      <c r="H68" s="791"/>
      <c r="I68" s="791"/>
      <c r="J68" s="791"/>
      <c r="K68" s="791"/>
      <c r="L68" s="791"/>
      <c r="M68" s="791"/>
      <c r="N68" s="791"/>
      <c r="O68" s="791"/>
      <c r="P68" s="791"/>
      <c r="Q68" s="791"/>
      <c r="R68" s="791"/>
      <c r="S68" s="791"/>
      <c r="T68" s="791"/>
      <c r="U68" s="791"/>
      <c r="V68" s="789"/>
      <c r="W68" s="789"/>
      <c r="X68" s="789"/>
      <c r="Y68" s="789"/>
    </row>
    <row r="69" spans="1:30" ht="12.75" thickBot="1">
      <c r="A69" s="598"/>
      <c r="B69" s="1414" t="s">
        <v>18</v>
      </c>
      <c r="C69" s="1414"/>
      <c r="D69" s="1414"/>
      <c r="E69" s="1414"/>
      <c r="F69" s="1414"/>
      <c r="G69" s="1414"/>
      <c r="H69" s="1414"/>
      <c r="I69" s="1414"/>
      <c r="J69" s="1414"/>
      <c r="K69" s="1414"/>
      <c r="L69" s="1414"/>
      <c r="M69" s="1414"/>
      <c r="N69" s="1414"/>
      <c r="O69" s="1414"/>
      <c r="P69" s="1414"/>
      <c r="Q69" s="1414"/>
      <c r="R69" s="1414"/>
      <c r="S69" s="1414"/>
      <c r="T69" s="1414"/>
      <c r="U69" s="1414"/>
      <c r="V69" s="599"/>
      <c r="W69" s="599"/>
      <c r="X69" s="599"/>
    </row>
    <row r="70" spans="1:30" ht="24">
      <c r="B70" s="1432" t="s">
        <v>15</v>
      </c>
      <c r="C70" s="1433"/>
      <c r="D70" s="1433"/>
      <c r="E70" s="1433"/>
      <c r="F70" s="1433"/>
      <c r="G70" s="1434"/>
      <c r="H70" s="1415" t="s">
        <v>98</v>
      </c>
      <c r="I70" s="1416"/>
      <c r="J70" s="1416"/>
      <c r="K70" s="1417"/>
      <c r="L70" s="1555" t="s">
        <v>138</v>
      </c>
      <c r="M70" s="1416"/>
      <c r="N70" s="1416"/>
      <c r="O70" s="1417"/>
      <c r="P70" s="1555" t="s">
        <v>138</v>
      </c>
      <c r="Q70" s="1416"/>
      <c r="R70" s="1416"/>
      <c r="S70" s="1556"/>
      <c r="T70" s="763" t="s">
        <v>99</v>
      </c>
      <c r="U70" s="764" t="s">
        <v>139</v>
      </c>
      <c r="V70" s="849"/>
      <c r="W70" s="1422"/>
      <c r="X70" s="1422"/>
    </row>
    <row r="71" spans="1:30">
      <c r="B71" s="1694" t="s">
        <v>19</v>
      </c>
      <c r="C71" s="1695"/>
      <c r="D71" s="1695"/>
      <c r="E71" s="1695"/>
      <c r="F71" s="1695"/>
      <c r="G71" s="1697"/>
      <c r="H71" s="1408">
        <f>SUM(H72:K78)</f>
        <v>5827.4</v>
      </c>
      <c r="I71" s="1408"/>
      <c r="J71" s="1408"/>
      <c r="K71" s="1409"/>
      <c r="L71" s="1698">
        <f>SUM(L72:O78)</f>
        <v>5632.9</v>
      </c>
      <c r="M71" s="1408"/>
      <c r="N71" s="1408"/>
      <c r="O71" s="1409"/>
      <c r="P71" s="1698">
        <f>SUM(P72:S78)</f>
        <v>0</v>
      </c>
      <c r="Q71" s="1408"/>
      <c r="R71" s="1408"/>
      <c r="S71" s="1408"/>
      <c r="T71" s="601">
        <f>SUM(T72:T78)</f>
        <v>5120.0000000000009</v>
      </c>
      <c r="U71" s="601">
        <f>SUM(U72:U77)</f>
        <v>4976.9000000000005</v>
      </c>
      <c r="V71" s="833"/>
      <c r="W71" s="1389"/>
      <c r="X71" s="1389"/>
    </row>
    <row r="72" spans="1:30">
      <c r="B72" s="1375" t="s">
        <v>168</v>
      </c>
      <c r="C72" s="1376"/>
      <c r="D72" s="1376"/>
      <c r="E72" s="1376"/>
      <c r="F72" s="1376"/>
      <c r="G72" s="1377"/>
      <c r="H72" s="1395">
        <f>SUMIF(G12:G52,G12,H12:H52)</f>
        <v>36.799999999999997</v>
      </c>
      <c r="I72" s="1395"/>
      <c r="J72" s="1395"/>
      <c r="K72" s="1396"/>
      <c r="L72" s="1557">
        <f>SUMIF(G12:G64,"sb",L12:L64)</f>
        <v>334</v>
      </c>
      <c r="M72" s="1395"/>
      <c r="N72" s="1395"/>
      <c r="O72" s="1396"/>
      <c r="P72" s="1557">
        <f>SUMIF(G12:G45,"SB",P12:P45)</f>
        <v>0</v>
      </c>
      <c r="Q72" s="1395"/>
      <c r="R72" s="1395"/>
      <c r="S72" s="1395"/>
      <c r="T72" s="602">
        <f>SUMIF(G12:G64,"SB",T12:T64)</f>
        <v>196.7</v>
      </c>
      <c r="U72" s="602">
        <f>SUMIF(G12:G64,G12,U12:U64)</f>
        <v>196.7</v>
      </c>
      <c r="V72" s="832"/>
      <c r="W72" s="1372"/>
      <c r="X72" s="1372"/>
    </row>
    <row r="73" spans="1:30">
      <c r="B73" s="1375" t="s">
        <v>169</v>
      </c>
      <c r="C73" s="1376"/>
      <c r="D73" s="1376"/>
      <c r="E73" s="1376"/>
      <c r="F73" s="1376"/>
      <c r="G73" s="1377"/>
      <c r="H73" s="1395">
        <f>SUMIF(G12:G52,G13,H12:H52)</f>
        <v>318</v>
      </c>
      <c r="I73" s="1395"/>
      <c r="J73" s="1395"/>
      <c r="K73" s="1396"/>
      <c r="L73" s="1557">
        <f>SUMIF(G12:G64,G13,L12:L64)</f>
        <v>332</v>
      </c>
      <c r="M73" s="1395"/>
      <c r="N73" s="1395"/>
      <c r="O73" s="1396"/>
      <c r="P73" s="1557">
        <f>SUMIF(G12:G65,"SB(AA)",P12:P65)</f>
        <v>0</v>
      </c>
      <c r="Q73" s="1395"/>
      <c r="R73" s="1395"/>
      <c r="S73" s="1395"/>
      <c r="T73" s="602">
        <f>SUMIF(G12:G64,G13,T12:T64)</f>
        <v>332</v>
      </c>
      <c r="U73" s="602">
        <f>SUMIF(G12:G64,G13,U12:U64)</f>
        <v>332</v>
      </c>
      <c r="V73" s="832"/>
      <c r="W73" s="1372"/>
      <c r="X73" s="1372"/>
    </row>
    <row r="74" spans="1:30">
      <c r="B74" s="1375" t="s">
        <v>170</v>
      </c>
      <c r="C74" s="1376"/>
      <c r="D74" s="1376"/>
      <c r="E74" s="1376"/>
      <c r="F74" s="1376"/>
      <c r="G74" s="1377"/>
      <c r="H74" s="1395">
        <f>SUMIF(G12:G45,G14,H12:H45)</f>
        <v>127.7</v>
      </c>
      <c r="I74" s="1395"/>
      <c r="J74" s="1395"/>
      <c r="K74" s="1396"/>
      <c r="L74" s="1557">
        <f>SUMIF(G12:G64,G14,L12:L64)</f>
        <v>0</v>
      </c>
      <c r="M74" s="1395"/>
      <c r="N74" s="1395"/>
      <c r="O74" s="1396"/>
      <c r="P74" s="1557">
        <f>SUMIF(G12:G45,"SB(AAL)",P12:P45)</f>
        <v>0</v>
      </c>
      <c r="Q74" s="1395"/>
      <c r="R74" s="1395"/>
      <c r="S74" s="1395"/>
      <c r="T74" s="602">
        <f>SUMIF(G12:G64,G14,T12:T64)</f>
        <v>0</v>
      </c>
      <c r="U74" s="602">
        <f>SUMIF(G12:G64,G14,U12:U64)</f>
        <v>0</v>
      </c>
      <c r="V74" s="832"/>
      <c r="W74" s="1372"/>
      <c r="X74" s="1372"/>
      <c r="AD74" s="569"/>
    </row>
    <row r="75" spans="1:30">
      <c r="B75" s="1703" t="s">
        <v>171</v>
      </c>
      <c r="C75" s="1704"/>
      <c r="D75" s="1704"/>
      <c r="E75" s="1704"/>
      <c r="F75" s="1704"/>
      <c r="G75" s="1705"/>
      <c r="H75" s="1557">
        <f>SUMIF(G12:G64,"sb(l)",H12:H64)</f>
        <v>5</v>
      </c>
      <c r="I75" s="1395"/>
      <c r="J75" s="1395"/>
      <c r="K75" s="1396"/>
      <c r="L75" s="1557">
        <f>SUMIF(G12:G64,"sb(l)",L12:L64)</f>
        <v>0</v>
      </c>
      <c r="M75" s="1395"/>
      <c r="N75" s="1395"/>
      <c r="O75" s="1396"/>
      <c r="P75" s="1557"/>
      <c r="Q75" s="1395"/>
      <c r="R75" s="1395"/>
      <c r="S75" s="1395"/>
      <c r="T75" s="602"/>
      <c r="U75" s="602"/>
      <c r="V75" s="832"/>
      <c r="W75" s="832"/>
      <c r="X75" s="832"/>
    </row>
    <row r="76" spans="1:30">
      <c r="B76" s="1375" t="s">
        <v>172</v>
      </c>
      <c r="C76" s="1376"/>
      <c r="D76" s="1376"/>
      <c r="E76" s="1376"/>
      <c r="F76" s="1376"/>
      <c r="G76" s="1377"/>
      <c r="H76" s="1395">
        <f>SUMIF(G12:G52,"sb(sp)",H12:H52)</f>
        <v>0</v>
      </c>
      <c r="I76" s="1395"/>
      <c r="J76" s="1395"/>
      <c r="K76" s="1396"/>
      <c r="L76" s="1557">
        <f>SUMIF(G12:G64,"sb(sp)",L12:L64)</f>
        <v>83</v>
      </c>
      <c r="M76" s="1395"/>
      <c r="N76" s="1395"/>
      <c r="O76" s="1396"/>
      <c r="P76" s="1557">
        <f>SUMIF(G12:G45,"SB(SP)",P12:P45)</f>
        <v>0</v>
      </c>
      <c r="Q76" s="1395"/>
      <c r="R76" s="1395"/>
      <c r="S76" s="1395"/>
      <c r="T76" s="602">
        <f>SUMIF(G12:G64,"sb(sp)",T12:T64)</f>
        <v>83</v>
      </c>
      <c r="U76" s="602">
        <f>SUMIF(G12:G45,"sb(sp)",U12:U45)</f>
        <v>83</v>
      </c>
      <c r="V76" s="832"/>
      <c r="W76" s="1372"/>
      <c r="X76" s="1372"/>
    </row>
    <row r="77" spans="1:30">
      <c r="B77" s="1375" t="s">
        <v>173</v>
      </c>
      <c r="C77" s="1376"/>
      <c r="D77" s="1376"/>
      <c r="E77" s="1376"/>
      <c r="F77" s="1376"/>
      <c r="G77" s="1377"/>
      <c r="H77" s="1395">
        <f>SUMIF(G12:G45,"sb(vb)",H12:H45)</f>
        <v>5339.9</v>
      </c>
      <c r="I77" s="1395"/>
      <c r="J77" s="1395"/>
      <c r="K77" s="1396"/>
      <c r="L77" s="1557">
        <f>SUMIF(G12:G64,"sb(vb)",L12:L64)</f>
        <v>4633.8999999999996</v>
      </c>
      <c r="M77" s="1395"/>
      <c r="N77" s="1395"/>
      <c r="O77" s="1396"/>
      <c r="P77" s="1557">
        <f>SUMIF(G12:G45,"SB(VB)",P12:P45)</f>
        <v>0</v>
      </c>
      <c r="Q77" s="1395"/>
      <c r="R77" s="1395"/>
      <c r="S77" s="1395"/>
      <c r="T77" s="602">
        <f>SUMIF(G12:G49,G29,T12:T49)</f>
        <v>4365.2000000000007</v>
      </c>
      <c r="U77" s="602">
        <f>SUMIF(G12:G45,G29,U12:U45)</f>
        <v>4365.2000000000007</v>
      </c>
      <c r="V77" s="832"/>
      <c r="W77" s="1372"/>
      <c r="X77" s="1372"/>
    </row>
    <row r="78" spans="1:30">
      <c r="B78" s="1711" t="s">
        <v>174</v>
      </c>
      <c r="C78" s="1712"/>
      <c r="D78" s="1712"/>
      <c r="E78" s="1712"/>
      <c r="F78" s="1712"/>
      <c r="G78" s="1713"/>
      <c r="H78" s="1531">
        <f>SUMIF(G12:G64,"pf",H12:H64)</f>
        <v>0</v>
      </c>
      <c r="I78" s="1406"/>
      <c r="J78" s="1406"/>
      <c r="K78" s="1407"/>
      <c r="L78" s="1531">
        <f>SUMIF(G12:G64,"pf",L12:L64)</f>
        <v>250</v>
      </c>
      <c r="M78" s="1406"/>
      <c r="N78" s="1406"/>
      <c r="O78" s="1407"/>
      <c r="P78" s="1531">
        <f>SUMIF(G12:G49,"pf",P12:P49)</f>
        <v>0</v>
      </c>
      <c r="Q78" s="1406"/>
      <c r="R78" s="1406"/>
      <c r="S78" s="1406"/>
      <c r="T78" s="776">
        <f>SUMIF(G12:G64,"pf",T12:T64)</f>
        <v>143.1</v>
      </c>
      <c r="U78" s="776"/>
      <c r="V78" s="832"/>
      <c r="W78" s="832"/>
      <c r="X78" s="832"/>
    </row>
    <row r="79" spans="1:30">
      <c r="B79" s="1694" t="s">
        <v>20</v>
      </c>
      <c r="C79" s="1695"/>
      <c r="D79" s="1695"/>
      <c r="E79" s="1695"/>
      <c r="F79" s="1695"/>
      <c r="G79" s="1697"/>
      <c r="H79" s="1408">
        <f ca="1">SUM(H81:H82)</f>
        <v>1462.5</v>
      </c>
      <c r="I79" s="1408"/>
      <c r="J79" s="1408"/>
      <c r="K79" s="1409"/>
      <c r="L79" s="1408">
        <f>SUM(L80:O82)</f>
        <v>6071.5</v>
      </c>
      <c r="M79" s="1408"/>
      <c r="N79" s="1408"/>
      <c r="O79" s="1409"/>
      <c r="P79" s="1698">
        <f>SUM(P81:P82)</f>
        <v>0</v>
      </c>
      <c r="Q79" s="1408"/>
      <c r="R79" s="1408"/>
      <c r="S79" s="1408"/>
      <c r="T79" s="601">
        <f>SUM(T81:T82)</f>
        <v>12778.4</v>
      </c>
      <c r="U79" s="601">
        <f>SUM(U81:U82)</f>
        <v>12026.4</v>
      </c>
      <c r="V79" s="833"/>
      <c r="W79" s="1389"/>
      <c r="X79" s="1389"/>
    </row>
    <row r="80" spans="1:30" s="613" customFormat="1">
      <c r="A80" s="611"/>
      <c r="B80" s="1707" t="s">
        <v>177</v>
      </c>
      <c r="C80" s="1708"/>
      <c r="D80" s="1708"/>
      <c r="E80" s="1708"/>
      <c r="F80" s="1708"/>
      <c r="G80" s="1709"/>
      <c r="H80" s="1710"/>
      <c r="I80" s="1390"/>
      <c r="J80" s="1390"/>
      <c r="K80" s="1391"/>
      <c r="L80" s="1531">
        <f>SUMIF(G12:G64,"psdf",L12:L64)</f>
        <v>3.7</v>
      </c>
      <c r="M80" s="1406"/>
      <c r="N80" s="1406"/>
      <c r="O80" s="1407"/>
      <c r="P80" s="1531">
        <f>SUMIF(K12:K64,"psdf",P12:P64)</f>
        <v>0</v>
      </c>
      <c r="Q80" s="1406"/>
      <c r="R80" s="1406"/>
      <c r="S80" s="1406"/>
      <c r="T80" s="615"/>
      <c r="U80" s="615"/>
      <c r="V80" s="614"/>
      <c r="W80" s="614"/>
      <c r="X80" s="612"/>
    </row>
    <row r="81" spans="1:24">
      <c r="B81" s="1703" t="s">
        <v>175</v>
      </c>
      <c r="C81" s="1704"/>
      <c r="D81" s="1704"/>
      <c r="E81" s="1704"/>
      <c r="F81" s="1704"/>
      <c r="G81" s="1705"/>
      <c r="H81" s="1557">
        <f>SUMIF(G12:G49,"es",H12:H49)</f>
        <v>1169.5</v>
      </c>
      <c r="I81" s="1395"/>
      <c r="J81" s="1395"/>
      <c r="K81" s="1396"/>
      <c r="L81" s="1557">
        <f>SUMIF(G12:G64,"es",L12:L64)</f>
        <v>406.6</v>
      </c>
      <c r="M81" s="1395"/>
      <c r="N81" s="1395"/>
      <c r="O81" s="1396"/>
      <c r="P81" s="1557">
        <f>SUMIF(G12:G49,"es",P12:P49)</f>
        <v>0</v>
      </c>
      <c r="Q81" s="1395"/>
      <c r="R81" s="1395"/>
      <c r="S81" s="1395"/>
      <c r="T81" s="602">
        <f>SUMIF(G12:G49,"es",T12:T49)</f>
        <v>828.4</v>
      </c>
      <c r="U81" s="602">
        <f>SUMIF(G12:G49,"es",U12:U49)</f>
        <v>828.4</v>
      </c>
      <c r="V81" s="832"/>
      <c r="W81" s="832"/>
      <c r="X81" s="832"/>
    </row>
    <row r="82" spans="1:24">
      <c r="B82" s="1375" t="s">
        <v>176</v>
      </c>
      <c r="C82" s="1376"/>
      <c r="D82" s="1376"/>
      <c r="E82" s="1376"/>
      <c r="F82" s="1376"/>
      <c r="G82" s="1377"/>
      <c r="H82" s="1395">
        <f ca="1">SUMIF(G12:G49,"kt",H12:H42)</f>
        <v>293</v>
      </c>
      <c r="I82" s="1395"/>
      <c r="J82" s="1395"/>
      <c r="K82" s="1396"/>
      <c r="L82" s="1557">
        <f>SUMIF(G12:G64,"kt",L12:L64)</f>
        <v>5661.2</v>
      </c>
      <c r="M82" s="1395"/>
      <c r="N82" s="1395"/>
      <c r="O82" s="1396"/>
      <c r="P82" s="1557">
        <f>SUMIF(G12:G65,"KT",P12:P65)</f>
        <v>0</v>
      </c>
      <c r="Q82" s="1395"/>
      <c r="R82" s="1395"/>
      <c r="S82" s="1395"/>
      <c r="T82" s="602">
        <f>SUMIF(G12:G64,G43,T12:T64)</f>
        <v>11950</v>
      </c>
      <c r="U82" s="602">
        <f>SUMIF(G12:G64,G43,U12:U64)</f>
        <v>11198</v>
      </c>
      <c r="V82" s="832"/>
      <c r="W82" s="1372"/>
      <c r="X82" s="1372"/>
    </row>
    <row r="83" spans="1:24" ht="12.75" thickBot="1">
      <c r="A83" s="603"/>
      <c r="B83" s="1699" t="s">
        <v>21</v>
      </c>
      <c r="C83" s="1700"/>
      <c r="D83" s="1700"/>
      <c r="E83" s="1700"/>
      <c r="F83" s="1700"/>
      <c r="G83" s="1701"/>
      <c r="H83" s="1384">
        <f ca="1">SUM(H71,H79)</f>
        <v>7289.9</v>
      </c>
      <c r="I83" s="1384"/>
      <c r="J83" s="1384"/>
      <c r="K83" s="1385"/>
      <c r="L83" s="1702">
        <f>SUM(L71,L79)</f>
        <v>11704.4</v>
      </c>
      <c r="M83" s="1384"/>
      <c r="N83" s="1384"/>
      <c r="O83" s="1385"/>
      <c r="P83" s="1702">
        <f>SUM(P71,P79)</f>
        <v>0</v>
      </c>
      <c r="Q83" s="1384"/>
      <c r="R83" s="1384"/>
      <c r="S83" s="1384"/>
      <c r="T83" s="604">
        <f>T71+T79</f>
        <v>17898.400000000001</v>
      </c>
      <c r="U83" s="604">
        <f>U79+U71</f>
        <v>17003.3</v>
      </c>
      <c r="V83" s="833"/>
      <c r="W83" s="1389"/>
      <c r="X83" s="1389"/>
    </row>
    <row r="84" spans="1:24">
      <c r="A84" s="605"/>
      <c r="B84" s="606"/>
      <c r="C84" s="606"/>
      <c r="D84" s="606"/>
      <c r="E84" s="606"/>
      <c r="I84" s="610"/>
      <c r="M84" s="610"/>
      <c r="Q84" s="765"/>
      <c r="T84" s="610"/>
    </row>
    <row r="85" spans="1:24">
      <c r="I85" s="610"/>
      <c r="L85" s="769"/>
      <c r="M85" s="610"/>
      <c r="T85" s="610"/>
      <c r="U85" s="610"/>
      <c r="V85" s="609"/>
    </row>
  </sheetData>
  <mergeCells count="208">
    <mergeCell ref="W82:X82"/>
    <mergeCell ref="B83:G83"/>
    <mergeCell ref="H83:K83"/>
    <mergeCell ref="L83:O83"/>
    <mergeCell ref="P83:S83"/>
    <mergeCell ref="W83:X83"/>
    <mergeCell ref="B80:G80"/>
    <mergeCell ref="H80:K80"/>
    <mergeCell ref="L80:O80"/>
    <mergeCell ref="P80:S80"/>
    <mergeCell ref="B81:G81"/>
    <mergeCell ref="H81:K81"/>
    <mergeCell ref="L81:O81"/>
    <mergeCell ref="P81:S81"/>
    <mergeCell ref="B82:G82"/>
    <mergeCell ref="H82:K82"/>
    <mergeCell ref="L82:O82"/>
    <mergeCell ref="P82:S82"/>
    <mergeCell ref="B78:G78"/>
    <mergeCell ref="H78:K78"/>
    <mergeCell ref="L78:O78"/>
    <mergeCell ref="P78:S78"/>
    <mergeCell ref="B79:G79"/>
    <mergeCell ref="H79:K79"/>
    <mergeCell ref="L79:O79"/>
    <mergeCell ref="P79:S79"/>
    <mergeCell ref="W76:X76"/>
    <mergeCell ref="B77:G77"/>
    <mergeCell ref="H77:K77"/>
    <mergeCell ref="L77:O77"/>
    <mergeCell ref="P77:S77"/>
    <mergeCell ref="W77:X77"/>
    <mergeCell ref="W79:X79"/>
    <mergeCell ref="B75:G75"/>
    <mergeCell ref="H75:K75"/>
    <mergeCell ref="L75:O75"/>
    <mergeCell ref="P75:S75"/>
    <mergeCell ref="B76:G76"/>
    <mergeCell ref="H76:K76"/>
    <mergeCell ref="L76:O76"/>
    <mergeCell ref="P76:S76"/>
    <mergeCell ref="B73:G73"/>
    <mergeCell ref="H73:K73"/>
    <mergeCell ref="L73:O73"/>
    <mergeCell ref="P73:S73"/>
    <mergeCell ref="W73:X73"/>
    <mergeCell ref="B74:G74"/>
    <mergeCell ref="H74:K74"/>
    <mergeCell ref="L74:O74"/>
    <mergeCell ref="P74:S74"/>
    <mergeCell ref="W74:X74"/>
    <mergeCell ref="B71:G71"/>
    <mergeCell ref="H71:K71"/>
    <mergeCell ref="L71:O71"/>
    <mergeCell ref="P71:S71"/>
    <mergeCell ref="W71:X71"/>
    <mergeCell ref="B72:G72"/>
    <mergeCell ref="H72:K72"/>
    <mergeCell ref="L72:O72"/>
    <mergeCell ref="P72:S72"/>
    <mergeCell ref="W72:X72"/>
    <mergeCell ref="B67:G67"/>
    <mergeCell ref="V67:Y67"/>
    <mergeCell ref="B69:U69"/>
    <mergeCell ref="B70:G70"/>
    <mergeCell ref="H70:K70"/>
    <mergeCell ref="L70:O70"/>
    <mergeCell ref="P70:S70"/>
    <mergeCell ref="W70:X70"/>
    <mergeCell ref="V63:V64"/>
    <mergeCell ref="W63:W64"/>
    <mergeCell ref="C65:G65"/>
    <mergeCell ref="V65:Y65"/>
    <mergeCell ref="B66:G66"/>
    <mergeCell ref="V66:Y66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57:A60"/>
    <mergeCell ref="B57:B60"/>
    <mergeCell ref="C57:C60"/>
    <mergeCell ref="D57:D60"/>
    <mergeCell ref="E57:E60"/>
    <mergeCell ref="F57:F60"/>
    <mergeCell ref="V53:V54"/>
    <mergeCell ref="W53:W54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49:A52"/>
    <mergeCell ref="B49:B52"/>
    <mergeCell ref="C49:C52"/>
    <mergeCell ref="D49:D52"/>
    <mergeCell ref="E49:E52"/>
    <mergeCell ref="F49:F52"/>
    <mergeCell ref="A46:A48"/>
    <mergeCell ref="B46:B48"/>
    <mergeCell ref="C46:C48"/>
    <mergeCell ref="D46:D48"/>
    <mergeCell ref="E46:E48"/>
    <mergeCell ref="F46:F48"/>
    <mergeCell ref="C42:Y42"/>
    <mergeCell ref="A43:A45"/>
    <mergeCell ref="B43:B45"/>
    <mergeCell ref="C43:C45"/>
    <mergeCell ref="D43:D45"/>
    <mergeCell ref="E43:E45"/>
    <mergeCell ref="F43:F45"/>
    <mergeCell ref="V43:V45"/>
    <mergeCell ref="D39:D40"/>
    <mergeCell ref="E39:E40"/>
    <mergeCell ref="F39:F40"/>
    <mergeCell ref="V39:V40"/>
    <mergeCell ref="C41:G41"/>
    <mergeCell ref="V41:Y41"/>
    <mergeCell ref="D35:D36"/>
    <mergeCell ref="E35:E36"/>
    <mergeCell ref="F35:F36"/>
    <mergeCell ref="D37:D38"/>
    <mergeCell ref="E37:E38"/>
    <mergeCell ref="F37:F38"/>
    <mergeCell ref="F24:F26"/>
    <mergeCell ref="V25:V26"/>
    <mergeCell ref="C27:G27"/>
    <mergeCell ref="V27:Y27"/>
    <mergeCell ref="C28:Y28"/>
    <mergeCell ref="D29:D34"/>
    <mergeCell ref="E29:E34"/>
    <mergeCell ref="F29:F34"/>
    <mergeCell ref="V33:V34"/>
    <mergeCell ref="V20:V21"/>
    <mergeCell ref="W20:W21"/>
    <mergeCell ref="X20:X21"/>
    <mergeCell ref="Y20:Y21"/>
    <mergeCell ref="V22:V23"/>
    <mergeCell ref="A24:A25"/>
    <mergeCell ref="B24:B25"/>
    <mergeCell ref="C24:C25"/>
    <mergeCell ref="D24:D26"/>
    <mergeCell ref="E24:E26"/>
    <mergeCell ref="A20:A22"/>
    <mergeCell ref="B20:B22"/>
    <mergeCell ref="C20:C22"/>
    <mergeCell ref="D20:D23"/>
    <mergeCell ref="E20:E23"/>
    <mergeCell ref="F20:F23"/>
    <mergeCell ref="Y6:Y7"/>
    <mergeCell ref="A8:Y8"/>
    <mergeCell ref="A9:Y9"/>
    <mergeCell ref="B10:Y10"/>
    <mergeCell ref="C11:Y11"/>
    <mergeCell ref="A12:A16"/>
    <mergeCell ref="B12:B16"/>
    <mergeCell ref="C12:C16"/>
    <mergeCell ref="D12:D16"/>
    <mergeCell ref="F12:F16"/>
    <mergeCell ref="G5:G7"/>
    <mergeCell ref="U5:U7"/>
    <mergeCell ref="V12:V16"/>
    <mergeCell ref="E13:E14"/>
    <mergeCell ref="E15:E16"/>
    <mergeCell ref="X6:X7"/>
    <mergeCell ref="H5:K5"/>
    <mergeCell ref="L5:O7"/>
    <mergeCell ref="P5:S5"/>
    <mergeCell ref="T5:T7"/>
    <mergeCell ref="C17:C19"/>
    <mergeCell ref="D17:D19"/>
    <mergeCell ref="E17:E19"/>
    <mergeCell ref="F17:F19"/>
    <mergeCell ref="V17:V19"/>
    <mergeCell ref="A1:Y1"/>
    <mergeCell ref="A2:Y2"/>
    <mergeCell ref="A3:Y3"/>
    <mergeCell ref="A4:Y4"/>
    <mergeCell ref="A5:A7"/>
    <mergeCell ref="B5:B7"/>
    <mergeCell ref="C5:C7"/>
    <mergeCell ref="D5:D7"/>
    <mergeCell ref="E5:E7"/>
    <mergeCell ref="F5:F7"/>
    <mergeCell ref="V5:Y5"/>
    <mergeCell ref="H6:H7"/>
    <mergeCell ref="I6:J6"/>
    <mergeCell ref="K6:K7"/>
    <mergeCell ref="P6:P7"/>
    <mergeCell ref="Q6:R6"/>
    <mergeCell ref="S6:S7"/>
    <mergeCell ref="V6:V7"/>
    <mergeCell ref="W6:W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7</vt:i4>
      </vt:variant>
    </vt:vector>
  </HeadingPairs>
  <TitlesOfParts>
    <vt:vector size="13" baseType="lpstr">
      <vt:lpstr>2014-2016 m. SVP</vt:lpstr>
      <vt:lpstr>13 programa </vt:lpstr>
      <vt:lpstr>Aiškinamoji lentelė</vt:lpstr>
      <vt:lpstr>Lyginamasis</vt:lpstr>
      <vt:lpstr>Asignavimų valdytojų kodai</vt:lpstr>
      <vt:lpstr>13 pr. Lt</vt:lpstr>
      <vt:lpstr>'13 programa '!Print_Area</vt:lpstr>
      <vt:lpstr>'2014-2016 m. SVP'!Print_Area</vt:lpstr>
      <vt:lpstr>'Aiškinamoji lentelė'!Print_Area</vt:lpstr>
      <vt:lpstr>'13 programa '!Print_Titles</vt:lpstr>
      <vt:lpstr>'2014-2016 m. SVP'!Print_Titles</vt:lpstr>
      <vt:lpstr>'Aiškinamoji lentelė'!Print_Titles</vt:lpstr>
      <vt:lpstr>Lyginamasis!Print_Titles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2014-12-18T06:43:05Z</cp:lastPrinted>
  <dcterms:created xsi:type="dcterms:W3CDTF">2007-07-27T10:32:34Z</dcterms:created>
  <dcterms:modified xsi:type="dcterms:W3CDTF">2014-12-18T06:43:37Z</dcterms:modified>
</cp:coreProperties>
</file>