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0" yWindow="2625" windowWidth="15480" windowHeight="8760" firstSheet="1" activeTab="1"/>
  </bookViews>
  <sheets>
    <sheet name="7 programa" sheetId="11" state="hidden" r:id="rId1"/>
    <sheet name="2015 MVP" sheetId="14" r:id="rId2"/>
    <sheet name="Lyginamasis variantas" sheetId="15" r:id="rId3"/>
  </sheets>
  <definedNames>
    <definedName name="_xlnm.Print_Area" localSheetId="1">'2015 MVP'!$A$1:$M$167</definedName>
    <definedName name="_xlnm.Print_Area" localSheetId="0">'7 programa'!$A$1:$N$158</definedName>
    <definedName name="_xlnm.Print_Area" localSheetId="2">'Lyginamasis variantas'!$A$1:$O$160</definedName>
    <definedName name="_xlnm.Print_Titles" localSheetId="1">'2015 MVP'!$10:$12</definedName>
    <definedName name="_xlnm.Print_Titles" localSheetId="0">'7 programa'!$5:$7</definedName>
    <definedName name="_xlnm.Print_Titles" localSheetId="2">'Lyginamasis variantas'!$7:$9</definedName>
  </definedNames>
  <calcPr calcId="145621" fullPrecision="0"/>
</workbook>
</file>

<file path=xl/calcChain.xml><?xml version="1.0" encoding="utf-8"?>
<calcChain xmlns="http://schemas.openxmlformats.org/spreadsheetml/2006/main">
  <c r="K62" i="14" l="1"/>
  <c r="K142" i="14"/>
  <c r="L135" i="15"/>
  <c r="L55" i="15"/>
  <c r="M135" i="15" l="1"/>
  <c r="M137" i="15" s="1"/>
  <c r="M138" i="15" s="1"/>
  <c r="M33" i="15" l="1"/>
  <c r="K75" i="14"/>
  <c r="L68" i="15"/>
  <c r="K42" i="14"/>
  <c r="L35" i="15"/>
  <c r="K22" i="14"/>
  <c r="L19" i="15"/>
  <c r="K120" i="14" l="1"/>
  <c r="L113" i="15"/>
  <c r="K108" i="14"/>
  <c r="L101" i="15"/>
  <c r="M101" i="15" s="1"/>
  <c r="K53" i="14"/>
  <c r="L46" i="15"/>
  <c r="M55" i="15"/>
  <c r="M147" i="15" s="1"/>
  <c r="M146" i="15" s="1"/>
  <c r="L157" i="15" l="1"/>
  <c r="L156" i="15"/>
  <c r="L153" i="15"/>
  <c r="L152" i="15"/>
  <c r="L151" i="15"/>
  <c r="L150" i="15"/>
  <c r="L136" i="15"/>
  <c r="L134" i="15"/>
  <c r="L133" i="15"/>
  <c r="L132" i="15"/>
  <c r="L126" i="15"/>
  <c r="L128" i="15" s="1"/>
  <c r="L124" i="15"/>
  <c r="L125" i="15" s="1"/>
  <c r="L121" i="15"/>
  <c r="L117" i="15"/>
  <c r="L119" i="15" s="1"/>
  <c r="L122" i="15" s="1"/>
  <c r="L112" i="15"/>
  <c r="L111" i="15"/>
  <c r="L110" i="15"/>
  <c r="L109" i="15"/>
  <c r="L108" i="15"/>
  <c r="L106" i="15"/>
  <c r="L104" i="15"/>
  <c r="L96" i="15"/>
  <c r="L97" i="15" s="1"/>
  <c r="L94" i="15"/>
  <c r="L95" i="15" s="1"/>
  <c r="L90" i="15"/>
  <c r="L155" i="15" s="1"/>
  <c r="L89" i="15"/>
  <c r="L85" i="15"/>
  <c r="L87" i="15" s="1"/>
  <c r="L80" i="15"/>
  <c r="L83" i="15" s="1"/>
  <c r="L78" i="15"/>
  <c r="L158" i="15" s="1"/>
  <c r="L77" i="15"/>
  <c r="L66" i="15"/>
  <c r="L63" i="15"/>
  <c r="L62" i="15"/>
  <c r="L59" i="15"/>
  <c r="L58" i="15"/>
  <c r="L57" i="15"/>
  <c r="L56" i="15"/>
  <c r="L52" i="15"/>
  <c r="L49" i="15"/>
  <c r="L148" i="15" s="1"/>
  <c r="L43" i="15"/>
  <c r="L40" i="15"/>
  <c r="L38" i="15"/>
  <c r="L32" i="15"/>
  <c r="L31" i="15"/>
  <c r="L29" i="15"/>
  <c r="L149" i="15" s="1"/>
  <c r="L24" i="15"/>
  <c r="L16" i="15"/>
  <c r="L15" i="15"/>
  <c r="L44" i="15" l="1"/>
  <c r="L33" i="15"/>
  <c r="L64" i="15"/>
  <c r="L147" i="15"/>
  <c r="L146" i="15" s="1"/>
  <c r="L145" i="15" s="1"/>
  <c r="L93" i="15"/>
  <c r="L79" i="15"/>
  <c r="L114" i="15"/>
  <c r="L137" i="15"/>
  <c r="L138" i="15" s="1"/>
  <c r="L154" i="15"/>
  <c r="L129" i="15"/>
  <c r="K157" i="15"/>
  <c r="K156" i="15"/>
  <c r="K153" i="15"/>
  <c r="K152" i="15"/>
  <c r="K151" i="15"/>
  <c r="K150" i="15"/>
  <c r="K136" i="15"/>
  <c r="K135" i="15"/>
  <c r="K134" i="15"/>
  <c r="K133" i="15"/>
  <c r="K132" i="15"/>
  <c r="K126" i="15"/>
  <c r="K128" i="15" s="1"/>
  <c r="K124" i="15"/>
  <c r="K125" i="15" s="1"/>
  <c r="K121" i="15"/>
  <c r="K117" i="15"/>
  <c r="K119" i="15" s="1"/>
  <c r="K113" i="15"/>
  <c r="M113" i="15" s="1"/>
  <c r="M114" i="15" s="1"/>
  <c r="M115" i="15" s="1"/>
  <c r="K112" i="15"/>
  <c r="K111" i="15"/>
  <c r="K110" i="15"/>
  <c r="K109" i="15"/>
  <c r="K108" i="15"/>
  <c r="K106" i="15"/>
  <c r="K104" i="15"/>
  <c r="K96" i="15"/>
  <c r="K97" i="15" s="1"/>
  <c r="K94" i="15"/>
  <c r="K95" i="15" s="1"/>
  <c r="K90" i="15"/>
  <c r="K155" i="15" s="1"/>
  <c r="K89" i="15"/>
  <c r="K85" i="15"/>
  <c r="K87" i="15" s="1"/>
  <c r="K80" i="15"/>
  <c r="K83" i="15" s="1"/>
  <c r="K78" i="15"/>
  <c r="K158" i="15" s="1"/>
  <c r="K77" i="15"/>
  <c r="K68" i="15"/>
  <c r="M68" i="15" s="1"/>
  <c r="M79" i="15" s="1"/>
  <c r="K66" i="15"/>
  <c r="K63" i="15"/>
  <c r="K62" i="15"/>
  <c r="K59" i="15"/>
  <c r="K58" i="15"/>
  <c r="K57" i="15"/>
  <c r="K56" i="15"/>
  <c r="K52" i="15"/>
  <c r="K49" i="15"/>
  <c r="K148" i="15" s="1"/>
  <c r="K46" i="15"/>
  <c r="M46" i="15" s="1"/>
  <c r="M64" i="15" s="1"/>
  <c r="K43" i="15"/>
  <c r="K40" i="15"/>
  <c r="K38" i="15"/>
  <c r="K35" i="15"/>
  <c r="K44" i="15" s="1"/>
  <c r="K32" i="15"/>
  <c r="K31" i="15"/>
  <c r="K29" i="15"/>
  <c r="K149" i="15" s="1"/>
  <c r="K24" i="15"/>
  <c r="K19" i="15"/>
  <c r="M19" i="15" s="1"/>
  <c r="K16" i="15"/>
  <c r="K15" i="15"/>
  <c r="K93" i="15" l="1"/>
  <c r="K122" i="15"/>
  <c r="L115" i="15"/>
  <c r="L98" i="15"/>
  <c r="L139" i="15" s="1"/>
  <c r="L140" i="15" s="1"/>
  <c r="M98" i="15"/>
  <c r="M139" i="15" s="1"/>
  <c r="M140" i="15" s="1"/>
  <c r="L159" i="15"/>
  <c r="M35" i="15"/>
  <c r="M44" i="15" s="1"/>
  <c r="K114" i="15"/>
  <c r="K115" i="15" s="1"/>
  <c r="K129" i="15"/>
  <c r="K79" i="15"/>
  <c r="K137" i="15"/>
  <c r="K138" i="15" s="1"/>
  <c r="K147" i="15"/>
  <c r="K146" i="15" s="1"/>
  <c r="K145" i="15" s="1"/>
  <c r="K64" i="15"/>
  <c r="K154" i="15"/>
  <c r="K33" i="15"/>
  <c r="K98" i="15" l="1"/>
  <c r="K139" i="15" s="1"/>
  <c r="K140" i="15" s="1"/>
  <c r="K159" i="15"/>
  <c r="M145" i="15" l="1"/>
  <c r="M159" i="15" s="1"/>
  <c r="K159" i="14"/>
  <c r="I144" i="11" l="1"/>
  <c r="J144" i="11"/>
  <c r="H151" i="11"/>
  <c r="H67" i="11" l="1"/>
  <c r="H146" i="11" l="1"/>
  <c r="K160" i="14" l="1"/>
  <c r="H152" i="11"/>
  <c r="H51" i="11" l="1"/>
  <c r="K59" i="14"/>
  <c r="H150" i="11"/>
  <c r="H145" i="11" s="1"/>
  <c r="H144" i="11" s="1"/>
  <c r="K157" i="14"/>
  <c r="K143" i="14"/>
  <c r="K131" i="14"/>
  <c r="K132" i="14" s="1"/>
  <c r="K119" i="14"/>
  <c r="K47" i="14"/>
  <c r="H25" i="11"/>
  <c r="H149" i="11"/>
  <c r="J148" i="11" l="1"/>
  <c r="I148" i="11"/>
  <c r="K128" i="14" l="1"/>
  <c r="J120" i="11"/>
  <c r="I120" i="11"/>
  <c r="H120" i="11"/>
  <c r="K87" i="14" l="1"/>
  <c r="K92" i="14" l="1"/>
  <c r="K141" i="14"/>
  <c r="K140" i="14"/>
  <c r="K139" i="14"/>
  <c r="K133" i="14"/>
  <c r="K124" i="14"/>
  <c r="K118" i="14"/>
  <c r="K117" i="14"/>
  <c r="K116" i="14"/>
  <c r="K115" i="14"/>
  <c r="K113" i="14"/>
  <c r="K111" i="14"/>
  <c r="K103" i="14"/>
  <c r="K101" i="14"/>
  <c r="K97" i="14"/>
  <c r="K96" i="14"/>
  <c r="K85" i="14"/>
  <c r="K84" i="14"/>
  <c r="K73" i="14"/>
  <c r="K70" i="14"/>
  <c r="K69" i="14"/>
  <c r="K66" i="14"/>
  <c r="K65" i="14"/>
  <c r="K64" i="14"/>
  <c r="K63" i="14"/>
  <c r="K56" i="14"/>
  <c r="K50" i="14"/>
  <c r="K45" i="14"/>
  <c r="K39" i="14"/>
  <c r="K38" i="14"/>
  <c r="K36" i="14"/>
  <c r="K156" i="14" s="1"/>
  <c r="K31" i="14"/>
  <c r="K19" i="14"/>
  <c r="K18" i="14"/>
  <c r="K154" i="14" s="1"/>
  <c r="K71" i="14" l="1"/>
  <c r="K121" i="14"/>
  <c r="K165" i="14"/>
  <c r="K164" i="14"/>
  <c r="K163" i="14"/>
  <c r="K162" i="14"/>
  <c r="K158" i="14"/>
  <c r="K155" i="14"/>
  <c r="M95" i="14"/>
  <c r="K100" i="14"/>
  <c r="K144" i="14"/>
  <c r="K145" i="14" s="1"/>
  <c r="K135" i="14"/>
  <c r="K126" i="14"/>
  <c r="K129" i="14" s="1"/>
  <c r="K122" i="14"/>
  <c r="K104" i="14"/>
  <c r="K102" i="14"/>
  <c r="K94" i="14"/>
  <c r="K90" i="14"/>
  <c r="K86" i="14"/>
  <c r="K51" i="14"/>
  <c r="K40" i="14"/>
  <c r="K153" i="14" l="1"/>
  <c r="K152" i="14" s="1"/>
  <c r="K105" i="14"/>
  <c r="K136" i="14"/>
  <c r="K146" i="14" l="1"/>
  <c r="K147" i="14" s="1"/>
  <c r="K161" i="14" l="1"/>
  <c r="K166" i="14" l="1"/>
  <c r="H39" i="11" l="1"/>
  <c r="I39" i="11"/>
  <c r="J39" i="11"/>
  <c r="I40" i="11"/>
  <c r="J40" i="11"/>
  <c r="H41" i="11"/>
  <c r="I41" i="11"/>
  <c r="J41" i="11"/>
  <c r="J13" i="11"/>
  <c r="I13" i="11"/>
  <c r="H13" i="11"/>
  <c r="H83" i="11" l="1"/>
  <c r="H85" i="11" l="1"/>
  <c r="H77" i="11" l="1"/>
  <c r="J96" i="11" l="1"/>
  <c r="I96" i="11"/>
  <c r="H96" i="11"/>
  <c r="H97" i="11" s="1"/>
  <c r="J51" i="11" l="1"/>
  <c r="J86" i="11"/>
  <c r="I68" i="11"/>
  <c r="I125" i="11"/>
  <c r="I127" i="11" s="1"/>
  <c r="I130" i="11"/>
  <c r="I136" i="11" s="1"/>
  <c r="I137" i="11" s="1"/>
  <c r="I100" i="11"/>
  <c r="J68" i="11" l="1"/>
  <c r="J130" i="11" l="1"/>
  <c r="H130" i="11"/>
  <c r="J125" i="11"/>
  <c r="H125" i="11"/>
  <c r="H127" i="11" s="1"/>
  <c r="I123" i="11"/>
  <c r="I124" i="11" s="1"/>
  <c r="J123" i="11"/>
  <c r="J124" i="11" s="1"/>
  <c r="H123" i="11"/>
  <c r="H124" i="11" s="1"/>
  <c r="J115" i="11"/>
  <c r="I115" i="11"/>
  <c r="H115" i="11"/>
  <c r="H117" i="11" s="1"/>
  <c r="H121" i="11" s="1"/>
  <c r="J100" i="11"/>
  <c r="H100" i="11"/>
  <c r="H112" i="11" s="1"/>
  <c r="H94" i="11"/>
  <c r="H95" i="11" s="1"/>
  <c r="H87" i="11"/>
  <c r="I86" i="11"/>
  <c r="H86" i="11"/>
  <c r="J79" i="11"/>
  <c r="I79" i="11"/>
  <c r="I81" i="11" s="1"/>
  <c r="H79" i="11"/>
  <c r="H81" i="11" s="1"/>
  <c r="J76" i="11"/>
  <c r="I76" i="11"/>
  <c r="I78" i="11" s="1"/>
  <c r="H68" i="11"/>
  <c r="H78" i="11" s="1"/>
  <c r="J52" i="11"/>
  <c r="J67" i="11" s="1"/>
  <c r="I52" i="11"/>
  <c r="I51" i="11"/>
  <c r="I67" i="11" s="1"/>
  <c r="J50" i="11"/>
  <c r="I50" i="11"/>
  <c r="J37" i="11"/>
  <c r="I37" i="11"/>
  <c r="J36" i="11"/>
  <c r="J149" i="11" s="1"/>
  <c r="I36" i="11"/>
  <c r="I149" i="11" s="1"/>
  <c r="J35" i="11"/>
  <c r="I35" i="11"/>
  <c r="J34" i="11"/>
  <c r="H33" i="11"/>
  <c r="H32" i="11"/>
  <c r="I31" i="11"/>
  <c r="H30" i="11"/>
  <c r="I25" i="11"/>
  <c r="I146" i="11" s="1"/>
  <c r="H148" i="11" l="1"/>
  <c r="H38" i="11"/>
  <c r="J38" i="11"/>
  <c r="I38" i="11"/>
  <c r="H93" i="11"/>
  <c r="H50" i="11"/>
  <c r="J78" i="11"/>
  <c r="J146" i="11"/>
  <c r="I93" i="11"/>
  <c r="I112" i="11"/>
  <c r="I113" i="11" s="1"/>
  <c r="I157" i="11"/>
  <c r="I150" i="11"/>
  <c r="M86" i="11" l="1"/>
  <c r="N86" i="11"/>
  <c r="L86" i="11"/>
  <c r="J93" i="11" l="1"/>
  <c r="J156" i="11" l="1"/>
  <c r="J147" i="11"/>
  <c r="J150" i="11"/>
  <c r="H154" i="11"/>
  <c r="H156" i="11"/>
  <c r="H157" i="11"/>
  <c r="H113" i="11"/>
  <c r="J112" i="11"/>
  <c r="J113" i="11" s="1"/>
  <c r="H155" i="11"/>
  <c r="H147" i="11"/>
  <c r="H136" i="11"/>
  <c r="H137" i="11" s="1"/>
  <c r="J145" i="11" l="1"/>
  <c r="H128" i="11"/>
  <c r="H153" i="11"/>
  <c r="H158" i="11" s="1"/>
  <c r="J157" i="11"/>
  <c r="I156" i="11"/>
  <c r="J155" i="11"/>
  <c r="I155" i="11"/>
  <c r="J154" i="11"/>
  <c r="I154" i="11"/>
  <c r="I153" i="11" s="1"/>
  <c r="I147" i="11"/>
  <c r="I145" i="11" s="1"/>
  <c r="J136" i="11"/>
  <c r="J137" i="11" s="1"/>
  <c r="J127" i="11"/>
  <c r="J117" i="11"/>
  <c r="J121" i="11" s="1"/>
  <c r="I117" i="11"/>
  <c r="I121" i="11" s="1"/>
  <c r="J97" i="11"/>
  <c r="I97" i="11"/>
  <c r="J95" i="11"/>
  <c r="I95" i="11"/>
  <c r="J85" i="11"/>
  <c r="I85" i="11"/>
  <c r="I158" i="11" l="1"/>
  <c r="H98" i="11"/>
  <c r="H138" i="11" s="1"/>
  <c r="H139" i="11" s="1"/>
  <c r="J153" i="11"/>
  <c r="J158" i="11" s="1"/>
  <c r="J128" i="11"/>
  <c r="J81" i="11"/>
  <c r="I128" i="11"/>
  <c r="I98" i="11"/>
  <c r="I138" i="11" s="1"/>
  <c r="J98" i="11" l="1"/>
  <c r="J138" i="11" s="1"/>
  <c r="J139" i="11" s="1"/>
  <c r="I139" i="11" l="1"/>
</calcChain>
</file>

<file path=xl/comments1.xml><?xml version="1.0" encoding="utf-8"?>
<comments xmlns="http://schemas.openxmlformats.org/spreadsheetml/2006/main">
  <authors>
    <author>Audra Cepiene</author>
    <author>Indre Buteniene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186"/>
          </rPr>
          <t>KSP 2.4.2.4.</t>
        </r>
        <r>
          <rPr>
            <sz val="9"/>
            <color indexed="81"/>
            <rFont val="Tahoma"/>
            <family val="2"/>
            <charset val="186"/>
          </rPr>
          <t xml:space="preserve">
Atnaujinti miesto centre esančius fontanus įrengiant šviesos instaliacijas ar kt. efektus 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 xml:space="preserve">Eksplotuojami  fontanai: "Taravos Anikė" ir "Laivelis" Meridiano skvere. Nuo 2016 m. - Debreceno aikštės fontanas.
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>Atnaujinti gyvenamųjų kvartalų centrines aikštes ir kitas viešąsias erdves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86"/>
          </rPr>
          <t>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J34" authorId="1">
      <text>
        <r>
          <rPr>
            <sz val="9"/>
            <color indexed="81"/>
            <rFont val="Tahoma"/>
            <family val="2"/>
            <charset val="186"/>
          </rPr>
          <t>Iš viso projekto vertė 500 tūkst. lt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186"/>
          </rPr>
          <t>2.4.2.6 KSP priemonė:</t>
        </r>
        <r>
          <rPr>
            <sz val="9"/>
            <color indexed="81"/>
            <rFont val="Tahoma"/>
            <family val="2"/>
            <charset val="186"/>
          </rPr>
          <t xml:space="preserve">
Atnaujinti Atgimimo aikštės teritoriją</t>
        </r>
      </text>
    </comment>
    <comment ref="G41" author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K47" authorId="0">
      <text>
        <r>
          <rPr>
            <sz val="9"/>
            <color indexed="81"/>
            <rFont val="Tahoma"/>
            <family val="2"/>
            <charset val="186"/>
          </rPr>
          <t xml:space="preserve">Šunys, katės ir kt. gyvūnai (šeškai, paukščiai, laukiniai gyvūnai (ruoniai, šernai ir kt.)
</t>
        </r>
      </text>
    </comment>
    <comment ref="K48" authorId="0">
      <text>
        <r>
          <rPr>
            <sz val="9"/>
            <color indexed="81"/>
            <rFont val="Tahoma"/>
            <family val="2"/>
            <charset val="186"/>
          </rPr>
          <t xml:space="preserve">Pagal teisės aktus sugautus ar priimtus iš gyventojų sveikus gyvūnus (šunis ir kates) laiko </t>
        </r>
        <r>
          <rPr>
            <b/>
            <sz val="9"/>
            <color indexed="81"/>
            <rFont val="Tahoma"/>
            <family val="2"/>
            <charset val="186"/>
          </rPr>
          <t>3 paras</t>
        </r>
        <r>
          <rPr>
            <sz val="9"/>
            <color indexed="81"/>
            <rFont val="Tahoma"/>
            <family val="2"/>
            <charset val="186"/>
          </rPr>
          <t xml:space="preserve">;
užtikrina gyvūnų gaudymo, surinkimo ir karantinavimo tarnyboje laikomų gyvūnų </t>
        </r>
        <r>
          <rPr>
            <b/>
            <sz val="9"/>
            <color indexed="81"/>
            <rFont val="Tahoma"/>
            <family val="2"/>
            <charset val="186"/>
          </rPr>
          <t>šėrimą,</t>
        </r>
        <r>
          <rPr>
            <sz val="9"/>
            <color indexed="81"/>
            <rFont val="Tahoma"/>
            <family val="2"/>
            <charset val="186"/>
          </rPr>
          <t xml:space="preserve"> laikymo ar karantinavimo laikotarpiu,</t>
        </r>
        <r>
          <rPr>
            <b/>
            <sz val="9"/>
            <color indexed="81"/>
            <rFont val="Tahoma"/>
            <family val="2"/>
            <charset val="186"/>
          </rPr>
          <t xml:space="preserve"> jiems pritaikytu ėdalu</t>
        </r>
      </text>
    </comment>
    <comment ref="E51" authorId="0">
      <text>
        <r>
          <rPr>
            <sz val="9"/>
            <color indexed="81"/>
            <rFont val="Tahoma"/>
            <family val="2"/>
            <charset val="186"/>
          </rPr>
          <t>2.4.2.8
Diegti aukšto lygio paslaugų ir infrastruktūros parametrus miesto paplūdimiuose ir kitose poilsio zonose</t>
        </r>
      </text>
    </comment>
    <comment ref="K5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Viešieji tualetai Stovyklų g. 4 –21,79 m2
Viešieji tualetai I Melnragė Kopų g. 1A – 87,25 m2
;</t>
        </r>
      </text>
    </comment>
    <comment ref="E68" author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E76" authorId="0">
      <text>
        <r>
          <rPr>
            <b/>
            <sz val="9"/>
            <color indexed="81"/>
            <rFont val="Tahoma"/>
            <family val="2"/>
            <charset val="186"/>
          </rPr>
          <t>KSP 2.3.2.1</t>
        </r>
        <r>
          <rPr>
            <sz val="9"/>
            <color indexed="81"/>
            <rFont val="Tahoma"/>
            <family val="2"/>
            <charset val="186"/>
          </rPr>
          <t xml:space="preserve">
Parengti ir įgyvendinti atsinaujinančių energijos šaltinių panaudojimo plėtros planą</t>
        </r>
      </text>
    </comment>
    <comment ref="K80" authorId="0">
      <text>
        <r>
          <rPr>
            <sz val="9"/>
            <color indexed="81"/>
            <rFont val="Tahoma"/>
            <family val="2"/>
            <charset val="186"/>
          </rPr>
          <t xml:space="preserve">Iš 65 kamerų, 5 neefektyviai veikiančias kameras planuojama perkelti į kitas vietas. Lėšos skiriamos už perkėlimą
</t>
        </r>
      </text>
    </comment>
    <comment ref="E8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88" authorId="0">
      <text>
        <r>
          <rPr>
            <sz val="9"/>
            <color indexed="81"/>
            <rFont val="Tahoma"/>
            <family val="2"/>
            <charset val="186"/>
          </rPr>
          <t xml:space="preserve">1.6.3.3 . Pertvarkyti futbolo mokyklos ir baseino pastatus (taikant modernias technologijas ir atsinaujinančius energijos šaltinius), įkuriant sporto paslaugų kompleksą, skirtą įvairioms amžiaus grupėms
 </t>
        </r>
      </text>
    </comment>
    <comment ref="E89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  <r>
          <rPr>
            <b/>
            <sz val="9"/>
            <color indexed="81"/>
            <rFont val="Tahoma"/>
            <family val="2"/>
            <charset val="186"/>
          </rPr>
          <t>3.2.1.7 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 xml:space="preserve">Eksplotuojami  fontanai: "Taravos Anikė" ir "Laivelis" Meridiano skvere. Nuo 2016 m. - Debreceno aikštės fontanas.
</t>
        </r>
      </text>
    </comment>
    <comment ref="L25" authorId="0">
      <text>
        <r>
          <rPr>
            <sz val="9"/>
            <color indexed="81"/>
            <rFont val="Tahoma"/>
            <family val="2"/>
            <charset val="186"/>
          </rPr>
          <t>Informacinės kolonos prie Biržos tilto, Turizmo informacinių stendų remontas, Paplūdimių inform. sisitemos objektų remontas.</t>
        </r>
      </text>
    </comment>
    <comment ref="L27" authorId="0">
      <text>
        <r>
          <rPr>
            <sz val="9"/>
            <color indexed="81"/>
            <rFont val="Tahoma"/>
            <family val="2"/>
            <charset val="186"/>
          </rPr>
          <t>Įsigyta suoliukų ir šiukšliadėžių autobusų stotelėse ir miesto parkuose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86"/>
          </rPr>
          <t>KSP 3.2.1.7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E47" authorId="0">
      <text>
        <r>
          <rPr>
            <sz val="9"/>
            <color indexed="81"/>
            <rFont val="Tahoma"/>
            <family val="2"/>
            <charset val="186"/>
          </rPr>
          <t xml:space="preserve">Sutarties objektas – </t>
        </r>
        <r>
          <rPr>
            <b/>
            <sz val="9"/>
            <color indexed="81"/>
            <rFont val="Tahoma"/>
            <family val="2"/>
            <charset val="186"/>
          </rPr>
          <t>gyvūnų gaudymo, surinkimo, priežiūros, karantinavimo, eutanazijos ir utilizavimo paslauga</t>
        </r>
      </text>
    </comment>
    <comment ref="L47" authorId="0">
      <text>
        <r>
          <rPr>
            <sz val="9"/>
            <color indexed="81"/>
            <rFont val="Tahoma"/>
            <family val="2"/>
            <charset val="186"/>
          </rPr>
          <t xml:space="preserve">Šunys, katės ir kt. gyvūnai (šeškai, paukščiai, laukiniai gyvūnai (ruoniai, šernai ir kt.)
</t>
        </r>
      </text>
    </comment>
    <comment ref="L48" authorId="0">
      <text>
        <r>
          <rPr>
            <sz val="9"/>
            <color indexed="81"/>
            <rFont val="Tahoma"/>
            <family val="2"/>
            <charset val="186"/>
          </rPr>
          <t xml:space="preserve">Pagal teisės aktus sugautus ar priimtus iš gyventojų sveikus gyvūnus (šunis ir kates) laiko </t>
        </r>
        <r>
          <rPr>
            <b/>
            <sz val="9"/>
            <color indexed="81"/>
            <rFont val="Tahoma"/>
            <family val="2"/>
            <charset val="186"/>
          </rPr>
          <t>3 paras</t>
        </r>
        <r>
          <rPr>
            <sz val="9"/>
            <color indexed="81"/>
            <rFont val="Tahoma"/>
            <family val="2"/>
            <charset val="186"/>
          </rPr>
          <t xml:space="preserve">;
užtikrina gyvūnų gaudymo, surinkimo ir karantinavimo tarnyboje laikomų gyvūnų </t>
        </r>
        <r>
          <rPr>
            <b/>
            <sz val="9"/>
            <color indexed="81"/>
            <rFont val="Tahoma"/>
            <family val="2"/>
            <charset val="186"/>
          </rPr>
          <t>šėrimą,</t>
        </r>
        <r>
          <rPr>
            <sz val="9"/>
            <color indexed="81"/>
            <rFont val="Tahoma"/>
            <family val="2"/>
            <charset val="186"/>
          </rPr>
          <t xml:space="preserve"> laikymo ar karantinavimo laikotarpiu,</t>
        </r>
        <r>
          <rPr>
            <b/>
            <sz val="9"/>
            <color indexed="81"/>
            <rFont val="Tahoma"/>
            <family val="2"/>
            <charset val="186"/>
          </rPr>
          <t xml:space="preserve"> jiems pritaikytu ėdalu</t>
        </r>
      </text>
    </comment>
    <comment ref="J50" author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86"/>
          </rPr>
          <t>KSP 2.4.2.8</t>
        </r>
        <r>
          <rPr>
            <sz val="9"/>
            <color indexed="81"/>
            <rFont val="Tahoma"/>
            <family val="2"/>
            <charset val="186"/>
          </rPr>
          <t xml:space="preserve">
Diegti aukšto lygio paslaugų ir infrastruktūros parametrus miesto paplūdimiuose ir kitose poilsio zonose</t>
        </r>
      </text>
    </comment>
    <comment ref="L54" authorId="0">
      <text>
        <r>
          <rPr>
            <sz val="9"/>
            <color indexed="81"/>
            <rFont val="Tahoma"/>
            <family val="2"/>
            <charset val="186"/>
          </rPr>
          <t>Viešieji tualetai: Stovyklų g. 4 –21,79 m2; Kopų g. 1A (I Melnragė) – 87,25 m2;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E85" authorId="0">
      <text>
        <r>
          <rPr>
            <sz val="9"/>
            <color indexed="81"/>
            <rFont val="Tahoma"/>
            <family val="2"/>
            <charset val="186"/>
          </rPr>
          <t xml:space="preserve">pagal 2013-10-22 SPG protokolą STR3-19
</t>
        </r>
      </text>
    </comment>
    <comment ref="L89" authorId="0">
      <text>
        <r>
          <rPr>
            <sz val="9"/>
            <color indexed="81"/>
            <rFont val="Tahoma"/>
            <family val="2"/>
            <charset val="186"/>
          </rPr>
          <t xml:space="preserve">Iš 65 kamerų 5 neefektyviai veikiančias kameras planuojama perkelti į kitas vietas. Lėšos skiriamos už perkėlimą
</t>
        </r>
      </text>
    </comment>
    <comment ref="F9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96" authorId="0">
      <text>
        <r>
          <rPr>
            <sz val="9"/>
            <color indexed="81"/>
            <rFont val="Tahoma"/>
            <family val="2"/>
            <charset val="186"/>
          </rPr>
          <t>1.6.3.3 . Pertvarkyti futbolo mokyklos ir baseino pastatus (taikant modernias technologijas ir atsinaujinančius energijos šaltinius), įkuriant sporto paslaugų kompleksą, skirtą įvairioms amžiaus grupėms</t>
        </r>
        <r>
          <rPr>
            <b/>
            <sz val="9"/>
            <color indexed="81"/>
            <rFont val="Tahoma"/>
            <family val="2"/>
            <charset val="186"/>
          </rPr>
          <t xml:space="preserve">
 </t>
        </r>
      </text>
    </comment>
    <comment ref="F98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  <comment ref="E11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naujos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F1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  <r>
          <rPr>
            <b/>
            <sz val="9"/>
            <color indexed="81"/>
            <rFont val="Tahoma"/>
            <family val="2"/>
            <charset val="186"/>
          </rPr>
          <t>3.2.1.7 KSP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N16" authorId="0">
      <text>
        <r>
          <rPr>
            <sz val="9"/>
            <color indexed="81"/>
            <rFont val="Tahoma"/>
            <family val="2"/>
            <charset val="186"/>
          </rPr>
          <t xml:space="preserve">Eksplotuojami  fontanai: "Taravos Anikė" ir "Laivelis" Meridiano skvere. Nuo 2016 m. - Debreceno aikštės fontanas.
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86"/>
          </rPr>
          <t>KSP 3.2.1.7 priemonė: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2.4.2.5. KSP priemonė: </t>
        </r>
        <r>
          <rPr>
            <sz val="9"/>
            <color indexed="81"/>
            <rFont val="Tahoma"/>
            <family val="2"/>
            <charset val="186"/>
          </rPr>
          <t xml:space="preserve">Atnaujinti gyvenamųjų kvartalų centrines aikštes ir kitas viešąsias erdves
</t>
        </r>
      </text>
    </comment>
    <comment ref="E40" authorId="0">
      <text>
        <r>
          <rPr>
            <sz val="9"/>
            <color indexed="81"/>
            <rFont val="Tahoma"/>
            <family val="2"/>
            <charset val="186"/>
          </rPr>
          <t xml:space="preserve">Sutarties objektas – </t>
        </r>
        <r>
          <rPr>
            <b/>
            <sz val="9"/>
            <color indexed="81"/>
            <rFont val="Tahoma"/>
            <family val="2"/>
            <charset val="186"/>
          </rPr>
          <t>gyvūnų gaudymo, surinkimo, priežiūros, karantinavimo, eutanazijos ir utilizavimo paslauga</t>
        </r>
      </text>
    </comment>
    <comment ref="J43" authorId="0">
      <text>
        <r>
          <rPr>
            <sz val="9"/>
            <color indexed="81"/>
            <rFont val="Tahoma"/>
            <family val="2"/>
            <charset val="186"/>
          </rPr>
          <t xml:space="preserve">Rinkliavos lėšos už šunų ir kačių laikymą
</t>
        </r>
      </text>
    </comment>
    <comment ref="F45" authorId="0">
      <text>
        <r>
          <rPr>
            <b/>
            <sz val="9"/>
            <color indexed="81"/>
            <rFont val="Tahoma"/>
            <family val="2"/>
            <charset val="186"/>
          </rPr>
          <t>KSP 2.4.2.8</t>
        </r>
        <r>
          <rPr>
            <sz val="9"/>
            <color indexed="81"/>
            <rFont val="Tahoma"/>
            <family val="2"/>
            <charset val="186"/>
          </rPr>
          <t xml:space="preserve">
Diegti aukšto lygio paslaugų ir infrastruktūros parametrus miesto paplūdimiuose ir kitose poilsio zonose</t>
        </r>
      </text>
    </comment>
    <comment ref="F65" authorId="0">
      <text>
        <r>
          <rPr>
            <b/>
            <sz val="9"/>
            <color indexed="81"/>
            <rFont val="Tahoma"/>
            <family val="2"/>
            <charset val="186"/>
          </rPr>
          <t>KSP 2.3.2.5</t>
        </r>
        <r>
          <rPr>
            <sz val="9"/>
            <color indexed="81"/>
            <rFont val="Tahoma"/>
            <family val="2"/>
            <charset val="186"/>
          </rPr>
          <t xml:space="preserve">
Gerinti Klaipėdos miesto viešųjų erdvių apšvietimo efektyvumą ir kokybę</t>
        </r>
      </text>
    </comment>
    <comment ref="E78" authorId="0">
      <text>
        <r>
          <rPr>
            <sz val="9"/>
            <color indexed="81"/>
            <rFont val="Tahoma"/>
            <family val="2"/>
            <charset val="186"/>
          </rPr>
          <t xml:space="preserve">pagal 2013-10-22 SPG protokolą STR3-19
</t>
        </r>
      </text>
    </comment>
    <comment ref="F8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2.4.1.2. KSP </t>
        </r>
        <r>
          <rPr>
            <sz val="9"/>
            <color indexed="81"/>
            <rFont val="Tahoma"/>
            <family val="2"/>
            <charset val="186"/>
          </rPr>
          <t>Sutvarkyti ir pritaikyti visuomenės arba rekreaciniams poreikiams Danės upės slėnio ir žiočių teritorijas; Danės upę pritaikyti laivybai, rekonstruoti Danės upės krantines nuo Biržos tilto iki Mokyklos gatvės tilto: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89" authorId="0">
      <text>
        <r>
          <rPr>
            <sz val="9"/>
            <color indexed="81"/>
            <rFont val="Tahoma"/>
            <family val="2"/>
            <charset val="186"/>
          </rPr>
          <t>1.6.3.3 . Pertvarkyti futbolo mokyklos ir baseino pastatus (taikant modernias technologijas ir atsinaujinančius energijos šaltinius), įkuriant sporto paslaugų kompleksą, skirtą įvairioms amžiaus grupėms</t>
        </r>
        <r>
          <rPr>
            <b/>
            <sz val="9"/>
            <color indexed="81"/>
            <rFont val="Tahoma"/>
            <family val="2"/>
            <charset val="186"/>
          </rPr>
          <t xml:space="preserve">
 </t>
        </r>
      </text>
    </comment>
    <comment ref="F91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  <comment ref="E110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naujos</t>
        </r>
      </text>
    </comment>
  </commentList>
</comments>
</file>

<file path=xl/sharedStrings.xml><?xml version="1.0" encoding="utf-8"?>
<sst xmlns="http://schemas.openxmlformats.org/spreadsheetml/2006/main" count="1297" uniqueCount="359">
  <si>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</si>
  <si>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</si>
  <si>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</si>
  <si>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</si>
  <si>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</si>
  <si>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</si>
  <si>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</si>
  <si>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</si>
  <si>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</si>
  <si>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</si>
  <si>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</si>
  <si>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</si>
  <si>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</si>
  <si>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</si>
  <si>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</si>
  <si>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</si>
  <si>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</si>
  <si>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</si>
  <si>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</si>
  <si>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</si>
  <si>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</si>
  <si>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</si>
  <si>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</si>
  <si>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</si>
  <si>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</si>
  <si>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</si>
  <si>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2015-ieji metai</t>
  </si>
  <si>
    <t>SB</t>
  </si>
  <si>
    <t>MIESTO INFRASTRUKTŪROS OBJEKTŲ PRIEŽIŪROS IR MODERNIZAVIMO PROGRAMOS (NR. 07)</t>
  </si>
  <si>
    <t>03</t>
  </si>
  <si>
    <t>6</t>
  </si>
  <si>
    <t>06</t>
  </si>
  <si>
    <t>08</t>
  </si>
  <si>
    <t>Gėlynų atnaujinimas ir įrengimas</t>
  </si>
  <si>
    <t>Fontanų priežiūra, remontas ir atnaujinimas</t>
  </si>
  <si>
    <t>Miesto viešų teritorijų inventoriaus priežiūra, įrengimas ir įsigijimas</t>
  </si>
  <si>
    <t>Prižiūrima fontanų, vnt.</t>
  </si>
  <si>
    <t>04</t>
  </si>
  <si>
    <t>05</t>
  </si>
  <si>
    <t>07</t>
  </si>
  <si>
    <t>Miesto viešųjų tualetų remontas, priežiūra ir nuoma</t>
  </si>
  <si>
    <t>Nugriauta statinių, vnt.</t>
  </si>
  <si>
    <t>Prižiūrima viešųjų tualetų, vnt.</t>
  </si>
  <si>
    <t>Viešojo tualeto paslaugų teikimas Melnragės paplūdimyje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</si>
  <si>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</si>
  <si>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</si>
  <si>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</si>
  <si>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</si>
  <si>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</si>
  <si>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Gatvių ir kiemų apšvietimo galios reguliatorių įdiegimas</t>
  </si>
  <si>
    <t>Įdiegta reguliatorių, vnt.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</si>
  <si>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</si>
  <si>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</si>
  <si>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</si>
  <si>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</si>
  <si>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Senųjų kapinaičių sutvarkymas</t>
  </si>
  <si>
    <t>Išvežta mirusiųjų iš įvykio vietos, vnt.</t>
  </si>
  <si>
    <t>Mirusiųjų palaikų laikinas laikymas (saugojimas), vnt.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</si>
  <si>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</si>
  <si>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</si>
  <si>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</si>
  <si>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</si>
  <si>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</si>
  <si>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</si>
  <si>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</si>
  <si>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SB(P)</t>
  </si>
  <si>
    <t>5</t>
  </si>
  <si>
    <t>I</t>
  </si>
  <si>
    <t>ES</t>
  </si>
  <si>
    <t>LRVB</t>
  </si>
  <si>
    <t>Kt</t>
  </si>
  <si>
    <t>1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</si>
  <si>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</si>
  <si>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Prižūrima ekskrementų dėžių, vnt.</t>
  </si>
  <si>
    <t>Suvartota el. energijos, tūkst. MWh</t>
  </si>
  <si>
    <t>Aptarnaujama naminių gyvūnų ir jų savininkų duomenų bazė, vnt.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</si>
  <si>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</si>
  <si>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</si>
  <si>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</si>
  <si>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</si>
  <si>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 xml:space="preserve">05 </t>
  </si>
  <si>
    <t>Racionaliai ir taupiai naudoti energetinius išteklius savivaldybės biudžetinėse įstaigose</t>
  </si>
  <si>
    <t>Miesto aikščių, skverų ir kitų bendro naudojimo teritorijų priežiūra:</t>
  </si>
  <si>
    <t>Švaros ir tvarkos užtikrinimas bendro naudojimo teritorijose:</t>
  </si>
  <si>
    <t>Miesto paplūdimių priežiūros organizavimas:</t>
  </si>
  <si>
    <t>Miesto viešųjų erdvių ir gatvių apšvietimo užtikrinimas:</t>
  </si>
  <si>
    <t>Biudžetinių įstaigų patalpų šildymas:</t>
  </si>
  <si>
    <t xml:space="preserve">Klaipėdos skęstančiųjų gelbėjimo tarnybos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</si>
  <si>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</si>
  <si>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</si>
  <si>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</si>
  <si>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</si>
  <si>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</si>
  <si>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</si>
  <si>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</si>
  <si>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</si>
  <si>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 xml:space="preserve">Statinių, keliančių pavojų gyvybei ir sveikatai, griovimas 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</si>
  <si>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</si>
  <si>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</si>
  <si>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Strateginis tikslas 02. Kurti mieste patrauklią, švarią ir saugią gyvenamąją aplinką</t>
  </si>
  <si>
    <t>Teikti miesto gyventojams kokybiškas komunalines ir viešųjų erdvių priežiūros paslaugas</t>
  </si>
  <si>
    <t>2016-ųjų metų lėšų projektas</t>
  </si>
  <si>
    <t>2016-ieji metai</t>
  </si>
  <si>
    <t>Pirties paslaugų teikimas Smiltynės paplūdimyje</t>
  </si>
  <si>
    <t>Atsinaujinančių energijos šaltinių panaudojimo plėtros plano parengimas</t>
  </si>
  <si>
    <r>
      <t>Valoma teritorija, km</t>
    </r>
    <r>
      <rPr>
        <vertAlign val="superscript"/>
        <sz val="10"/>
        <rFont val="Times New Roman"/>
        <family val="1"/>
        <charset val="186"/>
      </rPr>
      <t>2</t>
    </r>
  </si>
  <si>
    <t>Traktoriaus įsigijimas</t>
  </si>
  <si>
    <t>Pastato Garažų g. 6 remonto darbai</t>
  </si>
  <si>
    <t>Vaikų žaidimų aikštelių paplūdimiuose įrengimas</t>
  </si>
  <si>
    <t>09</t>
  </si>
  <si>
    <t>P2.4.1.2</t>
  </si>
  <si>
    <t>P2.4.2.8</t>
  </si>
  <si>
    <t>P3.2.1.7</t>
  </si>
  <si>
    <t>Tikslinės teritorijos gyvenamųjų teritorijų ir gretimų visuomeninių erdvių tvarkymo galimybių studija</t>
  </si>
  <si>
    <t xml:space="preserve">Dokumentacijos parengimas tikslinės integruotos teritorijos projektams įgyvendinti: 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</si>
  <si>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</si>
  <si>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SB(VR)</t>
  </si>
  <si>
    <t>P1.4.3.8</t>
  </si>
  <si>
    <t>P2</t>
  </si>
  <si>
    <t>K. Donelaičio ir Kuršių aikščių sutvarkymas</t>
  </si>
  <si>
    <t>Savivaldybei priskirtų teritorijų sanitarinis valymas, parkų, skverų, žaliųjų plotų želdinimas ir aplinkotvarka</t>
  </si>
  <si>
    <t>Nuomojama kilnojamųjų tualetų švenčių metu, vnt.</t>
  </si>
  <si>
    <t>Etatų skaičius pirties priežiūrai, vnt.</t>
  </si>
  <si>
    <t>Eksploatuojama šviestuvų, tūkst. vnt.</t>
  </si>
  <si>
    <t>Suremontuota atramų, vnt.</t>
  </si>
  <si>
    <r>
      <t>Prižiūrimas daugiabučių kiemų plotas (3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</si>
  <si>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t>Papriemonės kodas</t>
  </si>
  <si>
    <t>Vykdytojas (skyrius / asmuo)</t>
  </si>
  <si>
    <t xml:space="preserve">MŪD Miesto tvarkymo skyrius </t>
  </si>
  <si>
    <t>Iš viso priemonei:</t>
  </si>
  <si>
    <t>MŪD Miesto tvarkymo skyrius</t>
  </si>
  <si>
    <r>
      <t>Prižiūrima želdynų,  km</t>
    </r>
    <r>
      <rPr>
        <vertAlign val="superscript"/>
        <sz val="10"/>
        <rFont val="Times New Roman"/>
        <family val="1"/>
        <charset val="186"/>
      </rPr>
      <t>2</t>
    </r>
  </si>
  <si>
    <t>Viešosios tvarkos skyrius</t>
  </si>
  <si>
    <t xml:space="preserve">IED Projektų skyrius  </t>
  </si>
  <si>
    <t xml:space="preserve">IED Projektų skyrius </t>
  </si>
  <si>
    <t>MŪD Miesto tvarkymo  sk.</t>
  </si>
  <si>
    <t>MŪD  Socialinės infrastruktūros skyrius</t>
  </si>
  <si>
    <t>Pakeista laidų ar kabelių, m</t>
  </si>
  <si>
    <t>2015-ųjų metų asignavimų planas</t>
  </si>
  <si>
    <t>2017-ųjų metų lėšų projektas</t>
  </si>
  <si>
    <t>2017-ieji metai</t>
  </si>
  <si>
    <t>2016-ųjų m. lėšų poreikis</t>
  </si>
  <si>
    <t>2017-ųjų m. lėšų poreikis</t>
  </si>
  <si>
    <t xml:space="preserve">Debreceno aikštės atnaujinimas </t>
  </si>
  <si>
    <t>Pempininkų aikštės atnaujinimas</t>
  </si>
  <si>
    <t>Atliktas fontano remontas, proc.</t>
  </si>
  <si>
    <t xml:space="preserve">MŪD Miesto tvarkymo sk. </t>
  </si>
  <si>
    <t xml:space="preserve">Suremontuota Danės upės krantinė nuo Biržos tilto iki įplaukos prie Jono kalnelio – 310 m, proc. 
</t>
  </si>
  <si>
    <t>MŪD Kapinių priežiūros skyrius</t>
  </si>
  <si>
    <t>Dušų įrengimas paplūdimiuose</t>
  </si>
  <si>
    <t>Konteinerinių tualetų priežiūra ir eksploatacija</t>
  </si>
  <si>
    <t>Kompiuterių įsigijimas</t>
  </si>
  <si>
    <t>Reklaminiai ir informaciniai stendai</t>
  </si>
  <si>
    <t>Atlikta Garažų g. 6 rekonstrukcijos darbų, proc.</t>
  </si>
  <si>
    <t>Atskiro nulinio laido įrengimas pagal LESTO reikalavimą gatvių apšvietimo tinklams</t>
  </si>
  <si>
    <t>Įrengtas atskiras nulinis laidas, vnt.</t>
  </si>
  <si>
    <t>Prižiūrima kapinių 2 vnt. ir senųjų kapinaičių 16 vnt.</t>
  </si>
  <si>
    <t>Nudažyta Kopgalio kapinių tvora, proc.</t>
  </si>
  <si>
    <t xml:space="preserve">Joniškės kapinių tvoros remontas </t>
  </si>
  <si>
    <t xml:space="preserve">Automobilių stovėjimo aikštelių (prie kapinių) horizontalus ženklinimas  </t>
  </si>
  <si>
    <t>Viešojo tualeto prie Lėbartų kapinių remontas</t>
  </si>
  <si>
    <t xml:space="preserve">Parengta galimybių studija, vnt. </t>
  </si>
  <si>
    <t>Laidojimo paslaugų teikimas ir kapinių priežiūros organizavimas:</t>
  </si>
  <si>
    <t>Atgimimo aikštės sutvarkymas, didinant patrauklumą investicijoms, skatinant lankytojų srautus</t>
  </si>
  <si>
    <t>P2.4.2.6</t>
  </si>
  <si>
    <t>P2.4.2.4</t>
  </si>
  <si>
    <t>P2.4.2.5</t>
  </si>
  <si>
    <t>Rekonstruotas paminklas, proc.</t>
  </si>
  <si>
    <t>Atnaujinta aikštė, proc.</t>
  </si>
  <si>
    <t>69/500</t>
  </si>
  <si>
    <t>70/500</t>
  </si>
  <si>
    <t>80</t>
  </si>
  <si>
    <t>Suremontuota šiukšliadėžių, vnt.</t>
  </si>
  <si>
    <t>Suremontuota suoliukų, vnt./m</t>
  </si>
  <si>
    <t>Projekto „Danės upės krantinės pritaikymas centrinėje Klaipėdos miesto dalyje“ įgyvendinimas</t>
  </si>
  <si>
    <t>Mėlynosios vėliavos programos koordinavimas ir įgyvendinimas</t>
  </si>
  <si>
    <t>Įgyvendinta programa, proc.</t>
  </si>
  <si>
    <t>Įsigyta suoliukų, vnt.</t>
  </si>
  <si>
    <t>55</t>
  </si>
  <si>
    <t>Įrengta automobilių laikymo aikštelė. Užbaigtumas proc.</t>
  </si>
  <si>
    <t xml:space="preserve">Integruotos stebėjimo sistemos viešose vietose nuoma ir retransliuojamo vaizdo stebėjimo paslaugos pirkimas </t>
  </si>
  <si>
    <t>Neefektyvių vaizdo stebėjimo kamerų perkėlimas į naujas vietas</t>
  </si>
  <si>
    <t>Perkeltos vaizdo stebėjimo kameros, vnt.</t>
  </si>
  <si>
    <t>Žardininkų gyvenamojo kvartalo viešosios erdvės (aikštės) šalia Taikos pr. atnaujinimas</t>
  </si>
  <si>
    <t>Parengtas tvarkybos projektas, vnt.</t>
  </si>
  <si>
    <t>Viešųjų tualetų paslaugų teikimas</t>
  </si>
  <si>
    <t>Stendų įrengimas paplūdimiuose</t>
  </si>
  <si>
    <t>Technikos įsigijimas paplūdimių tvarkymo funkcijoms atlikti</t>
  </si>
  <si>
    <t>Prižiūrima gertuvių Poilsio parke, vnt.</t>
  </si>
  <si>
    <t>Prižiūrima informacinės sistemos objektų, vnt.</t>
  </si>
  <si>
    <t>Atnaujintas Debreceno gyvenamojo rajono ženklas, proc.</t>
  </si>
  <si>
    <t>Atlikti I etapo (stotelės ir fontanų skvero atnaujinimo)  darbai, proc.</t>
  </si>
  <si>
    <t xml:space="preserve">Atlikti II etapo (centrinio tako ir teritorijos link tako į Gedminų g. atnaujinimo) darbai, proc. </t>
  </si>
  <si>
    <t xml:space="preserve">Atlikti III etapo (teritorijos šalia automobilių stovėjimo aikštelės iki Naujakiemio g. atnaujinimo) darbai, proc. </t>
  </si>
  <si>
    <r>
      <t>Valomos teritorijos plotas, km</t>
    </r>
    <r>
      <rPr>
        <vertAlign val="superscript"/>
        <sz val="10"/>
        <rFont val="Times New Roman"/>
        <family val="1"/>
        <charset val="186"/>
      </rPr>
      <t>2</t>
    </r>
  </si>
  <si>
    <t>Prižūrima gyvūnų ekskrementų dėžių, vnt.</t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</si>
  <si>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 </t>
    </r>
    <r>
      <rPr>
        <sz val="10"/>
        <rFont val="Times New Roman"/>
        <family val="1"/>
        <charset val="186"/>
      </rPr>
      <t>proc.</t>
    </r>
  </si>
  <si>
    <t>Tikslinės teritorijos gyvenamųjų teritorijų ir gretimų visuomeninių erdvių tvarkymo galimybių studijos parengimas</t>
  </si>
  <si>
    <t xml:space="preserve">Gyvenamųjų namų kiemų kompleksinio tvarkymo tikslinėje teritorijoje  techninio projekto parengimas </t>
  </si>
  <si>
    <t xml:space="preserve">Viešosios erdvės prie buvusio „Vaidilos“ kino teatro konversijjos techninio projekto parengimas </t>
  </si>
  <si>
    <r>
      <t>Atnaujinta sienos, m</t>
    </r>
    <r>
      <rPr>
        <vertAlign val="superscript"/>
        <sz val="10"/>
        <rFont val="Times New Roman"/>
        <family val="1"/>
        <charset val="186"/>
      </rPr>
      <t>2</t>
    </r>
  </si>
  <si>
    <r>
      <t>Prižiūrimas daugiabučių kiemų plotas (atliekami 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</si>
  <si>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t>Karlskronos aikštės atnaujinimas</t>
  </si>
  <si>
    <t xml:space="preserve">Paminklo 1923 m. sukilėliams senosiose miesto kapinėse (Skulptūrų parke) restauravimas </t>
  </si>
  <si>
    <t>2.4.2.5</t>
  </si>
  <si>
    <t>1015</t>
  </si>
  <si>
    <t>395/110</t>
  </si>
  <si>
    <t>1005</t>
  </si>
  <si>
    <t>1000</t>
  </si>
  <si>
    <t>1010</t>
  </si>
  <si>
    <t>Prižiūrima autobusų stotelių paviljonų, vnt.</t>
  </si>
  <si>
    <t>P1.6.3.3</t>
  </si>
  <si>
    <t>2.3.2.5</t>
  </si>
  <si>
    <t xml:space="preserve">2.3.2.1 </t>
  </si>
  <si>
    <t>Klaipėdos miesto integruotos tikslinės teritorijos vystymo programos bei joje esančių kultūros objektų rinkodaros planų parengimas</t>
  </si>
  <si>
    <t>Parengta programa, vnt.</t>
  </si>
  <si>
    <t>Parengta rinkodaros planų, vnt.</t>
  </si>
  <si>
    <t>Eur</t>
  </si>
  <si>
    <t>Planas</t>
  </si>
  <si>
    <t>2015–2017 M. KLAIPĖDOS MIESTO SAVIVALDYBĖS</t>
  </si>
  <si>
    <t>BĮ „Klaipėdos paplūdimiai“ veiklos organizavimas:</t>
  </si>
  <si>
    <t>Pastato Garažų g. 6 remontas pritaikant BĮ „Klaipėdos paplūdimiai“ veiklai</t>
  </si>
  <si>
    <t xml:space="preserve"> Herkaus Manto gatvėje esančios mūrinės sienos remontas</t>
  </si>
  <si>
    <t>Joniškės kapinių takų ir tvoros remontas</t>
  </si>
  <si>
    <t xml:space="preserve">Šîldoma įstaigų, skaičius </t>
  </si>
  <si>
    <t xml:space="preserve">Šîldoma įstaigų, skaičius  </t>
  </si>
  <si>
    <t>Atlikti  fontano „Anikė“ hidroizoliacijos darbai, proc.</t>
  </si>
  <si>
    <t>Įrengta kalėdinė eglė ir miesto papuošimo elementai, vnt.</t>
  </si>
  <si>
    <t xml:space="preserve">Įrengta dušų (Smiltynės ir II Melnragės paplūdimiuose), skaičius </t>
  </si>
  <si>
    <t xml:space="preserve">Prižiūrima stacionarių tualetų, skaičius </t>
  </si>
  <si>
    <t xml:space="preserve">Prižiūrima konteinerinių tualetų, skaičius </t>
  </si>
  <si>
    <t xml:space="preserve">Įrengta vaikų žaidimų ir sveikatingumo aikštelių, skaičius </t>
  </si>
  <si>
    <t xml:space="preserve">Įsigytas traktorius (a. g. 114), skaičius </t>
  </si>
  <si>
    <t xml:space="preserve">Įsigyta keturračių, skaičius </t>
  </si>
  <si>
    <t xml:space="preserve">Įsigytas smėlio valymo įrenginys, skaičius  </t>
  </si>
  <si>
    <t xml:space="preserve">Įsigyta stendų, skaičius </t>
  </si>
  <si>
    <t>Parengtų galimybių studijų, vnt.</t>
  </si>
  <si>
    <t xml:space="preserve">Parengta techninių projektų, skaičius </t>
  </si>
  <si>
    <t xml:space="preserve">Palaidota mirusiųjų, skaičius </t>
  </si>
  <si>
    <t>Suremontuota takų, m / tvora, vnt.</t>
  </si>
  <si>
    <t>BĮ „Klaipėdos paplūdimiai“ veiklos organizavimas</t>
  </si>
  <si>
    <t>Galimybių studijos, pritaikant II vandenvietę švietimo, sporto, saviraiškos reikmėms, parengimas</t>
  </si>
  <si>
    <t>Parengta projektų, skaičius</t>
  </si>
  <si>
    <t>Pakeista aikštės dangos, m²</t>
  </si>
  <si>
    <t>Parengta techn. projektų, skaičius</t>
  </si>
  <si>
    <t>Parengtos dokumentacijos skaičius</t>
  </si>
  <si>
    <t>Gyvūnų (šunų, kačių) indentifikavimas, beglobių  gyvūnų gaudymas, surinkimas, karantinavimas, eutanazija ir utilizavimas</t>
  </si>
  <si>
    <t>Gyvūnų (šunų, kačių) inden-tifikavimas, beglobių  gyvūnų gaudymas, surinkimas, karantinavimas, eutanazija ir utilizavimas</t>
  </si>
  <si>
    <t>Prižiūrimos gertuvės Poilsio parke, vnt.</t>
  </si>
  <si>
    <t>Atlikta fontano „Anikė“ hidroizoliacija, vnt.</t>
  </si>
  <si>
    <t>Prižiūrėta ir remontuota informacinės sistemos objektų, vnt.</t>
  </si>
  <si>
    <t>Atnaujintas Debreceno aikštės ženklas, proc.</t>
  </si>
  <si>
    <t>Atlikti I etapo (stotelės ir fontanų skvero) atnaujinimo darbai, proc.</t>
  </si>
  <si>
    <t xml:space="preserve">Atlikti II etapo (centrinio tako ir teritorijos link tako į Gedminų g.) atnaujinimo darbai, proc. </t>
  </si>
  <si>
    <t xml:space="preserve">Atlikti III etapo (teritorijos šalia automobilių stovėjimo aikštelės iki Naujakiemio g.) atnaujinimo darbai, proc. </t>
  </si>
  <si>
    <t xml:space="preserve">Parengta projektų, skaičius </t>
  </si>
  <si>
    <r>
      <t>Pakeista aikštės dangos, m</t>
    </r>
    <r>
      <rPr>
        <sz val="10"/>
        <rFont val="Calibri"/>
        <family val="2"/>
        <charset val="186"/>
      </rPr>
      <t>²</t>
    </r>
  </si>
  <si>
    <t xml:space="preserve">Įrengta vaikų žaidimo ir sveikatingumo aikštelė, skaičius </t>
  </si>
  <si>
    <t xml:space="preserve">Įsigyta kompiuterių, skaičius </t>
  </si>
  <si>
    <r>
      <t>Sutvarkytos prieigos – 500 m</t>
    </r>
    <r>
      <rPr>
        <sz val="10"/>
        <rFont val="Calibri"/>
        <family val="2"/>
        <charset val="186"/>
      </rPr>
      <t>²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proc.</t>
    </r>
  </si>
  <si>
    <t xml:space="preserve">Parengtos dokumentacijos skaičius </t>
  </si>
  <si>
    <t>Parengta programa / rinkodaros planų, vnt.</t>
  </si>
  <si>
    <t>1/2</t>
  </si>
  <si>
    <r>
      <t>Atnaujinta sienos, m</t>
    </r>
    <r>
      <rPr>
        <sz val="10"/>
        <rFont val="Calibri"/>
        <family val="2"/>
        <charset val="186"/>
      </rPr>
      <t>²</t>
    </r>
  </si>
  <si>
    <t>Pastatyta tvora, km</t>
  </si>
  <si>
    <t>Suženklinta aikštelių, vnt.</t>
  </si>
  <si>
    <t>Restauruotas paminklas, proc.</t>
  </si>
  <si>
    <t>Apskaitos kodas</t>
  </si>
  <si>
    <t xml:space="preserve"> 2015 M. KLAIPĖDOS MIESTO SAVIVALDYBĖS</t>
  </si>
  <si>
    <t>2.4.2.8</t>
  </si>
  <si>
    <t>3.2.1.4</t>
  </si>
  <si>
    <t>2015-ųjų metų asignavimų planas*</t>
  </si>
  <si>
    <t>Indėlio kriterijaus</t>
  </si>
  <si>
    <t xml:space="preserve">Paimta ir sugauta gyvūnų, vnt. </t>
  </si>
  <si>
    <t>Prižiūrėta 3 paras sveikų gyvūnų, vnt.</t>
  </si>
  <si>
    <t xml:space="preserve">Atlikta gyvūnų eutanazijų / gaišenų surinkimo skaičius, vnt. </t>
  </si>
  <si>
    <t>Parengta galimybių studija, vnt.</t>
  </si>
  <si>
    <t>Prižiūrimos 2 kapinės ir 16 senųjų kapinaičių,  vnt.</t>
  </si>
  <si>
    <t>Daugiabučių namų atnaujinimo (modernizavimo) energinio naudingumo sertifikatų bei investicijų planų parengimo paslauga</t>
  </si>
  <si>
    <t>Parengta (koreguota) investicijų planų, vnt.</t>
  </si>
  <si>
    <t>Viešųjų erdvių, gatvių ir kiemų apšvietimo tinklų išplėtimas ar įrengimas</t>
  </si>
  <si>
    <t>SB(VRL)</t>
  </si>
  <si>
    <r>
      <t xml:space="preserve">Vietinių rinkliavų lėšų likutis </t>
    </r>
    <r>
      <rPr>
        <b/>
        <sz val="10"/>
        <rFont val="Times New Roman"/>
        <family val="1"/>
        <charset val="186"/>
      </rPr>
      <t>SB(VRL)</t>
    </r>
  </si>
  <si>
    <t>07.010119</t>
  </si>
  <si>
    <t>07.010104</t>
  </si>
  <si>
    <t>07.010102</t>
  </si>
  <si>
    <t>07.010101</t>
  </si>
  <si>
    <t>07.010110</t>
  </si>
  <si>
    <t>07.010116</t>
  </si>
  <si>
    <t>07.010117</t>
  </si>
  <si>
    <t>07.413</t>
  </si>
  <si>
    <t>07.010203</t>
  </si>
  <si>
    <t>07.010204</t>
  </si>
  <si>
    <t>07.010303</t>
  </si>
  <si>
    <t>07.01030200</t>
  </si>
  <si>
    <t>07.01030202</t>
  </si>
  <si>
    <t>07.010306</t>
  </si>
  <si>
    <t xml:space="preserve">07.02020100 </t>
  </si>
  <si>
    <t>07.020202</t>
  </si>
  <si>
    <t>07.020209</t>
  </si>
  <si>
    <t>07.020211</t>
  </si>
  <si>
    <t>07.020208</t>
  </si>
  <si>
    <t xml:space="preserve">07.010401 </t>
  </si>
  <si>
    <t>07.010111</t>
  </si>
  <si>
    <t>07.010118</t>
  </si>
  <si>
    <t xml:space="preserve">07.010114 </t>
  </si>
  <si>
    <t xml:space="preserve"> 07.010115</t>
  </si>
  <si>
    <t>07.010205010</t>
  </si>
  <si>
    <t>07.01050201</t>
  </si>
  <si>
    <t>07.010501</t>
  </si>
  <si>
    <t>07.010503</t>
  </si>
  <si>
    <t xml:space="preserve"> 07.010507</t>
  </si>
  <si>
    <t>07.010508</t>
  </si>
  <si>
    <t xml:space="preserve">07.010510 </t>
  </si>
  <si>
    <t>07.010511</t>
  </si>
  <si>
    <t>07.010202</t>
  </si>
  <si>
    <t xml:space="preserve"> 07.030203</t>
  </si>
  <si>
    <t>07.020101</t>
  </si>
  <si>
    <t>07.020206</t>
  </si>
  <si>
    <t>0403</t>
  </si>
  <si>
    <t>0402</t>
  </si>
  <si>
    <t>0401</t>
  </si>
  <si>
    <t>0404</t>
  </si>
  <si>
    <t>0405</t>
  </si>
  <si>
    <t>07:</t>
  </si>
  <si>
    <t xml:space="preserve">Iš viso mieste eksploatuojama kamerų, skaičius </t>
  </si>
  <si>
    <t>Įrengta apšvietimo tinklų, (proc.): Stovyklos g. Giruliuose; aikštelės (prie įvažiavimo į Klaipėdą iš šiaurinės pusės) žemėlapio apšvietimas; I. Kanto g. 9-17 teritorijoje; praėjimo ties Liepojos g. 56. teritorijoje; gatvių atkarpose - M. Mažvydo al. 9, 9A, 11, Šaulių g. 14, 16, 20, 22, S. Daukanto g. 20, J. Karoso g. 21; Donelaičio g. ir aikštės metalinių gatvių apšvietimo atramų keitimas į dekoratyvines atramas su šviestuvais</t>
  </si>
  <si>
    <t xml:space="preserve">Savivaldybės biudžetas, iš jo: </t>
  </si>
  <si>
    <r>
      <t xml:space="preserve">Programų lėšų likučių laikinai laisvos ir apyvartinės lėšos </t>
    </r>
    <r>
      <rPr>
        <b/>
        <sz val="10"/>
        <rFont val="Times New Roman"/>
        <family val="1"/>
        <charset val="186"/>
      </rPr>
      <t>SB(L)</t>
    </r>
  </si>
  <si>
    <t>Nudažytos vidaus patalpos ir prijungta elektra, proc.</t>
  </si>
  <si>
    <t>SB(Lap)</t>
  </si>
  <si>
    <r>
      <t xml:space="preserve">Programų lėšų likučių apyvartinės lėšos </t>
    </r>
    <r>
      <rPr>
        <b/>
        <sz val="10"/>
        <rFont val="Times New Roman"/>
        <family val="1"/>
        <charset val="186"/>
      </rPr>
      <t>SB(Lap)</t>
    </r>
  </si>
  <si>
    <t>SB(SPL)</t>
  </si>
  <si>
    <r>
      <t xml:space="preserve">Specialiosios programos lėšos (pajamos už atsitiktines paslaugas, patalpų nuomą) </t>
    </r>
    <r>
      <rPr>
        <b/>
        <sz val="10"/>
        <rFont val="Times New Roman"/>
        <family val="1"/>
        <charset val="186"/>
      </rPr>
      <t>SB(SP)</t>
    </r>
  </si>
  <si>
    <r>
      <t xml:space="preserve">Pajamų įmokų už patalpų nuomą likutis </t>
    </r>
    <r>
      <rPr>
        <b/>
        <sz val="10"/>
        <rFont val="Times New Roman"/>
        <family val="1"/>
        <charset val="186"/>
      </rPr>
      <t>SB(SPL)</t>
    </r>
  </si>
  <si>
    <t>Įrengta kalėdinė eglė ir papuošimo elementai, vnt.</t>
  </si>
  <si>
    <t>Įrengta automobilių laikymo aikštelės šalia Debreceno aikštės. Užbaigtumas proc.</t>
  </si>
  <si>
    <t>MŪD BĮ „Klaipėdos paplūdimiai“</t>
  </si>
  <si>
    <t>Herkaus Manto gatvėje esančios mūrinės sienos remontas</t>
  </si>
  <si>
    <t>Atlikta apšvietimo įrengimo Stovyklos g. Giruliuose darbų, proc.</t>
  </si>
  <si>
    <t>Atlikta žemėlapio, esančio aikštelėje prie įvažiavimo į Klaipėdą iš šiaurinės pusės, apšvietimo įrengimo darbų, proc.</t>
  </si>
  <si>
    <t>Atlikta Donelaičio g. ir  Donelaičio aikštės metalinių gatvių apšvietimo atramų keitimo į dekoratyvines  atramas su šviestuvais darbų, proc.</t>
  </si>
  <si>
    <t>Lyginamasis variantas</t>
  </si>
  <si>
    <t>Atlikta apšvietimo įrengimo gatvių ruožuose — M. Mažvydo al. 9, 9A, 11, Šaulių g. 14, 16, 20, 22, S. Daukanto g. 20, J. Karoso g. 21 darbų, proc.</t>
  </si>
  <si>
    <t xml:space="preserve">Atlikta apšvietimo įrengimo gatvių ruožuose — Šiltnamių g., Senvagės g., Panevėžio g., Liepojos g. kvartalo (praėjimas ties Liepojos g. 56) darbų, proc.. </t>
  </si>
  <si>
    <t>Atlikta apšvietimo įrengimo gatvių ruožuose — Janonio g., H. Manto g., S. Daukanto g., Naujoji Uosto g. kvartalo (I. Kanto g. 9-17 teritorija) darbų, proc.</t>
  </si>
  <si>
    <t>PATVIRTINTA
Klaipėdos miesto savivaldybės administracijos direktoriaus 2015 m. vasario 27 d. įsakymu Nr. AD1-533</t>
  </si>
  <si>
    <t xml:space="preserve">* pagal Klaipėdos miesto savivaldybės tarybos sprendimą 2015-03-26 Nr. T2-28; </t>
  </si>
  <si>
    <t>Siūlomas keisti 2015-ųjų metų asignavimų planas</t>
  </si>
  <si>
    <t>Skirtumas</t>
  </si>
  <si>
    <r>
      <rPr>
        <strike/>
        <sz val="10"/>
        <color rgb="FFFF0000"/>
        <rFont val="Times New Roman"/>
        <family val="1"/>
        <charset val="186"/>
      </rPr>
      <t>Prižiūrima autobusų stotelių paviljonų, vnt.</t>
    </r>
    <r>
      <rPr>
        <sz val="10"/>
        <color rgb="FFFF0000"/>
        <rFont val="Times New Roman"/>
        <family val="1"/>
        <charset val="186"/>
      </rPr>
      <t xml:space="preserve">  Įsigyta tūrinių gėlinių, vnt.</t>
    </r>
  </si>
  <si>
    <t>Atnaujinta pavėsinė Melnragėje, vnt.</t>
  </si>
  <si>
    <t xml:space="preserve">Atnaujintas ženklas "Klaipėda" ties centriniu įvažiavimu į miestą, vnt. </t>
  </si>
  <si>
    <t>Įsigyta tūrinių gėlinių, vnt.</t>
  </si>
  <si>
    <t>Suremontuota apšvietimo atramų, vnt.</t>
  </si>
  <si>
    <t>Įdiegta ir konfiguruota objektinių modulių mikrovaldiklių plokščių, vnt</t>
  </si>
  <si>
    <t>Įsigyta ir įrengta vandens kolonėlių paplūdimiuose, vnt.</t>
  </si>
  <si>
    <t>* pagal Klaipėdos miesto savivaldybės tarybos sprendimą 2015-06-11 Nr. T2-129</t>
  </si>
  <si>
    <t xml:space="preserve">(Klaipėdos miesto savivaldybės administracijos direktoriaus 2015 m. birželio 16 d. įsakymo Nr. AD1-1796 redakcija)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</si>
</sst>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9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color theme="0"/>
      <name val="Times New Roman"/>
      <family val="1"/>
      <charset val="186"/>
    </font>
    <font>
      <sz val="10"/>
      <color theme="6" tint="-0.249977111117893"/>
      <name val="Times New Roman"/>
      <family val="1"/>
      <charset val="186"/>
    </font>
    <font>
      <sz val="10"/>
      <name val="Calibri"/>
      <family val="2"/>
      <charset val="186"/>
    </font>
    <font>
      <b/>
      <sz val="7"/>
      <name val="Times New Roman"/>
      <family val="1"/>
      <charset val="186"/>
    </font>
    <font>
      <b/>
      <sz val="11"/>
      <color rgb="FF3F3F3F"/>
      <name val="Calibri"/>
      <family val="2"/>
      <charset val="186"/>
      <scheme val="minor"/>
    </font>
    <font>
      <sz val="8"/>
      <color rgb="FF3F3F3F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</fills>
  <borders count="1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3" fillId="2" borderId="1" applyBorder="0">
      <alignment horizontal="left" vertical="top" wrapText="1"/>
    </xf>
    <xf numFmtId="0" fontId="28" fillId="12" borderId="120" applyNumberFormat="0" applyAlignment="0" applyProtection="0"/>
  </cellStyleXfs>
  <cellXfs count="1761">
    <xf numFmtId="0" fontId="0" fillId="0" borderId="0" xfId="0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center" wrapText="1"/>
    </xf>
    <xf numFmtId="0" fontId="7" fillId="0" borderId="0" xfId="0" applyFont="1"/>
    <xf numFmtId="3" fontId="3" fillId="0" borderId="16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top"/>
    </xf>
    <xf numFmtId="0" fontId="3" fillId="0" borderId="4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3" fontId="3" fillId="0" borderId="33" xfId="0" applyNumberFormat="1" applyFont="1" applyFill="1" applyBorder="1" applyAlignment="1">
      <alignment horizontal="center" vertical="top"/>
    </xf>
    <xf numFmtId="0" fontId="3" fillId="0" borderId="44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27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center" vertical="top"/>
    </xf>
    <xf numFmtId="49" fontId="5" fillId="4" borderId="5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left" vertical="top" wrapText="1"/>
    </xf>
    <xf numFmtId="0" fontId="15" fillId="2" borderId="46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top" wrapText="1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/>
    </xf>
    <xf numFmtId="0" fontId="3" fillId="0" borderId="69" xfId="0" applyFont="1" applyBorder="1" applyAlignment="1">
      <alignment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3" fontId="3" fillId="2" borderId="27" xfId="0" applyNumberFormat="1" applyFont="1" applyFill="1" applyBorder="1" applyAlignment="1">
      <alignment horizontal="center" vertical="top"/>
    </xf>
    <xf numFmtId="3" fontId="3" fillId="2" borderId="28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39" xfId="0" applyFont="1" applyBorder="1" applyAlignment="1">
      <alignment vertical="top" wrapText="1"/>
    </xf>
    <xf numFmtId="3" fontId="5" fillId="0" borderId="33" xfId="0" applyNumberFormat="1" applyFont="1" applyFill="1" applyBorder="1" applyAlignment="1">
      <alignment horizontal="center" vertical="top" wrapText="1"/>
    </xf>
    <xf numFmtId="3" fontId="5" fillId="0" borderId="27" xfId="0" applyNumberFormat="1" applyFont="1" applyFill="1" applyBorder="1" applyAlignment="1">
      <alignment horizontal="center" vertical="top" wrapText="1"/>
    </xf>
    <xf numFmtId="0" fontId="5" fillId="8" borderId="60" xfId="0" applyFont="1" applyFill="1" applyBorder="1" applyAlignment="1">
      <alignment horizontal="center" vertical="top"/>
    </xf>
    <xf numFmtId="0" fontId="5" fillId="8" borderId="65" xfId="0" applyFont="1" applyFill="1" applyBorder="1" applyAlignment="1">
      <alignment horizontal="center" vertical="top"/>
    </xf>
    <xf numFmtId="164" fontId="19" fillId="0" borderId="0" xfId="0" applyNumberFormat="1" applyFont="1" applyAlignment="1">
      <alignment vertical="top"/>
    </xf>
    <xf numFmtId="0" fontId="3" fillId="6" borderId="39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vertical="top"/>
    </xf>
    <xf numFmtId="0" fontId="3" fillId="6" borderId="9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5" fillId="8" borderId="63" xfId="0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49" fontId="5" fillId="0" borderId="51" xfId="0" applyNumberFormat="1" applyFont="1" applyBorder="1" applyAlignment="1">
      <alignment horizontal="center" vertical="top"/>
    </xf>
    <xf numFmtId="49" fontId="3" fillId="2" borderId="40" xfId="0" applyNumberFormat="1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/>
    </xf>
    <xf numFmtId="0" fontId="3" fillId="6" borderId="0" xfId="0" applyFont="1" applyFill="1" applyAlignment="1">
      <alignment vertical="top"/>
    </xf>
    <xf numFmtId="0" fontId="3" fillId="0" borderId="8" xfId="0" applyFont="1" applyFill="1" applyBorder="1" applyAlignment="1">
      <alignment horizontal="center" vertical="top" wrapText="1"/>
    </xf>
    <xf numFmtId="49" fontId="3" fillId="0" borderId="45" xfId="0" applyNumberFormat="1" applyFont="1" applyFill="1" applyBorder="1" applyAlignment="1">
      <alignment horizontal="center" vertical="top" wrapText="1"/>
    </xf>
    <xf numFmtId="49" fontId="5" fillId="11" borderId="15" xfId="0" applyNumberFormat="1" applyFont="1" applyFill="1" applyBorder="1" applyAlignment="1">
      <alignment horizontal="center" vertical="top" wrapText="1"/>
    </xf>
    <xf numFmtId="49" fontId="5" fillId="11" borderId="39" xfId="0" applyNumberFormat="1" applyFont="1" applyFill="1" applyBorder="1" applyAlignment="1">
      <alignment horizontal="center" vertical="top"/>
    </xf>
    <xf numFmtId="49" fontId="5" fillId="11" borderId="34" xfId="0" applyNumberFormat="1" applyFont="1" applyFill="1" applyBorder="1" applyAlignment="1">
      <alignment horizontal="center" vertical="top"/>
    </xf>
    <xf numFmtId="49" fontId="5" fillId="11" borderId="55" xfId="0" applyNumberFormat="1" applyFont="1" applyFill="1" applyBorder="1" applyAlignment="1">
      <alignment horizontal="center" vertical="top"/>
    </xf>
    <xf numFmtId="49" fontId="5" fillId="11" borderId="62" xfId="0" applyNumberFormat="1" applyFont="1" applyFill="1" applyBorder="1" applyAlignment="1">
      <alignment horizontal="center" vertical="top"/>
    </xf>
    <xf numFmtId="49" fontId="5" fillId="11" borderId="8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49" fontId="5" fillId="10" borderId="61" xfId="0" applyNumberFormat="1" applyFont="1" applyFill="1" applyBorder="1" applyAlignment="1">
      <alignment vertical="top"/>
    </xf>
    <xf numFmtId="49" fontId="5" fillId="10" borderId="29" xfId="0" applyNumberFormat="1" applyFont="1" applyFill="1" applyBorder="1" applyAlignment="1">
      <alignment vertical="top"/>
    </xf>
    <xf numFmtId="0" fontId="3" fillId="10" borderId="29" xfId="0" applyFont="1" applyFill="1" applyBorder="1" applyAlignment="1">
      <alignment horizontal="left" vertical="top" wrapText="1"/>
    </xf>
    <xf numFmtId="0" fontId="3" fillId="10" borderId="29" xfId="0" applyFont="1" applyFill="1" applyBorder="1" applyAlignment="1">
      <alignment horizontal="center" vertical="center" textRotation="90" wrapText="1"/>
    </xf>
    <xf numFmtId="49" fontId="3" fillId="10" borderId="29" xfId="0" applyNumberFormat="1" applyFont="1" applyFill="1" applyBorder="1" applyAlignment="1">
      <alignment horizontal="center" vertical="top" wrapText="1"/>
    </xf>
    <xf numFmtId="49" fontId="5" fillId="10" borderId="29" xfId="0" applyNumberFormat="1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0" borderId="80" xfId="0" applyFont="1" applyFill="1" applyBorder="1" applyAlignment="1">
      <alignment horizontal="center" vertical="top" wrapText="1"/>
    </xf>
    <xf numFmtId="0" fontId="3" fillId="0" borderId="84" xfId="0" applyFont="1" applyFill="1" applyBorder="1" applyAlignment="1">
      <alignment horizontal="center" vertical="top" wrapText="1"/>
    </xf>
    <xf numFmtId="0" fontId="3" fillId="0" borderId="81" xfId="0" applyFont="1" applyFill="1" applyBorder="1" applyAlignment="1">
      <alignment horizontal="left" vertical="top" wrapText="1"/>
    </xf>
    <xf numFmtId="3" fontId="3" fillId="0" borderId="82" xfId="0" applyNumberFormat="1" applyFont="1" applyFill="1" applyBorder="1" applyAlignment="1">
      <alignment horizontal="center" vertical="top" wrapText="1"/>
    </xf>
    <xf numFmtId="3" fontId="3" fillId="0" borderId="90" xfId="0" applyNumberFormat="1" applyFont="1" applyFill="1" applyBorder="1" applyAlignment="1">
      <alignment horizontal="center" vertical="top" wrapText="1"/>
    </xf>
    <xf numFmtId="0" fontId="3" fillId="2" borderId="97" xfId="0" applyFont="1" applyFill="1" applyBorder="1" applyAlignment="1">
      <alignment horizontal="center" vertical="top"/>
    </xf>
    <xf numFmtId="0" fontId="3" fillId="0" borderId="93" xfId="0" applyFont="1" applyFill="1" applyBorder="1" applyAlignment="1">
      <alignment horizontal="center" vertical="top" wrapText="1"/>
    </xf>
    <xf numFmtId="0" fontId="3" fillId="0" borderId="81" xfId="0" applyFont="1" applyFill="1" applyBorder="1" applyAlignment="1">
      <alignment vertical="top" wrapText="1"/>
    </xf>
    <xf numFmtId="0" fontId="3" fillId="0" borderId="34" xfId="0" applyFont="1" applyBorder="1" applyAlignment="1">
      <alignment vertical="top"/>
    </xf>
    <xf numFmtId="0" fontId="3" fillId="0" borderId="90" xfId="0" applyFont="1" applyBorder="1" applyAlignment="1">
      <alignment vertical="top" wrapText="1"/>
    </xf>
    <xf numFmtId="49" fontId="5" fillId="0" borderId="49" xfId="0" applyNumberFormat="1" applyFont="1" applyFill="1" applyBorder="1" applyAlignment="1">
      <alignment horizontal="center" vertical="top"/>
    </xf>
    <xf numFmtId="0" fontId="3" fillId="10" borderId="0" xfId="0" applyFont="1" applyFill="1" applyBorder="1" applyAlignment="1">
      <alignment horizontal="left" vertical="top" wrapText="1"/>
    </xf>
    <xf numFmtId="49" fontId="5" fillId="10" borderId="0" xfId="0" applyNumberFormat="1" applyFont="1" applyFill="1" applyBorder="1" applyAlignment="1">
      <alignment horizontal="center" vertical="top"/>
    </xf>
    <xf numFmtId="49" fontId="3" fillId="0" borderId="80" xfId="0" applyNumberFormat="1" applyFont="1" applyFill="1" applyBorder="1" applyAlignment="1">
      <alignment horizontal="center" vertical="top"/>
    </xf>
    <xf numFmtId="0" fontId="3" fillId="0" borderId="93" xfId="0" applyFont="1" applyFill="1" applyBorder="1" applyAlignment="1">
      <alignment horizontal="center" vertical="top"/>
    </xf>
    <xf numFmtId="3" fontId="3" fillId="0" borderId="82" xfId="0" applyNumberFormat="1" applyFont="1" applyFill="1" applyBorder="1" applyAlignment="1">
      <alignment horizontal="center" vertical="top"/>
    </xf>
    <xf numFmtId="3" fontId="3" fillId="0" borderId="90" xfId="0" applyNumberFormat="1" applyFont="1" applyFill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95" xfId="0" applyNumberFormat="1" applyFont="1" applyFill="1" applyBorder="1" applyAlignment="1">
      <alignment horizontal="center" vertical="top"/>
    </xf>
    <xf numFmtId="3" fontId="3" fillId="0" borderId="96" xfId="0" applyNumberFormat="1" applyFont="1" applyFill="1" applyBorder="1" applyAlignment="1">
      <alignment horizontal="center" vertical="top"/>
    </xf>
    <xf numFmtId="0" fontId="3" fillId="0" borderId="84" xfId="0" applyFont="1" applyFill="1" applyBorder="1" applyAlignment="1">
      <alignment horizontal="center" vertical="top"/>
    </xf>
    <xf numFmtId="0" fontId="3" fillId="0" borderId="88" xfId="0" applyFont="1" applyFill="1" applyBorder="1" applyAlignment="1">
      <alignment horizontal="left" vertical="top" wrapText="1"/>
    </xf>
    <xf numFmtId="3" fontId="3" fillId="0" borderId="86" xfId="0" applyNumberFormat="1" applyFont="1" applyFill="1" applyBorder="1" applyAlignment="1">
      <alignment horizontal="center" vertical="top"/>
    </xf>
    <xf numFmtId="3" fontId="3" fillId="0" borderId="78" xfId="0" applyNumberFormat="1" applyFont="1" applyFill="1" applyBorder="1" applyAlignment="1">
      <alignment horizontal="center" vertical="top"/>
    </xf>
    <xf numFmtId="0" fontId="7" fillId="9" borderId="34" xfId="0" applyFont="1" applyFill="1" applyBorder="1" applyAlignment="1">
      <alignment vertical="top" wrapText="1"/>
    </xf>
    <xf numFmtId="0" fontId="7" fillId="9" borderId="67" xfId="0" applyNumberFormat="1" applyFont="1" applyFill="1" applyBorder="1" applyAlignment="1">
      <alignment horizontal="center" vertical="top" wrapText="1"/>
    </xf>
    <xf numFmtId="0" fontId="16" fillId="9" borderId="67" xfId="0" applyNumberFormat="1" applyFont="1" applyFill="1" applyBorder="1" applyAlignment="1">
      <alignment horizontal="center" vertical="top"/>
    </xf>
    <xf numFmtId="0" fontId="16" fillId="9" borderId="68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0" fontId="3" fillId="0" borderId="81" xfId="0" applyFont="1" applyBorder="1" applyAlignment="1">
      <alignment horizontal="left" vertical="top" wrapText="1"/>
    </xf>
    <xf numFmtId="3" fontId="9" fillId="0" borderId="82" xfId="0" applyNumberFormat="1" applyFont="1" applyBorder="1" applyAlignment="1">
      <alignment horizontal="center" vertical="top"/>
    </xf>
    <xf numFmtId="0" fontId="3" fillId="6" borderId="81" xfId="0" applyFont="1" applyFill="1" applyBorder="1" applyAlignment="1">
      <alignment horizontal="left" vertical="top" wrapText="1"/>
    </xf>
    <xf numFmtId="3" fontId="9" fillId="6" borderId="82" xfId="0" applyNumberFormat="1" applyFont="1" applyFill="1" applyBorder="1" applyAlignment="1">
      <alignment horizontal="center" vertical="top"/>
    </xf>
    <xf numFmtId="0" fontId="3" fillId="0" borderId="15" xfId="1" applyFont="1" applyFill="1" applyBorder="1" applyAlignment="1">
      <alignment vertical="top" wrapText="1"/>
    </xf>
    <xf numFmtId="49" fontId="5" fillId="6" borderId="26" xfId="0" applyNumberFormat="1" applyFont="1" applyFill="1" applyBorder="1" applyAlignment="1">
      <alignment horizontal="center" vertical="top"/>
    </xf>
    <xf numFmtId="0" fontId="3" fillId="6" borderId="39" xfId="0" applyFont="1" applyFill="1" applyBorder="1" applyAlignment="1">
      <alignment horizontal="center" vertical="center" textRotation="90" wrapText="1"/>
    </xf>
    <xf numFmtId="49" fontId="3" fillId="6" borderId="16" xfId="0" applyNumberFormat="1" applyFont="1" applyFill="1" applyBorder="1" applyAlignment="1">
      <alignment horizontal="center" vertical="top" wrapText="1"/>
    </xf>
    <xf numFmtId="165" fontId="18" fillId="0" borderId="18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65" fontId="18" fillId="0" borderId="49" xfId="0" applyNumberFormat="1" applyFont="1" applyFill="1" applyBorder="1" applyAlignment="1">
      <alignment horizontal="center" vertical="top" wrapText="1"/>
    </xf>
    <xf numFmtId="49" fontId="5" fillId="10" borderId="49" xfId="0" applyNumberFormat="1" applyFont="1" applyFill="1" applyBorder="1" applyAlignment="1">
      <alignment horizontal="center" vertical="top"/>
    </xf>
    <xf numFmtId="165" fontId="3" fillId="0" borderId="0" xfId="0" applyNumberFormat="1" applyFont="1" applyBorder="1" applyAlignment="1">
      <alignment vertical="top"/>
    </xf>
    <xf numFmtId="3" fontId="3" fillId="0" borderId="83" xfId="0" applyNumberFormat="1" applyFont="1" applyFill="1" applyBorder="1" applyAlignment="1">
      <alignment horizontal="center" vertical="top" wrapText="1"/>
    </xf>
    <xf numFmtId="165" fontId="3" fillId="0" borderId="82" xfId="0" applyNumberFormat="1" applyFont="1" applyFill="1" applyBorder="1" applyAlignment="1">
      <alignment horizontal="center" vertical="top" wrapText="1"/>
    </xf>
    <xf numFmtId="165" fontId="3" fillId="0" borderId="90" xfId="0" applyNumberFormat="1" applyFont="1" applyFill="1" applyBorder="1" applyAlignment="1">
      <alignment horizontal="center" vertical="top" wrapText="1"/>
    </xf>
    <xf numFmtId="0" fontId="3" fillId="0" borderId="107" xfId="0" applyFont="1" applyFill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56" xfId="0" applyFont="1" applyFill="1" applyBorder="1" applyAlignment="1">
      <alignment horizontal="center" vertical="top" textRotation="90" wrapText="1"/>
    </xf>
    <xf numFmtId="0" fontId="3" fillId="0" borderId="69" xfId="0" applyFont="1" applyFill="1" applyBorder="1" applyAlignment="1">
      <alignment horizontal="center" vertical="top" textRotation="90" wrapText="1"/>
    </xf>
    <xf numFmtId="164" fontId="2" fillId="0" borderId="86" xfId="0" applyNumberFormat="1" applyFont="1" applyFill="1" applyBorder="1" applyAlignment="1">
      <alignment horizontal="center" vertical="center" wrapText="1"/>
    </xf>
    <xf numFmtId="164" fontId="2" fillId="0" borderId="78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top"/>
    </xf>
    <xf numFmtId="0" fontId="3" fillId="6" borderId="10" xfId="0" applyFont="1" applyFill="1" applyBorder="1" applyAlignment="1">
      <alignment vertical="top" wrapText="1"/>
    </xf>
    <xf numFmtId="0" fontId="3" fillId="6" borderId="90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textRotation="90" shrinkToFit="1"/>
    </xf>
    <xf numFmtId="0" fontId="3" fillId="0" borderId="4" xfId="0" applyFont="1" applyBorder="1" applyAlignment="1">
      <alignment horizontal="center" vertical="center" textRotation="90" shrinkToFit="1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04" xfId="0" applyNumberFormat="1" applyFont="1" applyFill="1" applyBorder="1" applyAlignment="1">
      <alignment horizontal="center" vertical="top" wrapText="1"/>
    </xf>
    <xf numFmtId="3" fontId="3" fillId="0" borderId="79" xfId="0" applyNumberFormat="1" applyFont="1" applyFill="1" applyBorder="1" applyAlignment="1">
      <alignment horizontal="center" vertical="top" wrapText="1"/>
    </xf>
    <xf numFmtId="49" fontId="5" fillId="0" borderId="46" xfId="0" applyNumberFormat="1" applyFont="1" applyFill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 wrapText="1"/>
    </xf>
    <xf numFmtId="3" fontId="3" fillId="6" borderId="82" xfId="0" applyNumberFormat="1" applyFont="1" applyFill="1" applyBorder="1" applyAlignment="1">
      <alignment horizontal="center" vertical="top" wrapText="1"/>
    </xf>
    <xf numFmtId="49" fontId="3" fillId="0" borderId="82" xfId="0" applyNumberFormat="1" applyFont="1" applyFill="1" applyBorder="1" applyAlignment="1">
      <alignment horizontal="center" vertical="top" wrapText="1"/>
    </xf>
    <xf numFmtId="49" fontId="3" fillId="0" borderId="90" xfId="0" applyNumberFormat="1" applyFont="1" applyFill="1" applyBorder="1" applyAlignment="1">
      <alignment horizontal="center" vertical="top" wrapText="1"/>
    </xf>
    <xf numFmtId="0" fontId="3" fillId="6" borderId="102" xfId="0" applyFont="1" applyFill="1" applyBorder="1" applyAlignment="1">
      <alignment horizontal="left" vertical="top" wrapText="1"/>
    </xf>
    <xf numFmtId="3" fontId="9" fillId="0" borderId="108" xfId="0" applyNumberFormat="1" applyFont="1" applyBorder="1" applyAlignment="1">
      <alignment horizontal="center" vertical="top" wrapText="1"/>
    </xf>
    <xf numFmtId="0" fontId="3" fillId="0" borderId="88" xfId="0" applyFont="1" applyBorder="1" applyAlignment="1">
      <alignment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3" borderId="16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3" fillId="2" borderId="47" xfId="0" applyFont="1" applyFill="1" applyBorder="1" applyAlignment="1">
      <alignment horizontal="left" vertical="top" wrapText="1"/>
    </xf>
    <xf numFmtId="49" fontId="5" fillId="3" borderId="27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3" borderId="25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0" fontId="3" fillId="0" borderId="10" xfId="1" applyFont="1" applyFill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/>
    </xf>
    <xf numFmtId="49" fontId="5" fillId="3" borderId="49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textRotation="90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6" borderId="16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3" borderId="16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6" borderId="61" xfId="0" applyNumberFormat="1" applyFont="1" applyFill="1" applyBorder="1" applyAlignment="1">
      <alignment horizontal="center" vertical="top"/>
    </xf>
    <xf numFmtId="0" fontId="5" fillId="8" borderId="4" xfId="0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49" fontId="5" fillId="0" borderId="48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8" fillId="0" borderId="4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5" fillId="3" borderId="49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top"/>
    </xf>
    <xf numFmtId="3" fontId="18" fillId="0" borderId="18" xfId="0" applyNumberFormat="1" applyFont="1" applyFill="1" applyBorder="1" applyAlignment="1">
      <alignment horizontal="center" vertical="top" wrapText="1"/>
    </xf>
    <xf numFmtId="165" fontId="18" fillId="0" borderId="90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3" fontId="3" fillId="6" borderId="20" xfId="0" applyNumberFormat="1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top"/>
    </xf>
    <xf numFmtId="3" fontId="3" fillId="6" borderId="16" xfId="0" applyNumberFormat="1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98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69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left" vertical="top" wrapText="1"/>
    </xf>
    <xf numFmtId="0" fontId="3" fillId="0" borderId="99" xfId="0" applyFont="1" applyFill="1" applyBorder="1" applyAlignment="1">
      <alignment vertical="top" wrapText="1"/>
    </xf>
    <xf numFmtId="0" fontId="3" fillId="0" borderId="8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50" xfId="0" applyFont="1" applyFill="1" applyBorder="1" applyAlignment="1">
      <alignment vertical="top" wrapText="1"/>
    </xf>
    <xf numFmtId="0" fontId="5" fillId="8" borderId="34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left" vertical="top" wrapText="1"/>
    </xf>
    <xf numFmtId="0" fontId="18" fillId="0" borderId="81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3" fontId="9" fillId="0" borderId="82" xfId="0" applyNumberFormat="1" applyFont="1" applyFill="1" applyBorder="1" applyAlignment="1">
      <alignment horizontal="center" vertical="top" wrapText="1"/>
    </xf>
    <xf numFmtId="3" fontId="9" fillId="6" borderId="36" xfId="0" applyNumberFormat="1" applyFont="1" applyFill="1" applyBorder="1" applyAlignment="1">
      <alignment horizontal="center" vertical="top" wrapText="1"/>
    </xf>
    <xf numFmtId="0" fontId="3" fillId="2" borderId="109" xfId="0" applyFont="1" applyFill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3" fillId="0" borderId="79" xfId="0" applyFont="1" applyBorder="1" applyAlignment="1">
      <alignment vertical="top" wrapText="1"/>
    </xf>
    <xf numFmtId="0" fontId="2" fillId="0" borderId="101" xfId="0" applyFont="1" applyBorder="1" applyAlignment="1">
      <alignment vertical="center" textRotation="90" wrapText="1"/>
    </xf>
    <xf numFmtId="0" fontId="3" fillId="0" borderId="17" xfId="0" applyFont="1" applyFill="1" applyBorder="1" applyAlignment="1">
      <alignment horizontal="left" vertical="top" wrapText="1"/>
    </xf>
    <xf numFmtId="0" fontId="3" fillId="6" borderId="17" xfId="0" applyFont="1" applyFill="1" applyBorder="1" applyAlignment="1">
      <alignment vertical="top" wrapText="1"/>
    </xf>
    <xf numFmtId="49" fontId="5" fillId="3" borderId="49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3" borderId="61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6" borderId="49" xfId="0" applyNumberFormat="1" applyFont="1" applyFill="1" applyBorder="1" applyAlignment="1">
      <alignment horizontal="center" vertical="top"/>
    </xf>
    <xf numFmtId="0" fontId="3" fillId="6" borderId="4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/>
    </xf>
    <xf numFmtId="49" fontId="3" fillId="0" borderId="48" xfId="0" applyNumberFormat="1" applyFont="1" applyFill="1" applyBorder="1" applyAlignment="1">
      <alignment horizontal="center" vertical="top" wrapText="1"/>
    </xf>
    <xf numFmtId="3" fontId="3" fillId="6" borderId="2" xfId="0" applyNumberFormat="1" applyFont="1" applyFill="1" applyBorder="1" applyAlignment="1">
      <alignment horizontal="center" vertical="top" wrapText="1"/>
    </xf>
    <xf numFmtId="0" fontId="3" fillId="6" borderId="26" xfId="0" applyFont="1" applyFill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 textRotation="90" wrapText="1"/>
    </xf>
    <xf numFmtId="0" fontId="3" fillId="0" borderId="34" xfId="0" applyFont="1" applyFill="1" applyBorder="1" applyAlignment="1">
      <alignment horizontal="center" vertical="top" textRotation="90" wrapText="1"/>
    </xf>
    <xf numFmtId="49" fontId="5" fillId="0" borderId="18" xfId="0" applyNumberFormat="1" applyFont="1" applyBorder="1" applyAlignment="1">
      <alignment horizontal="center" vertical="top" wrapText="1"/>
    </xf>
    <xf numFmtId="0" fontId="18" fillId="6" borderId="28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center"/>
    </xf>
    <xf numFmtId="0" fontId="3" fillId="2" borderId="41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/>
    </xf>
    <xf numFmtId="0" fontId="3" fillId="6" borderId="36" xfId="0" applyFont="1" applyFill="1" applyBorder="1" applyAlignment="1">
      <alignment horizontal="left" vertical="top" wrapText="1"/>
    </xf>
    <xf numFmtId="3" fontId="3" fillId="0" borderId="2" xfId="1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6" borderId="11" xfId="0" applyFill="1" applyBorder="1" applyAlignment="1">
      <alignment vertical="top" wrapText="1"/>
    </xf>
    <xf numFmtId="0" fontId="3" fillId="6" borderId="101" xfId="0" applyFont="1" applyFill="1" applyBorder="1" applyAlignment="1">
      <alignment horizontal="left" vertical="top" wrapText="1"/>
    </xf>
    <xf numFmtId="3" fontId="3" fillId="0" borderId="105" xfId="0" applyNumberFormat="1" applyFont="1" applyFill="1" applyBorder="1" applyAlignment="1">
      <alignment horizontal="center" vertical="top" wrapText="1"/>
    </xf>
    <xf numFmtId="3" fontId="3" fillId="6" borderId="106" xfId="0" applyNumberFormat="1" applyFont="1" applyFill="1" applyBorder="1" applyAlignment="1">
      <alignment horizontal="center" vertical="top" wrapText="1"/>
    </xf>
    <xf numFmtId="0" fontId="3" fillId="6" borderId="38" xfId="1" applyFont="1" applyFill="1" applyBorder="1" applyAlignment="1">
      <alignment vertical="top" wrapText="1"/>
    </xf>
    <xf numFmtId="3" fontId="3" fillId="6" borderId="49" xfId="1" applyNumberFormat="1" applyFont="1" applyFill="1" applyBorder="1" applyAlignment="1">
      <alignment horizontal="center" vertical="top"/>
    </xf>
    <xf numFmtId="0" fontId="3" fillId="6" borderId="15" xfId="1" applyFont="1" applyFill="1" applyBorder="1" applyAlignment="1">
      <alignment vertical="top" wrapText="1"/>
    </xf>
    <xf numFmtId="0" fontId="3" fillId="6" borderId="43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center" vertical="top"/>
    </xf>
    <xf numFmtId="0" fontId="3" fillId="0" borderId="109" xfId="0" applyFont="1" applyFill="1" applyBorder="1" applyAlignment="1">
      <alignment horizontal="center" vertical="top" wrapText="1"/>
    </xf>
    <xf numFmtId="3" fontId="18" fillId="6" borderId="83" xfId="0" applyNumberFormat="1" applyFont="1" applyFill="1" applyBorder="1" applyAlignment="1">
      <alignment horizontal="center" vertical="top" wrapText="1"/>
    </xf>
    <xf numFmtId="0" fontId="3" fillId="6" borderId="83" xfId="0" applyFont="1" applyFill="1" applyBorder="1" applyAlignment="1">
      <alignment horizontal="center" vertical="top"/>
    </xf>
    <xf numFmtId="3" fontId="18" fillId="6" borderId="90" xfId="0" applyNumberFormat="1" applyFont="1" applyFill="1" applyBorder="1" applyAlignment="1">
      <alignment horizontal="center" vertical="top" wrapText="1"/>
    </xf>
    <xf numFmtId="3" fontId="18" fillId="6" borderId="49" xfId="0" applyNumberFormat="1" applyFont="1" applyFill="1" applyBorder="1" applyAlignment="1">
      <alignment horizontal="center" vertical="top" wrapText="1"/>
    </xf>
    <xf numFmtId="0" fontId="3" fillId="6" borderId="49" xfId="0" applyFont="1" applyFill="1" applyBorder="1" applyAlignment="1">
      <alignment horizontal="center" vertical="top"/>
    </xf>
    <xf numFmtId="3" fontId="18" fillId="6" borderId="18" xfId="0" applyNumberFormat="1" applyFont="1" applyFill="1" applyBorder="1" applyAlignment="1">
      <alignment horizontal="center" vertical="top" wrapText="1"/>
    </xf>
    <xf numFmtId="0" fontId="3" fillId="0" borderId="101" xfId="0" applyFont="1" applyFill="1" applyBorder="1" applyAlignment="1">
      <alignment vertical="top" wrapText="1"/>
    </xf>
    <xf numFmtId="3" fontId="3" fillId="0" borderId="106" xfId="0" applyNumberFormat="1" applyFont="1" applyFill="1" applyBorder="1" applyAlignment="1">
      <alignment horizontal="center" vertical="top" wrapText="1"/>
    </xf>
    <xf numFmtId="49" fontId="5" fillId="0" borderId="106" xfId="0" applyNumberFormat="1" applyFont="1" applyBorder="1" applyAlignment="1">
      <alignment horizontal="center" vertical="top"/>
    </xf>
    <xf numFmtId="0" fontId="3" fillId="0" borderId="78" xfId="0" applyNumberFormat="1" applyFont="1" applyBorder="1" applyAlignment="1">
      <alignment horizontal="center" vertical="top"/>
    </xf>
    <xf numFmtId="3" fontId="3" fillId="0" borderId="96" xfId="0" applyNumberFormat="1" applyFont="1" applyFill="1" applyBorder="1" applyAlignment="1">
      <alignment horizontal="center" vertical="top" wrapText="1"/>
    </xf>
    <xf numFmtId="49" fontId="3" fillId="0" borderId="109" xfId="0" applyNumberFormat="1" applyFont="1" applyFill="1" applyBorder="1" applyAlignment="1">
      <alignment horizontal="center" vertical="top"/>
    </xf>
    <xf numFmtId="49" fontId="3" fillId="0" borderId="84" xfId="0" applyNumberFormat="1" applyFont="1" applyFill="1" applyBorder="1" applyAlignment="1">
      <alignment horizontal="center" vertical="top"/>
    </xf>
    <xf numFmtId="0" fontId="3" fillId="0" borderId="97" xfId="0" applyFont="1" applyBorder="1" applyAlignment="1">
      <alignment vertical="top" wrapText="1"/>
    </xf>
    <xf numFmtId="3" fontId="3" fillId="0" borderId="86" xfId="0" applyNumberFormat="1" applyFont="1" applyFill="1" applyBorder="1" applyAlignment="1">
      <alignment horizontal="center" vertical="top" wrapText="1"/>
    </xf>
    <xf numFmtId="0" fontId="3" fillId="0" borderId="86" xfId="0" applyNumberFormat="1" applyFont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top"/>
    </xf>
    <xf numFmtId="49" fontId="5" fillId="3" borderId="49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9" fillId="6" borderId="82" xfId="0" applyNumberFormat="1" applyFont="1" applyFill="1" applyBorder="1" applyAlignment="1">
      <alignment horizontal="center" vertical="top" wrapText="1"/>
    </xf>
    <xf numFmtId="49" fontId="3" fillId="6" borderId="82" xfId="0" applyNumberFormat="1" applyFont="1" applyFill="1" applyBorder="1" applyAlignment="1">
      <alignment horizontal="center" vertical="top" wrapText="1"/>
    </xf>
    <xf numFmtId="49" fontId="3" fillId="6" borderId="90" xfId="0" applyNumberFormat="1" applyFont="1" applyFill="1" applyBorder="1" applyAlignment="1">
      <alignment horizontal="center" vertical="top" wrapText="1"/>
    </xf>
    <xf numFmtId="49" fontId="3" fillId="6" borderId="36" xfId="1" applyNumberFormat="1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9" fillId="6" borderId="90" xfId="0" applyNumberFormat="1" applyFont="1" applyFill="1" applyBorder="1" applyAlignment="1">
      <alignment horizontal="center" vertical="top" wrapText="1"/>
    </xf>
    <xf numFmtId="3" fontId="3" fillId="2" borderId="25" xfId="0" applyNumberFormat="1" applyFont="1" applyFill="1" applyBorder="1" applyAlignment="1">
      <alignment horizontal="center" vertical="top" wrapText="1"/>
    </xf>
    <xf numFmtId="3" fontId="3" fillId="0" borderId="16" xfId="1" applyNumberFormat="1" applyFont="1" applyFill="1" applyBorder="1" applyAlignment="1">
      <alignment horizontal="center" vertical="top"/>
    </xf>
    <xf numFmtId="4" fontId="3" fillId="2" borderId="16" xfId="0" applyNumberFormat="1" applyFont="1" applyFill="1" applyBorder="1" applyAlignment="1">
      <alignment horizontal="center" vertical="top"/>
    </xf>
    <xf numFmtId="4" fontId="3" fillId="2" borderId="18" xfId="0" applyNumberFormat="1" applyFont="1" applyFill="1" applyBorder="1" applyAlignment="1">
      <alignment horizontal="center" vertical="top"/>
    </xf>
    <xf numFmtId="0" fontId="3" fillId="0" borderId="69" xfId="0" applyFont="1" applyFill="1" applyBorder="1" applyAlignment="1">
      <alignment horizontal="center" vertical="center" textRotation="90" wrapText="1"/>
    </xf>
    <xf numFmtId="49" fontId="5" fillId="3" borderId="49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0" fontId="3" fillId="0" borderId="69" xfId="0" applyFont="1" applyBorder="1" applyAlignment="1">
      <alignment horizontal="center" vertical="top"/>
    </xf>
    <xf numFmtId="49" fontId="5" fillId="11" borderId="15" xfId="0" applyNumberFormat="1" applyFont="1" applyFill="1" applyBorder="1" applyAlignment="1">
      <alignment horizontal="center" vertical="top"/>
    </xf>
    <xf numFmtId="49" fontId="5" fillId="3" borderId="2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3" fontId="3" fillId="6" borderId="9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 wrapText="1"/>
    </xf>
    <xf numFmtId="3" fontId="3" fillId="2" borderId="84" xfId="0" applyNumberFormat="1" applyFont="1" applyFill="1" applyBorder="1" applyAlignment="1">
      <alignment horizontal="right" vertical="top"/>
    </xf>
    <xf numFmtId="3" fontId="5" fillId="2" borderId="84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/>
    </xf>
    <xf numFmtId="3" fontId="5" fillId="2" borderId="9" xfId="0" applyNumberFormat="1" applyFont="1" applyFill="1" applyBorder="1" applyAlignment="1">
      <alignment horizontal="right" vertical="top"/>
    </xf>
    <xf numFmtId="3" fontId="3" fillId="2" borderId="109" xfId="0" applyNumberFormat="1" applyFont="1" applyFill="1" applyBorder="1" applyAlignment="1">
      <alignment horizontal="right" vertical="top"/>
    </xf>
    <xf numFmtId="3" fontId="5" fillId="2" borderId="109" xfId="0" applyNumberFormat="1" applyFont="1" applyFill="1" applyBorder="1" applyAlignment="1">
      <alignment horizontal="right" vertical="top"/>
    </xf>
    <xf numFmtId="3" fontId="3" fillId="2" borderId="23" xfId="0" applyNumberFormat="1" applyFont="1" applyFill="1" applyBorder="1" applyAlignment="1">
      <alignment horizontal="right" vertical="top"/>
    </xf>
    <xf numFmtId="3" fontId="5" fillId="2" borderId="23" xfId="0" applyNumberFormat="1" applyFont="1" applyFill="1" applyBorder="1" applyAlignment="1">
      <alignment horizontal="right" vertical="top"/>
    </xf>
    <xf numFmtId="3" fontId="3" fillId="2" borderId="22" xfId="0" applyNumberFormat="1" applyFont="1" applyFill="1" applyBorder="1" applyAlignment="1">
      <alignment horizontal="right" vertical="top"/>
    </xf>
    <xf numFmtId="3" fontId="3" fillId="6" borderId="22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 wrapText="1"/>
    </xf>
    <xf numFmtId="3" fontId="3" fillId="0" borderId="93" xfId="0" applyNumberFormat="1" applyFont="1" applyFill="1" applyBorder="1" applyAlignment="1">
      <alignment horizontal="right" vertical="top" wrapText="1"/>
    </xf>
    <xf numFmtId="3" fontId="3" fillId="0" borderId="93" xfId="0" applyNumberFormat="1" applyFont="1" applyFill="1" applyBorder="1" applyAlignment="1">
      <alignment horizontal="right" vertical="top"/>
    </xf>
    <xf numFmtId="3" fontId="3" fillId="2" borderId="89" xfId="0" applyNumberFormat="1" applyFont="1" applyFill="1" applyBorder="1" applyAlignment="1">
      <alignment horizontal="right" vertical="top" wrapText="1"/>
    </xf>
    <xf numFmtId="3" fontId="3" fillId="0" borderId="23" xfId="0" applyNumberFormat="1" applyFont="1" applyFill="1" applyBorder="1" applyAlignment="1">
      <alignment horizontal="right" vertical="top"/>
    </xf>
    <xf numFmtId="3" fontId="3" fillId="2" borderId="23" xfId="0" applyNumberFormat="1" applyFont="1" applyFill="1" applyBorder="1" applyAlignment="1">
      <alignment horizontal="right" vertical="top" wrapText="1"/>
    </xf>
    <xf numFmtId="3" fontId="3" fillId="2" borderId="54" xfId="0" applyNumberFormat="1" applyFont="1" applyFill="1" applyBorder="1" applyAlignment="1">
      <alignment horizontal="right" vertical="top" wrapText="1"/>
    </xf>
    <xf numFmtId="3" fontId="3" fillId="0" borderId="52" xfId="0" applyNumberFormat="1" applyFont="1" applyFill="1" applyBorder="1" applyAlignment="1">
      <alignment horizontal="right" vertical="top" wrapText="1"/>
    </xf>
    <xf numFmtId="3" fontId="3" fillId="0" borderId="39" xfId="0" applyNumberFormat="1" applyFont="1" applyFill="1" applyBorder="1" applyAlignment="1">
      <alignment horizontal="right" vertical="top" wrapText="1"/>
    </xf>
    <xf numFmtId="3" fontId="3" fillId="0" borderId="80" xfId="0" applyNumberFormat="1" applyFont="1" applyFill="1" applyBorder="1" applyAlignment="1">
      <alignment horizontal="right" vertical="top"/>
    </xf>
    <xf numFmtId="3" fontId="3" fillId="0" borderId="107" xfId="0" applyNumberFormat="1" applyFont="1" applyFill="1" applyBorder="1" applyAlignment="1">
      <alignment horizontal="right" vertical="top"/>
    </xf>
    <xf numFmtId="3" fontId="3" fillId="0" borderId="112" xfId="0" applyNumberFormat="1" applyFont="1" applyFill="1" applyBorder="1" applyAlignment="1">
      <alignment horizontal="right" vertical="top"/>
    </xf>
    <xf numFmtId="3" fontId="3" fillId="0" borderId="109" xfId="0" applyNumberFormat="1" applyFont="1" applyFill="1" applyBorder="1" applyAlignment="1">
      <alignment horizontal="right" vertical="top"/>
    </xf>
    <xf numFmtId="3" fontId="3" fillId="0" borderId="103" xfId="0" applyNumberFormat="1" applyFont="1" applyFill="1" applyBorder="1" applyAlignment="1">
      <alignment horizontal="right" vertical="top"/>
    </xf>
    <xf numFmtId="3" fontId="5" fillId="0" borderId="92" xfId="0" applyNumberFormat="1" applyFont="1" applyFill="1" applyBorder="1" applyAlignment="1">
      <alignment horizontal="right" vertical="top"/>
    </xf>
    <xf numFmtId="3" fontId="5" fillId="0" borderId="93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 wrapText="1"/>
    </xf>
    <xf numFmtId="3" fontId="3" fillId="6" borderId="48" xfId="0" applyNumberFormat="1" applyFont="1" applyFill="1" applyBorder="1" applyAlignment="1">
      <alignment horizontal="right" vertical="top" wrapText="1"/>
    </xf>
    <xf numFmtId="3" fontId="3" fillId="6" borderId="23" xfId="0" applyNumberFormat="1" applyFont="1" applyFill="1" applyBorder="1" applyAlignment="1">
      <alignment horizontal="right" vertical="top" wrapText="1"/>
    </xf>
    <xf numFmtId="3" fontId="3" fillId="0" borderId="42" xfId="0" applyNumberFormat="1" applyFont="1" applyFill="1" applyBorder="1" applyAlignment="1">
      <alignment horizontal="right" vertical="top" wrapText="1"/>
    </xf>
    <xf numFmtId="3" fontId="3" fillId="0" borderId="22" xfId="0" applyNumberFormat="1" applyFont="1" applyFill="1" applyBorder="1" applyAlignment="1">
      <alignment horizontal="right" vertical="top" wrapText="1"/>
    </xf>
    <xf numFmtId="3" fontId="3" fillId="2" borderId="45" xfId="0" applyNumberFormat="1" applyFont="1" applyFill="1" applyBorder="1" applyAlignment="1">
      <alignment horizontal="right" vertical="top" wrapText="1"/>
    </xf>
    <xf numFmtId="3" fontId="3" fillId="2" borderId="53" xfId="0" applyNumberFormat="1" applyFont="1" applyFill="1" applyBorder="1" applyAlignment="1">
      <alignment horizontal="right" vertical="top" wrapText="1"/>
    </xf>
    <xf numFmtId="3" fontId="3" fillId="2" borderId="52" xfId="0" applyNumberFormat="1" applyFont="1" applyFill="1" applyBorder="1" applyAlignment="1">
      <alignment horizontal="right" vertical="top" wrapText="1"/>
    </xf>
    <xf numFmtId="3" fontId="5" fillId="8" borderId="60" xfId="0" applyNumberFormat="1" applyFont="1" applyFill="1" applyBorder="1" applyAlignment="1">
      <alignment horizontal="right" vertical="top"/>
    </xf>
    <xf numFmtId="3" fontId="5" fillId="8" borderId="58" xfId="0" applyNumberFormat="1" applyFont="1" applyFill="1" applyBorder="1" applyAlignment="1">
      <alignment horizontal="right" vertical="top"/>
    </xf>
    <xf numFmtId="3" fontId="3" fillId="2" borderId="40" xfId="0" applyNumberFormat="1" applyFont="1" applyFill="1" applyBorder="1" applyAlignment="1">
      <alignment horizontal="right" vertical="top" wrapText="1"/>
    </xf>
    <xf numFmtId="3" fontId="3" fillId="2" borderId="43" xfId="0" applyNumberFormat="1" applyFont="1" applyFill="1" applyBorder="1" applyAlignment="1">
      <alignment horizontal="right" vertical="top" wrapText="1"/>
    </xf>
    <xf numFmtId="3" fontId="5" fillId="8" borderId="66" xfId="0" applyNumberFormat="1" applyFont="1" applyFill="1" applyBorder="1" applyAlignment="1">
      <alignment horizontal="right" vertical="top"/>
    </xf>
    <xf numFmtId="3" fontId="3" fillId="2" borderId="22" xfId="0" applyNumberFormat="1" applyFont="1" applyFill="1" applyBorder="1" applyAlignment="1">
      <alignment horizontal="right" vertical="top" wrapText="1"/>
    </xf>
    <xf numFmtId="3" fontId="3" fillId="0" borderId="43" xfId="0" applyNumberFormat="1" applyFont="1" applyFill="1" applyBorder="1" applyAlignment="1">
      <alignment horizontal="right" vertical="top" wrapText="1"/>
    </xf>
    <xf numFmtId="3" fontId="5" fillId="6" borderId="9" xfId="0" applyNumberFormat="1" applyFont="1" applyFill="1" applyBorder="1" applyAlignment="1">
      <alignment horizontal="right" vertical="top"/>
    </xf>
    <xf numFmtId="3" fontId="5" fillId="6" borderId="0" xfId="0" applyNumberFormat="1" applyFont="1" applyFill="1" applyBorder="1" applyAlignment="1">
      <alignment horizontal="right" vertical="top"/>
    </xf>
    <xf numFmtId="3" fontId="5" fillId="3" borderId="24" xfId="0" applyNumberFormat="1" applyFont="1" applyFill="1" applyBorder="1" applyAlignment="1">
      <alignment horizontal="right" vertical="top"/>
    </xf>
    <xf numFmtId="0" fontId="5" fillId="8" borderId="60" xfId="0" applyFont="1" applyFill="1" applyBorder="1" applyAlignment="1">
      <alignment vertical="center"/>
    </xf>
    <xf numFmtId="3" fontId="5" fillId="8" borderId="63" xfId="0" applyNumberFormat="1" applyFont="1" applyFill="1" applyBorder="1" applyAlignment="1">
      <alignment horizontal="right" vertical="top"/>
    </xf>
    <xf numFmtId="3" fontId="5" fillId="3" borderId="21" xfId="0" applyNumberFormat="1" applyFont="1" applyFill="1" applyBorder="1" applyAlignment="1">
      <alignment horizontal="right" vertical="top"/>
    </xf>
    <xf numFmtId="3" fontId="5" fillId="8" borderId="65" xfId="0" applyNumberFormat="1" applyFont="1" applyFill="1" applyBorder="1" applyAlignment="1">
      <alignment horizontal="right" vertical="top"/>
    </xf>
    <xf numFmtId="3" fontId="5" fillId="8" borderId="35" xfId="0" applyNumberFormat="1" applyFont="1" applyFill="1" applyBorder="1" applyAlignment="1">
      <alignment horizontal="right" vertical="top"/>
    </xf>
    <xf numFmtId="3" fontId="5" fillId="4" borderId="7" xfId="0" applyNumberFormat="1" applyFont="1" applyFill="1" applyBorder="1" applyAlignment="1">
      <alignment horizontal="right" vertical="top"/>
    </xf>
    <xf numFmtId="3" fontId="3" fillId="0" borderId="23" xfId="0" applyNumberFormat="1" applyFont="1" applyBorder="1" applyAlignment="1">
      <alignment horizontal="right" vertical="top"/>
    </xf>
    <xf numFmtId="3" fontId="5" fillId="4" borderId="23" xfId="0" applyNumberFormat="1" applyFont="1" applyFill="1" applyBorder="1" applyAlignment="1">
      <alignment horizontal="right" vertical="top"/>
    </xf>
    <xf numFmtId="3" fontId="5" fillId="5" borderId="65" xfId="0" applyNumberFormat="1" applyFont="1" applyFill="1" applyBorder="1" applyAlignment="1">
      <alignment horizontal="right" vertical="top"/>
    </xf>
    <xf numFmtId="49" fontId="5" fillId="0" borderId="26" xfId="0" applyNumberFormat="1" applyFont="1" applyBorder="1" applyAlignment="1">
      <alignment horizontal="center" vertical="top"/>
    </xf>
    <xf numFmtId="0" fontId="3" fillId="2" borderId="6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6" borderId="108" xfId="0" applyFont="1" applyFill="1" applyBorder="1" applyAlignment="1">
      <alignment vertical="top" wrapText="1"/>
    </xf>
    <xf numFmtId="0" fontId="3" fillId="6" borderId="83" xfId="0" applyFont="1" applyFill="1" applyBorder="1" applyAlignment="1">
      <alignment vertical="top" wrapText="1"/>
    </xf>
    <xf numFmtId="0" fontId="3" fillId="6" borderId="111" xfId="0" applyFont="1" applyFill="1" applyBorder="1" applyAlignment="1">
      <alignment vertical="top" wrapText="1"/>
    </xf>
    <xf numFmtId="0" fontId="3" fillId="0" borderId="81" xfId="0" applyFont="1" applyFill="1" applyBorder="1" applyAlignment="1">
      <alignment horizontal="center" vertical="center" textRotation="90" wrapText="1"/>
    </xf>
    <xf numFmtId="49" fontId="5" fillId="0" borderId="90" xfId="0" applyNumberFormat="1" applyFont="1" applyBorder="1" applyAlignment="1">
      <alignment horizontal="center" vertical="top"/>
    </xf>
    <xf numFmtId="0" fontId="3" fillId="0" borderId="101" xfId="0" applyFont="1" applyFill="1" applyBorder="1" applyAlignment="1">
      <alignment horizontal="center" vertical="center" textRotation="90" wrapText="1"/>
    </xf>
    <xf numFmtId="0" fontId="3" fillId="0" borderId="102" xfId="0" applyFont="1" applyFill="1" applyBorder="1" applyAlignment="1">
      <alignment horizontal="center" vertical="center" textRotation="90" wrapText="1"/>
    </xf>
    <xf numFmtId="49" fontId="5" fillId="0" borderId="79" xfId="0" applyNumberFormat="1" applyFont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textRotation="90"/>
    </xf>
    <xf numFmtId="49" fontId="3" fillId="0" borderId="9" xfId="0" applyNumberFormat="1" applyFont="1" applyFill="1" applyBorder="1" applyAlignment="1">
      <alignment horizontal="center" vertical="top"/>
    </xf>
    <xf numFmtId="0" fontId="3" fillId="6" borderId="17" xfId="0" applyFont="1" applyFill="1" applyBorder="1" applyAlignment="1">
      <alignment horizontal="left" vertical="top" wrapText="1"/>
    </xf>
    <xf numFmtId="164" fontId="3" fillId="2" borderId="30" xfId="0" applyNumberFormat="1" applyFont="1" applyFill="1" applyBorder="1" applyAlignment="1">
      <alignment horizontal="left" vertical="top" wrapText="1"/>
    </xf>
    <xf numFmtId="0" fontId="3" fillId="0" borderId="33" xfId="0" applyNumberFormat="1" applyFont="1" applyFill="1" applyBorder="1" applyAlignment="1">
      <alignment horizontal="center" vertical="top"/>
    </xf>
    <xf numFmtId="0" fontId="3" fillId="0" borderId="48" xfId="0" applyNumberFormat="1" applyFont="1" applyFill="1" applyBorder="1" applyAlignment="1">
      <alignment horizontal="center" vertical="top"/>
    </xf>
    <xf numFmtId="0" fontId="3" fillId="0" borderId="96" xfId="0" applyFont="1" applyBorder="1" applyAlignment="1">
      <alignment vertical="top" wrapText="1"/>
    </xf>
    <xf numFmtId="0" fontId="2" fillId="0" borderId="94" xfId="0" applyFont="1" applyBorder="1" applyAlignment="1">
      <alignment textRotation="90"/>
    </xf>
    <xf numFmtId="0" fontId="0" fillId="0" borderId="31" xfId="0" applyBorder="1" applyAlignment="1">
      <alignment horizontal="center" vertical="top"/>
    </xf>
    <xf numFmtId="49" fontId="3" fillId="0" borderId="93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3" fontId="3" fillId="8" borderId="69" xfId="0" applyNumberFormat="1" applyFont="1" applyFill="1" applyBorder="1" applyAlignment="1">
      <alignment horizontal="right" vertical="top"/>
    </xf>
    <xf numFmtId="3" fontId="3" fillId="8" borderId="39" xfId="0" applyNumberFormat="1" applyFont="1" applyFill="1" applyBorder="1" applyAlignment="1">
      <alignment horizontal="right" vertical="top"/>
    </xf>
    <xf numFmtId="3" fontId="3" fillId="8" borderId="39" xfId="0" applyNumberFormat="1" applyFont="1" applyFill="1" applyBorder="1" applyAlignment="1">
      <alignment horizontal="right" vertical="top" wrapText="1"/>
    </xf>
    <xf numFmtId="3" fontId="3" fillId="8" borderId="97" xfId="0" applyNumberFormat="1" applyFont="1" applyFill="1" applyBorder="1" applyAlignment="1">
      <alignment horizontal="right" vertical="top"/>
    </xf>
    <xf numFmtId="3" fontId="3" fillId="8" borderId="103" xfId="0" applyNumberFormat="1" applyFont="1" applyFill="1" applyBorder="1" applyAlignment="1">
      <alignment horizontal="right" vertical="top"/>
    </xf>
    <xf numFmtId="3" fontId="3" fillId="8" borderId="74" xfId="0" applyNumberFormat="1" applyFont="1" applyFill="1" applyBorder="1" applyAlignment="1">
      <alignment horizontal="right" vertical="top"/>
    </xf>
    <xf numFmtId="3" fontId="5" fillId="2" borderId="22" xfId="0" applyNumberFormat="1" applyFont="1" applyFill="1" applyBorder="1" applyAlignment="1">
      <alignment horizontal="right" vertical="top"/>
    </xf>
    <xf numFmtId="3" fontId="3" fillId="8" borderId="74" xfId="0" applyNumberFormat="1" applyFont="1" applyFill="1" applyBorder="1" applyAlignment="1">
      <alignment horizontal="right" vertical="top" wrapText="1"/>
    </xf>
    <xf numFmtId="3" fontId="3" fillId="8" borderId="56" xfId="0" applyNumberFormat="1" applyFont="1" applyFill="1" applyBorder="1" applyAlignment="1">
      <alignment horizontal="right" vertical="top"/>
    </xf>
    <xf numFmtId="3" fontId="3" fillId="8" borderId="80" xfId="0" applyNumberFormat="1" applyFont="1" applyFill="1" applyBorder="1" applyAlignment="1">
      <alignment horizontal="right" vertical="top"/>
    </xf>
    <xf numFmtId="3" fontId="3" fillId="0" borderId="80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Border="1" applyAlignment="1">
      <alignment horizontal="right" vertical="top"/>
    </xf>
    <xf numFmtId="3" fontId="5" fillId="8" borderId="29" xfId="0" applyNumberFormat="1" applyFont="1" applyFill="1" applyBorder="1" applyAlignment="1">
      <alignment horizontal="right" vertical="top"/>
    </xf>
    <xf numFmtId="3" fontId="3" fillId="8" borderId="69" xfId="0" applyNumberFormat="1" applyFont="1" applyFill="1" applyBorder="1" applyAlignment="1">
      <alignment horizontal="right" vertical="top" wrapText="1"/>
    </xf>
    <xf numFmtId="3" fontId="3" fillId="8" borderId="92" xfId="0" applyNumberFormat="1" applyFont="1" applyFill="1" applyBorder="1" applyAlignment="1">
      <alignment horizontal="right" vertical="top" wrapText="1"/>
    </xf>
    <xf numFmtId="3" fontId="5" fillId="8" borderId="0" xfId="0" applyNumberFormat="1" applyFont="1" applyFill="1" applyBorder="1" applyAlignment="1">
      <alignment horizontal="right" vertical="top"/>
    </xf>
    <xf numFmtId="3" fontId="5" fillId="8" borderId="9" xfId="0" applyNumberFormat="1" applyFont="1" applyFill="1" applyBorder="1" applyAlignment="1">
      <alignment horizontal="right" vertical="top"/>
    </xf>
    <xf numFmtId="3" fontId="3" fillId="8" borderId="45" xfId="0" applyNumberFormat="1" applyFont="1" applyFill="1" applyBorder="1" applyAlignment="1">
      <alignment horizontal="right" vertical="top" wrapText="1"/>
    </xf>
    <xf numFmtId="3" fontId="3" fillId="6" borderId="45" xfId="0" applyNumberFormat="1" applyFont="1" applyFill="1" applyBorder="1" applyAlignment="1">
      <alignment horizontal="right" vertical="top" wrapText="1"/>
    </xf>
    <xf numFmtId="3" fontId="3" fillId="6" borderId="75" xfId="0" applyNumberFormat="1" applyFont="1" applyFill="1" applyBorder="1" applyAlignment="1">
      <alignment horizontal="right" vertical="top" wrapText="1"/>
    </xf>
    <xf numFmtId="3" fontId="3" fillId="8" borderId="23" xfId="0" applyNumberFormat="1" applyFont="1" applyFill="1" applyBorder="1" applyAlignment="1">
      <alignment horizontal="right" vertical="top" wrapText="1"/>
    </xf>
    <xf numFmtId="3" fontId="3" fillId="8" borderId="23" xfId="0" applyNumberFormat="1" applyFont="1" applyFill="1" applyBorder="1" applyAlignment="1">
      <alignment horizontal="right" vertical="top"/>
    </xf>
    <xf numFmtId="3" fontId="3" fillId="8" borderId="9" xfId="0" applyNumberFormat="1" applyFont="1" applyFill="1" applyBorder="1" applyAlignment="1">
      <alignment horizontal="right" vertical="top" wrapText="1"/>
    </xf>
    <xf numFmtId="3" fontId="25" fillId="8" borderId="80" xfId="0" applyNumberFormat="1" applyFont="1" applyFill="1" applyBorder="1" applyAlignment="1">
      <alignment horizontal="right" vertical="top" wrapText="1"/>
    </xf>
    <xf numFmtId="3" fontId="25" fillId="8" borderId="107" xfId="0" applyNumberFormat="1" applyFont="1" applyFill="1" applyBorder="1" applyAlignment="1">
      <alignment horizontal="right" vertical="top" wrapText="1"/>
    </xf>
    <xf numFmtId="3" fontId="25" fillId="8" borderId="9" xfId="0" applyNumberFormat="1" applyFont="1" applyFill="1" applyBorder="1" applyAlignment="1">
      <alignment horizontal="right" vertical="top" wrapText="1"/>
    </xf>
    <xf numFmtId="3" fontId="25" fillId="8" borderId="109" xfId="0" applyNumberFormat="1" applyFont="1" applyFill="1" applyBorder="1" applyAlignment="1">
      <alignment horizontal="right" vertical="top" wrapText="1"/>
    </xf>
    <xf numFmtId="3" fontId="25" fillId="8" borderId="93" xfId="0" applyNumberFormat="1" applyFont="1" applyFill="1" applyBorder="1" applyAlignment="1">
      <alignment horizontal="right" vertical="top" wrapText="1"/>
    </xf>
    <xf numFmtId="3" fontId="5" fillId="8" borderId="34" xfId="0" applyNumberFormat="1" applyFont="1" applyFill="1" applyBorder="1" applyAlignment="1">
      <alignment horizontal="right" vertical="top"/>
    </xf>
    <xf numFmtId="3" fontId="3" fillId="8" borderId="40" xfId="0" applyNumberFormat="1" applyFont="1" applyFill="1" applyBorder="1" applyAlignment="1">
      <alignment horizontal="right" vertical="top" wrapText="1"/>
    </xf>
    <xf numFmtId="3" fontId="3" fillId="8" borderId="48" xfId="0" applyNumberFormat="1" applyFont="1" applyFill="1" applyBorder="1" applyAlignment="1">
      <alignment horizontal="right" vertical="top" wrapText="1"/>
    </xf>
    <xf numFmtId="3" fontId="3" fillId="8" borderId="76" xfId="0" applyNumberFormat="1" applyFont="1" applyFill="1" applyBorder="1" applyAlignment="1">
      <alignment horizontal="right" vertical="top" wrapText="1"/>
    </xf>
    <xf numFmtId="3" fontId="5" fillId="8" borderId="72" xfId="0" applyNumberFormat="1" applyFont="1" applyFill="1" applyBorder="1" applyAlignment="1">
      <alignment horizontal="right" vertical="top"/>
    </xf>
    <xf numFmtId="3" fontId="3" fillId="8" borderId="7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64" xfId="0" applyNumberFormat="1" applyFont="1" applyFill="1" applyBorder="1" applyAlignment="1">
      <alignment horizontal="right" vertical="top"/>
    </xf>
    <xf numFmtId="3" fontId="3" fillId="0" borderId="48" xfId="0" applyNumberFormat="1" applyFont="1" applyFill="1" applyBorder="1" applyAlignment="1">
      <alignment horizontal="right" vertical="top"/>
    </xf>
    <xf numFmtId="3" fontId="3" fillId="0" borderId="97" xfId="0" applyNumberFormat="1" applyFont="1" applyFill="1" applyBorder="1" applyAlignment="1">
      <alignment horizontal="right" vertical="top"/>
    </xf>
    <xf numFmtId="3" fontId="3" fillId="8" borderId="93" xfId="0" applyNumberFormat="1" applyFont="1" applyFill="1" applyBorder="1" applyAlignment="1">
      <alignment horizontal="right" vertical="top"/>
    </xf>
    <xf numFmtId="3" fontId="3" fillId="8" borderId="9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8" borderId="22" xfId="0" applyNumberFormat="1" applyFont="1" applyFill="1" applyBorder="1" applyAlignment="1">
      <alignment horizontal="right" vertical="top"/>
    </xf>
    <xf numFmtId="3" fontId="3" fillId="8" borderId="22" xfId="0" applyNumberFormat="1" applyFont="1" applyFill="1" applyBorder="1" applyAlignment="1">
      <alignment horizontal="right" vertical="top" wrapText="1"/>
    </xf>
    <xf numFmtId="3" fontId="3" fillId="8" borderId="7" xfId="0" applyNumberFormat="1" applyFont="1" applyFill="1" applyBorder="1" applyAlignment="1">
      <alignment horizontal="right" vertical="top" wrapText="1"/>
    </xf>
    <xf numFmtId="3" fontId="3" fillId="6" borderId="7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86" xfId="0" applyFont="1" applyBorder="1" applyAlignment="1">
      <alignment horizontal="center" vertical="top"/>
    </xf>
    <xf numFmtId="0" fontId="3" fillId="0" borderId="78" xfId="0" applyFont="1" applyBorder="1" applyAlignment="1">
      <alignment horizontal="center" vertical="top"/>
    </xf>
    <xf numFmtId="49" fontId="3" fillId="6" borderId="17" xfId="0" applyNumberFormat="1" applyFont="1" applyFill="1" applyBorder="1" applyAlignment="1">
      <alignment horizontal="center" vertical="top" wrapText="1"/>
    </xf>
    <xf numFmtId="3" fontId="3" fillId="6" borderId="18" xfId="0" applyNumberFormat="1" applyFont="1" applyFill="1" applyBorder="1" applyAlignment="1">
      <alignment horizontal="center" vertical="top" wrapText="1"/>
    </xf>
    <xf numFmtId="3" fontId="3" fillId="6" borderId="17" xfId="0" applyNumberFormat="1" applyFont="1" applyFill="1" applyBorder="1" applyAlignment="1">
      <alignment horizontal="center" vertical="top" wrapText="1"/>
    </xf>
    <xf numFmtId="3" fontId="3" fillId="6" borderId="25" xfId="1" applyNumberFormat="1" applyFont="1" applyFill="1" applyBorder="1" applyAlignment="1">
      <alignment horizontal="center" vertical="top"/>
    </xf>
    <xf numFmtId="3" fontId="3" fillId="6" borderId="25" xfId="0" applyNumberFormat="1" applyFont="1" applyFill="1" applyBorder="1" applyAlignment="1">
      <alignment horizontal="center" vertical="top" wrapText="1"/>
    </xf>
    <xf numFmtId="3" fontId="3" fillId="6" borderId="26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3" fontId="3" fillId="8" borderId="9" xfId="0" applyNumberFormat="1" applyFont="1" applyFill="1" applyBorder="1" applyAlignment="1">
      <alignment horizontal="right"/>
    </xf>
    <xf numFmtId="3" fontId="5" fillId="9" borderId="67" xfId="0" applyNumberFormat="1" applyFont="1" applyFill="1" applyBorder="1" applyAlignment="1">
      <alignment horizontal="right" vertical="top"/>
    </xf>
    <xf numFmtId="3" fontId="5" fillId="9" borderId="24" xfId="0" applyNumberFormat="1" applyFont="1" applyFill="1" applyBorder="1" applyAlignment="1">
      <alignment horizontal="right" vertical="top"/>
    </xf>
    <xf numFmtId="3" fontId="5" fillId="8" borderId="66" xfId="0" applyNumberFormat="1" applyFont="1" applyFill="1" applyBorder="1" applyAlignment="1">
      <alignment horizontal="right" vertical="center"/>
    </xf>
    <xf numFmtId="3" fontId="5" fillId="8" borderId="60" xfId="0" applyNumberFormat="1" applyFont="1" applyFill="1" applyBorder="1" applyAlignment="1">
      <alignment horizontal="right" vertical="center"/>
    </xf>
    <xf numFmtId="3" fontId="5" fillId="8" borderId="63" xfId="0" applyNumberFormat="1" applyFont="1" applyFill="1" applyBorder="1" applyAlignment="1">
      <alignment horizontal="right" vertical="center"/>
    </xf>
    <xf numFmtId="3" fontId="5" fillId="3" borderId="67" xfId="0" applyNumberFormat="1" applyFont="1" applyFill="1" applyBorder="1" applyAlignment="1">
      <alignment horizontal="right" vertical="center"/>
    </xf>
    <xf numFmtId="3" fontId="5" fillId="3" borderId="24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5" fontId="3" fillId="0" borderId="16" xfId="0" applyNumberFormat="1" applyFont="1" applyFill="1" applyBorder="1" applyAlignment="1">
      <alignment horizontal="center" vertical="top" textRotation="90"/>
    </xf>
    <xf numFmtId="3" fontId="3" fillId="6" borderId="76" xfId="0" applyNumberFormat="1" applyFont="1" applyFill="1" applyBorder="1" applyAlignment="1">
      <alignment horizontal="right" vertical="top" wrapText="1"/>
    </xf>
    <xf numFmtId="3" fontId="5" fillId="3" borderId="67" xfId="0" applyNumberFormat="1" applyFont="1" applyFill="1" applyBorder="1" applyAlignment="1">
      <alignment horizontal="right" vertical="top"/>
    </xf>
    <xf numFmtId="3" fontId="5" fillId="11" borderId="24" xfId="0" applyNumberFormat="1" applyFont="1" applyFill="1" applyBorder="1" applyAlignment="1">
      <alignment horizontal="right" vertical="top"/>
    </xf>
    <xf numFmtId="3" fontId="5" fillId="4" borderId="24" xfId="0" applyNumberFormat="1" applyFont="1" applyFill="1" applyBorder="1" applyAlignment="1">
      <alignment horizontal="right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6" borderId="27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3" borderId="25" xfId="0" applyNumberFormat="1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10" xfId="1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5" fontId="3" fillId="0" borderId="18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49" fontId="5" fillId="11" borderId="11" xfId="0" applyNumberFormat="1" applyFont="1" applyFill="1" applyBorder="1" applyAlignment="1">
      <alignment horizontal="center" vertical="top" wrapText="1"/>
    </xf>
    <xf numFmtId="49" fontId="5" fillId="0" borderId="61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3" fillId="2" borderId="108" xfId="0" applyFont="1" applyFill="1" applyBorder="1" applyAlignment="1">
      <alignment horizontal="left" vertical="top" wrapText="1"/>
    </xf>
    <xf numFmtId="4" fontId="3" fillId="2" borderId="20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3" fillId="0" borderId="101" xfId="0" applyFont="1" applyFill="1" applyBorder="1" applyAlignment="1">
      <alignment horizontal="left" vertical="top" wrapText="1"/>
    </xf>
    <xf numFmtId="0" fontId="3" fillId="0" borderId="102" xfId="0" applyFont="1" applyFill="1" applyBorder="1" applyAlignment="1">
      <alignment horizontal="left" vertical="top" wrapText="1"/>
    </xf>
    <xf numFmtId="3" fontId="3" fillId="0" borderId="54" xfId="0" applyNumberFormat="1" applyFont="1" applyFill="1" applyBorder="1" applyAlignment="1">
      <alignment horizontal="right" vertical="top" wrapText="1"/>
    </xf>
    <xf numFmtId="3" fontId="3" fillId="0" borderId="52" xfId="0" applyNumberFormat="1" applyFont="1" applyFill="1" applyBorder="1" applyAlignment="1">
      <alignment horizontal="right" vertical="top"/>
    </xf>
    <xf numFmtId="49" fontId="3" fillId="6" borderId="18" xfId="0" applyNumberFormat="1" applyFont="1" applyFill="1" applyBorder="1" applyAlignment="1">
      <alignment horizontal="center" vertical="top" wrapText="1"/>
    </xf>
    <xf numFmtId="0" fontId="3" fillId="6" borderId="81" xfId="0" applyFont="1" applyFill="1" applyBorder="1" applyAlignment="1">
      <alignment vertical="top" wrapText="1"/>
    </xf>
    <xf numFmtId="0" fontId="3" fillId="0" borderId="102" xfId="0" applyFont="1" applyFill="1" applyBorder="1" applyAlignment="1">
      <alignment vertical="top" wrapText="1"/>
    </xf>
    <xf numFmtId="165" fontId="3" fillId="0" borderId="104" xfId="0" applyNumberFormat="1" applyFont="1" applyFill="1" applyBorder="1" applyAlignment="1">
      <alignment horizontal="center" vertical="top" wrapText="1"/>
    </xf>
    <xf numFmtId="165" fontId="3" fillId="0" borderId="79" xfId="0" applyNumberFormat="1" applyFont="1" applyFill="1" applyBorder="1" applyAlignment="1">
      <alignment horizontal="center" vertical="top" wrapText="1"/>
    </xf>
    <xf numFmtId="3" fontId="3" fillId="6" borderId="70" xfId="0" applyNumberFormat="1" applyFont="1" applyFill="1" applyBorder="1" applyAlignment="1">
      <alignment horizontal="right" vertical="top" wrapText="1"/>
    </xf>
    <xf numFmtId="3" fontId="3" fillId="8" borderId="109" xfId="0" applyNumberFormat="1" applyFont="1" applyFill="1" applyBorder="1" applyAlignment="1">
      <alignment horizontal="right" vertical="top" wrapText="1"/>
    </xf>
    <xf numFmtId="3" fontId="3" fillId="0" borderId="109" xfId="0" applyNumberFormat="1" applyFont="1" applyFill="1" applyBorder="1" applyAlignment="1">
      <alignment horizontal="right" vertical="top" wrapText="1"/>
    </xf>
    <xf numFmtId="3" fontId="3" fillId="0" borderId="103" xfId="0" applyNumberFormat="1" applyFont="1" applyFill="1" applyBorder="1" applyAlignment="1">
      <alignment horizontal="right" vertical="top" wrapText="1"/>
    </xf>
    <xf numFmtId="0" fontId="18" fillId="6" borderId="49" xfId="0" applyFont="1" applyFill="1" applyBorder="1" applyAlignment="1">
      <alignment vertical="top" wrapText="1"/>
    </xf>
    <xf numFmtId="3" fontId="5" fillId="6" borderId="39" xfId="0" applyNumberFormat="1" applyFont="1" applyFill="1" applyBorder="1" applyAlignment="1">
      <alignment horizontal="right" vertical="top"/>
    </xf>
    <xf numFmtId="3" fontId="3" fillId="0" borderId="49" xfId="1" applyNumberFormat="1" applyFont="1" applyFill="1" applyBorder="1" applyAlignment="1">
      <alignment horizontal="center" vertical="top"/>
    </xf>
    <xf numFmtId="3" fontId="3" fillId="0" borderId="49" xfId="0" applyNumberFormat="1" applyFont="1" applyFill="1" applyBorder="1" applyAlignment="1">
      <alignment horizontal="center" vertical="top" wrapText="1"/>
    </xf>
    <xf numFmtId="3" fontId="3" fillId="8" borderId="107" xfId="0" applyNumberFormat="1" applyFont="1" applyFill="1" applyBorder="1" applyAlignment="1">
      <alignment horizontal="right" vertical="top" wrapText="1"/>
    </xf>
    <xf numFmtId="3" fontId="3" fillId="6" borderId="90" xfId="0" applyNumberFormat="1" applyFont="1" applyFill="1" applyBorder="1" applyAlignment="1">
      <alignment horizontal="center" vertical="top" wrapText="1"/>
    </xf>
    <xf numFmtId="0" fontId="3" fillId="6" borderId="102" xfId="0" applyFont="1" applyFill="1" applyBorder="1" applyAlignment="1">
      <alignment vertical="top" wrapText="1"/>
    </xf>
    <xf numFmtId="3" fontId="3" fillId="6" borderId="104" xfId="0" applyNumberFormat="1" applyFont="1" applyFill="1" applyBorder="1" applyAlignment="1">
      <alignment horizontal="center" vertical="top" wrapText="1"/>
    </xf>
    <xf numFmtId="3" fontId="3" fillId="6" borderId="79" xfId="0" applyNumberFormat="1" applyFont="1" applyFill="1" applyBorder="1" applyAlignment="1">
      <alignment horizontal="center" vertical="top" wrapText="1"/>
    </xf>
    <xf numFmtId="3" fontId="3" fillId="8" borderId="75" xfId="0" applyNumberFormat="1" applyFont="1" applyFill="1" applyBorder="1" applyAlignment="1">
      <alignment horizontal="right" vertical="top" wrapText="1"/>
    </xf>
    <xf numFmtId="3" fontId="3" fillId="2" borderId="45" xfId="0" applyNumberFormat="1" applyFont="1" applyFill="1" applyBorder="1" applyAlignment="1">
      <alignment horizontal="right" vertical="top"/>
    </xf>
    <xf numFmtId="3" fontId="3" fillId="2" borderId="80" xfId="0" applyNumberFormat="1" applyFont="1" applyFill="1" applyBorder="1" applyAlignment="1">
      <alignment horizontal="right" vertical="top"/>
    </xf>
    <xf numFmtId="0" fontId="3" fillId="2" borderId="10" xfId="0" applyFont="1" applyFill="1" applyBorder="1" applyAlignment="1">
      <alignment vertical="top" wrapText="1"/>
    </xf>
    <xf numFmtId="3" fontId="3" fillId="2" borderId="104" xfId="0" applyNumberFormat="1" applyFont="1" applyFill="1" applyBorder="1" applyAlignment="1">
      <alignment horizontal="center" vertical="top"/>
    </xf>
    <xf numFmtId="3" fontId="3" fillId="2" borderId="79" xfId="0" applyNumberFormat="1" applyFont="1" applyFill="1" applyBorder="1" applyAlignment="1">
      <alignment horizontal="center" vertical="top"/>
    </xf>
    <xf numFmtId="3" fontId="3" fillId="8" borderId="69" xfId="0" applyNumberFormat="1" applyFont="1" applyFill="1" applyBorder="1" applyAlignment="1">
      <alignment horizontal="right" vertical="center"/>
    </xf>
    <xf numFmtId="0" fontId="3" fillId="6" borderId="114" xfId="0" applyFont="1" applyFill="1" applyBorder="1" applyAlignment="1">
      <alignment horizontal="center" vertical="top"/>
    </xf>
    <xf numFmtId="3" fontId="3" fillId="8" borderId="115" xfId="0" applyNumberFormat="1" applyFont="1" applyFill="1" applyBorder="1" applyAlignment="1">
      <alignment horizontal="right" vertical="center"/>
    </xf>
    <xf numFmtId="3" fontId="3" fillId="2" borderId="114" xfId="0" applyNumberFormat="1" applyFont="1" applyFill="1" applyBorder="1" applyAlignment="1">
      <alignment horizontal="right" vertical="top" wrapText="1"/>
    </xf>
    <xf numFmtId="3" fontId="3" fillId="6" borderId="23" xfId="0" applyNumberFormat="1" applyFont="1" applyFill="1" applyBorder="1" applyAlignment="1">
      <alignment horizontal="right" vertical="top"/>
    </xf>
    <xf numFmtId="3" fontId="3" fillId="6" borderId="54" xfId="0" applyNumberFormat="1" applyFont="1" applyFill="1" applyBorder="1" applyAlignment="1">
      <alignment horizontal="right" vertical="top"/>
    </xf>
    <xf numFmtId="3" fontId="3" fillId="6" borderId="9" xfId="0" applyNumberFormat="1" applyFont="1" applyFill="1" applyBorder="1" applyAlignment="1">
      <alignment horizontal="right" vertical="top"/>
    </xf>
    <xf numFmtId="3" fontId="3" fillId="6" borderId="52" xfId="0" applyNumberFormat="1" applyFont="1" applyFill="1" applyBorder="1" applyAlignment="1">
      <alignment horizontal="right" vertical="top"/>
    </xf>
    <xf numFmtId="0" fontId="5" fillId="2" borderId="49" xfId="0" applyFont="1" applyFill="1" applyBorder="1" applyAlignment="1">
      <alignment horizontal="left" vertical="top" wrapText="1"/>
    </xf>
    <xf numFmtId="3" fontId="3" fillId="6" borderId="69" xfId="0" applyNumberFormat="1" applyFont="1" applyFill="1" applyBorder="1" applyAlignment="1">
      <alignment horizontal="right" vertical="top"/>
    </xf>
    <xf numFmtId="3" fontId="3" fillId="6" borderId="39" xfId="0" applyNumberFormat="1" applyFont="1" applyFill="1" applyBorder="1" applyAlignment="1">
      <alignment horizontal="right" vertical="top"/>
    </xf>
    <xf numFmtId="3" fontId="3" fillId="6" borderId="22" xfId="0" applyNumberFormat="1" applyFont="1" applyFill="1" applyBorder="1" applyAlignment="1">
      <alignment horizontal="right" vertical="top" wrapText="1"/>
    </xf>
    <xf numFmtId="3" fontId="3" fillId="6" borderId="107" xfId="0" applyNumberFormat="1" applyFont="1" applyFill="1" applyBorder="1" applyAlignment="1">
      <alignment horizontal="right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4" fontId="3" fillId="2" borderId="17" xfId="0" applyNumberFormat="1" applyFont="1" applyFill="1" applyBorder="1" applyAlignment="1">
      <alignment horizontal="center" vertical="top"/>
    </xf>
    <xf numFmtId="0" fontId="3" fillId="0" borderId="110" xfId="0" applyFont="1" applyBorder="1" applyAlignment="1">
      <alignment vertical="top" wrapText="1"/>
    </xf>
    <xf numFmtId="3" fontId="3" fillId="6" borderId="32" xfId="0" applyNumberFormat="1" applyFont="1" applyFill="1" applyBorder="1" applyAlignment="1">
      <alignment horizontal="center" vertical="top" wrapText="1"/>
    </xf>
    <xf numFmtId="0" fontId="0" fillId="10" borderId="34" xfId="0" applyFill="1" applyBorder="1" applyAlignment="1">
      <alignment vertical="top" wrapText="1"/>
    </xf>
    <xf numFmtId="0" fontId="3" fillId="6" borderId="88" xfId="0" applyFont="1" applyFill="1" applyBorder="1" applyAlignment="1">
      <alignment horizontal="left" vertical="top" wrapText="1"/>
    </xf>
    <xf numFmtId="3" fontId="3" fillId="6" borderId="78" xfId="0" applyNumberFormat="1" applyFont="1" applyFill="1" applyBorder="1" applyAlignment="1">
      <alignment horizontal="center" vertical="top" wrapText="1"/>
    </xf>
    <xf numFmtId="0" fontId="3" fillId="6" borderId="30" xfId="0" applyFont="1" applyFill="1" applyBorder="1" applyAlignment="1">
      <alignment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0" borderId="26" xfId="0" applyFont="1" applyBorder="1" applyAlignment="1">
      <alignment vertical="top"/>
    </xf>
    <xf numFmtId="0" fontId="3" fillId="0" borderId="56" xfId="0" applyFont="1" applyBorder="1" applyAlignment="1">
      <alignment vertical="top" wrapText="1"/>
    </xf>
    <xf numFmtId="0" fontId="3" fillId="0" borderId="103" xfId="0" applyFont="1" applyBorder="1" applyAlignment="1">
      <alignment vertical="top" wrapText="1"/>
    </xf>
    <xf numFmtId="0" fontId="3" fillId="0" borderId="94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3" fillId="10" borderId="10" xfId="0" applyFont="1" applyFill="1" applyBorder="1" applyAlignment="1">
      <alignment vertical="top" wrapText="1"/>
    </xf>
    <xf numFmtId="3" fontId="3" fillId="10" borderId="18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49" fontId="5" fillId="3" borderId="16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3" fillId="2" borderId="47" xfId="0" applyFont="1" applyFill="1" applyBorder="1" applyAlignment="1">
      <alignment horizontal="left" vertical="top" wrapText="1"/>
    </xf>
    <xf numFmtId="49" fontId="5" fillId="3" borderId="16" xfId="0" applyNumberFormat="1" applyFont="1" applyFill="1" applyBorder="1" applyAlignment="1">
      <alignment horizontal="center" vertical="top"/>
    </xf>
    <xf numFmtId="49" fontId="5" fillId="3" borderId="25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49" fontId="5" fillId="3" borderId="27" xfId="0" applyNumberFormat="1" applyFont="1" applyFill="1" applyBorder="1" applyAlignment="1">
      <alignment horizontal="center" vertical="top" wrapText="1"/>
    </xf>
    <xf numFmtId="0" fontId="3" fillId="0" borderId="75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3" fillId="0" borderId="10" xfId="1" applyFont="1" applyFill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/>
    </xf>
    <xf numFmtId="49" fontId="5" fillId="3" borderId="49" xfId="0" applyNumberFormat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49" fontId="5" fillId="3" borderId="46" xfId="0" applyNumberFormat="1" applyFont="1" applyFill="1" applyBorder="1" applyAlignment="1">
      <alignment horizontal="center" vertical="top"/>
    </xf>
    <xf numFmtId="49" fontId="5" fillId="3" borderId="61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27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5" fontId="3" fillId="0" borderId="18" xfId="0" applyNumberFormat="1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 wrapText="1"/>
    </xf>
    <xf numFmtId="4" fontId="3" fillId="2" borderId="18" xfId="0" applyNumberFormat="1" applyFont="1" applyFill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69" xfId="0" applyFont="1" applyFill="1" applyBorder="1" applyAlignment="1">
      <alignment horizontal="center" vertical="center" textRotation="90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11" borderId="8" xfId="0" applyNumberFormat="1" applyFont="1" applyFill="1" applyBorder="1" applyAlignment="1">
      <alignment horizontal="center" vertical="top"/>
    </xf>
    <xf numFmtId="0" fontId="3" fillId="6" borderId="18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center" textRotation="90" wrapText="1" shrinkToFit="1"/>
    </xf>
    <xf numFmtId="0" fontId="3" fillId="6" borderId="36" xfId="0" applyFont="1" applyFill="1" applyBorder="1" applyAlignment="1">
      <alignment horizontal="left" vertical="top" wrapText="1"/>
    </xf>
    <xf numFmtId="3" fontId="7" fillId="6" borderId="0" xfId="0" applyNumberFormat="1" applyFont="1" applyFill="1" applyAlignment="1">
      <alignment horizontal="left" vertical="top"/>
    </xf>
    <xf numFmtId="49" fontId="3" fillId="2" borderId="4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5" fillId="10" borderId="27" xfId="0" applyNumberFormat="1" applyFont="1" applyFill="1" applyBorder="1" applyAlignment="1">
      <alignment horizontal="center" vertical="top"/>
    </xf>
    <xf numFmtId="49" fontId="5" fillId="10" borderId="16" xfId="0" applyNumberFormat="1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 wrapText="1"/>
    </xf>
    <xf numFmtId="49" fontId="5" fillId="0" borderId="71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6" borderId="1" xfId="0" applyFont="1" applyFill="1" applyBorder="1" applyAlignment="1">
      <alignment vertical="top" wrapText="1"/>
    </xf>
    <xf numFmtId="0" fontId="3" fillId="6" borderId="90" xfId="0" applyFont="1" applyFill="1" applyBorder="1" applyAlignment="1">
      <alignment horizontal="left" vertical="top" wrapText="1"/>
    </xf>
    <xf numFmtId="49" fontId="3" fillId="0" borderId="71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top"/>
    </xf>
    <xf numFmtId="0" fontId="3" fillId="2" borderId="36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textRotation="90" wrapText="1"/>
    </xf>
    <xf numFmtId="49" fontId="5" fillId="3" borderId="20" xfId="0" applyNumberFormat="1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left" vertical="top" wrapText="1"/>
    </xf>
    <xf numFmtId="0" fontId="3" fillId="6" borderId="36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164" fontId="3" fillId="2" borderId="57" xfId="0" applyNumberFormat="1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44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top"/>
    </xf>
    <xf numFmtId="49" fontId="5" fillId="11" borderId="44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center" shrinkToFit="1"/>
    </xf>
    <xf numFmtId="3" fontId="9" fillId="0" borderId="79" xfId="0" applyNumberFormat="1" applyFont="1" applyBorder="1" applyAlignment="1">
      <alignment horizontal="center" vertical="top" wrapText="1"/>
    </xf>
    <xf numFmtId="3" fontId="9" fillId="0" borderId="90" xfId="0" applyNumberFormat="1" applyFont="1" applyBorder="1" applyAlignment="1">
      <alignment horizontal="center" vertical="top"/>
    </xf>
    <xf numFmtId="3" fontId="9" fillId="6" borderId="90" xfId="0" applyNumberFormat="1" applyFont="1" applyFill="1" applyBorder="1" applyAlignment="1">
      <alignment horizontal="center" vertical="top"/>
    </xf>
    <xf numFmtId="3" fontId="9" fillId="0" borderId="90" xfId="0" applyNumberFormat="1" applyFont="1" applyFill="1" applyBorder="1" applyAlignment="1">
      <alignment horizontal="center" vertical="top" wrapText="1"/>
    </xf>
    <xf numFmtId="3" fontId="3" fillId="0" borderId="17" xfId="1" applyNumberFormat="1" applyFont="1" applyFill="1" applyBorder="1" applyAlignment="1">
      <alignment horizontal="center" vertical="center"/>
    </xf>
    <xf numFmtId="49" fontId="3" fillId="6" borderId="17" xfId="1" applyNumberFormat="1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top" wrapText="1"/>
    </xf>
    <xf numFmtId="3" fontId="3" fillId="10" borderId="35" xfId="1" applyNumberFormat="1" applyFont="1" applyFill="1" applyBorder="1" applyAlignment="1">
      <alignment vertical="top"/>
    </xf>
    <xf numFmtId="3" fontId="3" fillId="0" borderId="17" xfId="1" applyNumberFormat="1" applyFont="1" applyFill="1" applyBorder="1" applyAlignment="1">
      <alignment horizontal="center" vertical="top"/>
    </xf>
    <xf numFmtId="3" fontId="3" fillId="0" borderId="18" xfId="1" applyNumberFormat="1" applyFont="1" applyFill="1" applyBorder="1" applyAlignment="1">
      <alignment horizontal="center" vertical="top"/>
    </xf>
    <xf numFmtId="3" fontId="9" fillId="6" borderId="32" xfId="0" applyNumberFormat="1" applyFont="1" applyFill="1" applyBorder="1" applyAlignment="1">
      <alignment horizontal="center" vertical="top" wrapText="1"/>
    </xf>
    <xf numFmtId="0" fontId="7" fillId="9" borderId="68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3" fillId="2" borderId="15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vertical="top"/>
    </xf>
    <xf numFmtId="49" fontId="5" fillId="0" borderId="54" xfId="0" applyNumberFormat="1" applyFont="1" applyBorder="1" applyAlignment="1">
      <alignment horizontal="center" vertical="top"/>
    </xf>
    <xf numFmtId="0" fontId="3" fillId="0" borderId="74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top" textRotation="90"/>
    </xf>
    <xf numFmtId="0" fontId="5" fillId="2" borderId="14" xfId="0" applyFont="1" applyFill="1" applyBorder="1" applyAlignment="1">
      <alignment vertical="top" wrapText="1"/>
    </xf>
    <xf numFmtId="0" fontId="3" fillId="0" borderId="76" xfId="0" applyFont="1" applyFill="1" applyBorder="1" applyAlignment="1">
      <alignment horizontal="center" vertical="top" textRotation="90" wrapText="1"/>
    </xf>
    <xf numFmtId="49" fontId="3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/>
    </xf>
    <xf numFmtId="0" fontId="3" fillId="0" borderId="96" xfId="0" applyFont="1" applyBorder="1" applyAlignment="1">
      <alignment horizontal="center" vertical="top"/>
    </xf>
    <xf numFmtId="3" fontId="3" fillId="6" borderId="17" xfId="1" applyNumberFormat="1" applyFont="1" applyFill="1" applyBorder="1" applyAlignment="1">
      <alignment horizontal="center" vertical="top"/>
    </xf>
    <xf numFmtId="49" fontId="5" fillId="10" borderId="61" xfId="0" applyNumberFormat="1" applyFont="1" applyFill="1" applyBorder="1" applyAlignment="1">
      <alignment horizontal="center" vertical="top"/>
    </xf>
    <xf numFmtId="49" fontId="5" fillId="10" borderId="6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center" textRotation="90" wrapText="1" shrinkToFit="1"/>
    </xf>
    <xf numFmtId="3" fontId="3" fillId="0" borderId="38" xfId="0" applyNumberFormat="1" applyFont="1" applyBorder="1" applyAlignment="1">
      <alignment horizontal="center" vertical="top"/>
    </xf>
    <xf numFmtId="3" fontId="5" fillId="8" borderId="34" xfId="0" applyNumberFormat="1" applyFont="1" applyFill="1" applyBorder="1" applyAlignment="1">
      <alignment horizontal="center" vertical="top"/>
    </xf>
    <xf numFmtId="3" fontId="5" fillId="3" borderId="21" xfId="0" applyNumberFormat="1" applyFont="1" applyFill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 wrapText="1"/>
    </xf>
    <xf numFmtId="3" fontId="5" fillId="4" borderId="22" xfId="0" applyNumberFormat="1" applyFont="1" applyFill="1" applyBorder="1" applyAlignment="1">
      <alignment horizontal="center" vertical="top" wrapText="1"/>
    </xf>
    <xf numFmtId="3" fontId="5" fillId="5" borderId="65" xfId="0" applyNumberFormat="1" applyFont="1" applyFill="1" applyBorder="1" applyAlignment="1">
      <alignment horizontal="center" vertical="top" wrapText="1"/>
    </xf>
    <xf numFmtId="49" fontId="5" fillId="6" borderId="16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3" fillId="6" borderId="31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textRotation="90" wrapText="1"/>
    </xf>
    <xf numFmtId="49" fontId="5" fillId="0" borderId="33" xfId="0" applyNumberFormat="1" applyFont="1" applyBorder="1" applyAlignment="1">
      <alignment horizontal="center" vertical="top"/>
    </xf>
    <xf numFmtId="0" fontId="3" fillId="6" borderId="3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textRotation="90" shrinkToFit="1"/>
    </xf>
    <xf numFmtId="49" fontId="3" fillId="6" borderId="0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/>
    </xf>
    <xf numFmtId="49" fontId="5" fillId="6" borderId="32" xfId="0" applyNumberFormat="1" applyFont="1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/>
    </xf>
    <xf numFmtId="49" fontId="3" fillId="6" borderId="16" xfId="0" applyNumberFormat="1" applyFont="1" applyFill="1" applyBorder="1" applyAlignment="1">
      <alignment horizontal="center" vertical="top"/>
    </xf>
    <xf numFmtId="0" fontId="3" fillId="6" borderId="44" xfId="0" applyFont="1" applyFill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horizontal="center" vertical="center" textRotation="90" wrapText="1"/>
    </xf>
    <xf numFmtId="49" fontId="5" fillId="6" borderId="1" xfId="0" applyNumberFormat="1" applyFont="1" applyFill="1" applyBorder="1" applyAlignment="1">
      <alignment horizontal="center" vertical="top"/>
    </xf>
    <xf numFmtId="49" fontId="3" fillId="6" borderId="0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top" wrapText="1"/>
    </xf>
    <xf numFmtId="0" fontId="18" fillId="0" borderId="44" xfId="0" applyFont="1" applyFill="1" applyBorder="1" applyAlignment="1">
      <alignment horizontal="left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0" fontId="5" fillId="10" borderId="60" xfId="0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top" wrapText="1"/>
    </xf>
    <xf numFmtId="0" fontId="5" fillId="10" borderId="65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7" fillId="6" borderId="39" xfId="0" applyFont="1" applyFill="1" applyBorder="1" applyAlignment="1">
      <alignment horizontal="center" vertical="top" wrapText="1"/>
    </xf>
    <xf numFmtId="0" fontId="7" fillId="6" borderId="48" xfId="0" applyFont="1" applyFill="1" applyBorder="1" applyAlignment="1">
      <alignment horizontal="center" vertical="top" wrapText="1"/>
    </xf>
    <xf numFmtId="0" fontId="0" fillId="6" borderId="18" xfId="0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top"/>
    </xf>
    <xf numFmtId="0" fontId="3" fillId="6" borderId="44" xfId="0" applyFont="1" applyFill="1" applyBorder="1" applyAlignment="1">
      <alignment horizontal="left" vertical="top" wrapText="1"/>
    </xf>
    <xf numFmtId="3" fontId="3" fillId="6" borderId="1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6" borderId="45" xfId="0" applyFont="1" applyFill="1" applyBorder="1" applyAlignment="1">
      <alignment horizontal="center" vertical="top"/>
    </xf>
    <xf numFmtId="3" fontId="3" fillId="0" borderId="48" xfId="0" applyNumberFormat="1" applyFont="1" applyBorder="1" applyAlignment="1">
      <alignment horizontal="center" vertical="top"/>
    </xf>
    <xf numFmtId="0" fontId="3" fillId="6" borderId="45" xfId="0" applyFont="1" applyFill="1" applyBorder="1" applyAlignment="1">
      <alignment horizontal="center" vertical="top" wrapText="1"/>
    </xf>
    <xf numFmtId="3" fontId="3" fillId="6" borderId="53" xfId="0" applyNumberFormat="1" applyFont="1" applyFill="1" applyBorder="1" applyAlignment="1">
      <alignment horizontal="center" vertical="top"/>
    </xf>
    <xf numFmtId="49" fontId="5" fillId="11" borderId="30" xfId="0" applyNumberFormat="1" applyFont="1" applyFill="1" applyBorder="1" applyAlignment="1">
      <alignment horizontal="center" vertical="top"/>
    </xf>
    <xf numFmtId="49" fontId="5" fillId="6" borderId="31" xfId="0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textRotation="90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6" borderId="49" xfId="0" applyNumberFormat="1" applyFont="1" applyFill="1" applyBorder="1" applyAlignment="1">
      <alignment horizontal="center" vertical="top"/>
    </xf>
    <xf numFmtId="49" fontId="5" fillId="6" borderId="79" xfId="0" applyNumberFormat="1" applyFont="1" applyFill="1" applyBorder="1" applyAlignment="1">
      <alignment horizontal="center" vertical="top"/>
    </xf>
    <xf numFmtId="49" fontId="5" fillId="6" borderId="52" xfId="0" applyNumberFormat="1" applyFont="1" applyFill="1" applyBorder="1" applyAlignment="1">
      <alignment horizontal="center" vertical="top"/>
    </xf>
    <xf numFmtId="49" fontId="5" fillId="6" borderId="0" xfId="0" applyNumberFormat="1" applyFont="1" applyFill="1" applyBorder="1" applyAlignment="1">
      <alignment horizontal="center" vertical="top"/>
    </xf>
    <xf numFmtId="3" fontId="3" fillId="6" borderId="52" xfId="0" applyNumberFormat="1" applyFont="1" applyFill="1" applyBorder="1" applyAlignment="1">
      <alignment horizontal="right" vertical="top" wrapText="1"/>
    </xf>
    <xf numFmtId="0" fontId="3" fillId="6" borderId="101" xfId="0" applyFont="1" applyFill="1" applyBorder="1" applyAlignment="1">
      <alignment horizontal="center" vertical="center" textRotation="90" wrapText="1"/>
    </xf>
    <xf numFmtId="49" fontId="5" fillId="6" borderId="106" xfId="0" applyNumberFormat="1" applyFont="1" applyFill="1" applyBorder="1" applyAlignment="1">
      <alignment horizontal="center" vertical="top"/>
    </xf>
    <xf numFmtId="0" fontId="3" fillId="6" borderId="107" xfId="0" applyFont="1" applyFill="1" applyBorder="1" applyAlignment="1">
      <alignment horizontal="center" vertical="top" wrapText="1"/>
    </xf>
    <xf numFmtId="3" fontId="3" fillId="6" borderId="109" xfId="0" applyNumberFormat="1" applyFont="1" applyFill="1" applyBorder="1" applyAlignment="1">
      <alignment horizontal="right" vertical="top" wrapText="1"/>
    </xf>
    <xf numFmtId="0" fontId="3" fillId="6" borderId="39" xfId="0" applyFont="1" applyFill="1" applyBorder="1" applyAlignment="1">
      <alignment horizontal="center" vertical="top" textRotation="90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3" fillId="6" borderId="9" xfId="0" applyNumberFormat="1" applyFont="1" applyFill="1" applyBorder="1" applyAlignment="1">
      <alignment horizontal="right" wrapText="1"/>
    </xf>
    <xf numFmtId="49" fontId="3" fillId="0" borderId="33" xfId="0" applyNumberFormat="1" applyFont="1" applyBorder="1" applyAlignment="1">
      <alignment horizontal="center" vertical="top" textRotation="90"/>
    </xf>
    <xf numFmtId="49" fontId="2" fillId="0" borderId="33" xfId="0" applyNumberFormat="1" applyFont="1" applyBorder="1" applyAlignment="1">
      <alignment horizontal="center" vertical="top" textRotation="90" wrapText="1"/>
    </xf>
    <xf numFmtId="49" fontId="2" fillId="0" borderId="33" xfId="0" applyNumberFormat="1" applyFont="1" applyBorder="1" applyAlignment="1">
      <alignment horizontal="center" vertical="top" textRotation="90"/>
    </xf>
    <xf numFmtId="0" fontId="3" fillId="6" borderId="30" xfId="0" applyFont="1" applyFill="1" applyBorder="1" applyAlignment="1">
      <alignment horizontal="center" vertical="center" textRotation="90" wrapText="1"/>
    </xf>
    <xf numFmtId="49" fontId="3" fillId="6" borderId="16" xfId="0" applyNumberFormat="1" applyFont="1" applyFill="1" applyBorder="1" applyAlignment="1">
      <alignment horizontal="center" vertical="top" textRotation="90"/>
    </xf>
    <xf numFmtId="49" fontId="2" fillId="10" borderId="29" xfId="0" applyNumberFormat="1" applyFont="1" applyFill="1" applyBorder="1" applyAlignment="1">
      <alignment horizontal="center" vertical="top" textRotation="90" wrapText="1"/>
    </xf>
    <xf numFmtId="49" fontId="2" fillId="0" borderId="12" xfId="0" applyNumberFormat="1" applyFont="1" applyFill="1" applyBorder="1" applyAlignment="1">
      <alignment horizontal="center" vertical="top" textRotation="90"/>
    </xf>
    <xf numFmtId="49" fontId="2" fillId="0" borderId="16" xfId="0" applyNumberFormat="1" applyFont="1" applyBorder="1" applyAlignment="1">
      <alignment horizontal="center" vertical="top" textRotation="90" wrapText="1"/>
    </xf>
    <xf numFmtId="49" fontId="2" fillId="0" borderId="2" xfId="0" applyNumberFormat="1" applyFont="1" applyBorder="1" applyAlignment="1">
      <alignment horizontal="center" vertical="top" textRotation="90" wrapText="1"/>
    </xf>
    <xf numFmtId="0" fontId="9" fillId="0" borderId="94" xfId="0" applyFont="1" applyBorder="1" applyAlignment="1">
      <alignment horizontal="center" textRotation="90"/>
    </xf>
    <xf numFmtId="0" fontId="0" fillId="6" borderId="32" xfId="0" applyFill="1" applyBorder="1" applyAlignment="1">
      <alignment horizontal="center" vertical="top"/>
    </xf>
    <xf numFmtId="0" fontId="3" fillId="6" borderId="69" xfId="0" applyFont="1" applyFill="1" applyBorder="1" applyAlignment="1">
      <alignment horizontal="center" vertical="top" textRotation="90" wrapText="1"/>
    </xf>
    <xf numFmtId="0" fontId="3" fillId="6" borderId="56" xfId="0" applyFont="1" applyFill="1" applyBorder="1" applyAlignment="1">
      <alignment horizontal="center" vertical="top" textRotation="90" wrapText="1"/>
    </xf>
    <xf numFmtId="49" fontId="2" fillId="0" borderId="47" xfId="0" applyNumberFormat="1" applyFont="1" applyBorder="1" applyAlignment="1">
      <alignment horizontal="center" vertical="top" textRotation="90" wrapText="1"/>
    </xf>
    <xf numFmtId="0" fontId="0" fillId="0" borderId="30" xfId="0" applyBorder="1" applyAlignment="1">
      <alignment horizontal="center" vertical="top" textRotation="90" wrapText="1"/>
    </xf>
    <xf numFmtId="0" fontId="0" fillId="0" borderId="32" xfId="0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0" fontId="0" fillId="0" borderId="44" xfId="0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wrapText="1"/>
    </xf>
    <xf numFmtId="164" fontId="3" fillId="0" borderId="48" xfId="0" applyNumberFormat="1" applyFont="1" applyBorder="1" applyAlignment="1">
      <alignment horizontal="center" vertical="top"/>
    </xf>
    <xf numFmtId="3" fontId="18" fillId="0" borderId="48" xfId="0" applyNumberFormat="1" applyFont="1" applyBorder="1" applyAlignment="1">
      <alignment horizontal="center" vertical="top"/>
    </xf>
    <xf numFmtId="3" fontId="18" fillId="6" borderId="9" xfId="0" applyNumberFormat="1" applyFont="1" applyFill="1" applyBorder="1" applyAlignment="1">
      <alignment horizontal="center" vertical="top"/>
    </xf>
    <xf numFmtId="3" fontId="18" fillId="2" borderId="41" xfId="0" applyNumberFormat="1" applyFont="1" applyFill="1" applyBorder="1" applyAlignment="1">
      <alignment horizontal="center" vertical="top"/>
    </xf>
    <xf numFmtId="3" fontId="18" fillId="2" borderId="119" xfId="0" applyNumberFormat="1" applyFont="1" applyFill="1" applyBorder="1" applyAlignment="1">
      <alignment horizontal="center" vertical="top"/>
    </xf>
    <xf numFmtId="3" fontId="18" fillId="2" borderId="48" xfId="0" applyNumberFormat="1" applyFont="1" applyFill="1" applyBorder="1" applyAlignment="1">
      <alignment horizontal="center" vertical="top"/>
    </xf>
    <xf numFmtId="3" fontId="3" fillId="2" borderId="42" xfId="0" applyNumberFormat="1" applyFont="1" applyFill="1" applyBorder="1" applyAlignment="1">
      <alignment horizontal="center" vertical="top"/>
    </xf>
    <xf numFmtId="3" fontId="3" fillId="6" borderId="42" xfId="0" applyNumberFormat="1" applyFont="1" applyFill="1" applyBorder="1" applyAlignment="1">
      <alignment horizontal="center" vertical="top"/>
    </xf>
    <xf numFmtId="3" fontId="3" fillId="6" borderId="74" xfId="0" applyNumberFormat="1" applyFont="1" applyFill="1" applyBorder="1" applyAlignment="1">
      <alignment horizontal="center" vertical="top"/>
    </xf>
    <xf numFmtId="3" fontId="5" fillId="10" borderId="29" xfId="0" applyNumberFormat="1" applyFont="1" applyFill="1" applyBorder="1" applyAlignment="1">
      <alignment horizontal="center" vertical="top"/>
    </xf>
    <xf numFmtId="3" fontId="3" fillId="6" borderId="41" xfId="0" applyNumberFormat="1" applyFont="1" applyFill="1" applyBorder="1" applyAlignment="1">
      <alignment horizontal="center" vertical="top"/>
    </xf>
    <xf numFmtId="3" fontId="3" fillId="6" borderId="91" xfId="0" applyNumberFormat="1" applyFont="1" applyFill="1" applyBorder="1" applyAlignment="1">
      <alignment horizontal="center" vertical="top"/>
    </xf>
    <xf numFmtId="3" fontId="3" fillId="6" borderId="48" xfId="0" applyNumberFormat="1" applyFont="1" applyFill="1" applyBorder="1" applyAlignment="1">
      <alignment horizontal="center" vertical="top"/>
    </xf>
    <xf numFmtId="3" fontId="3" fillId="6" borderId="113" xfId="0" applyNumberFormat="1" applyFont="1" applyFill="1" applyBorder="1" applyAlignment="1">
      <alignment horizontal="center" vertical="top"/>
    </xf>
    <xf numFmtId="3" fontId="3" fillId="6" borderId="0" xfId="0" applyNumberFormat="1" applyFont="1" applyFill="1" applyBorder="1" applyAlignment="1">
      <alignment horizontal="center" vertical="top"/>
    </xf>
    <xf numFmtId="3" fontId="3" fillId="6" borderId="119" xfId="0" applyNumberFormat="1" applyFont="1" applyFill="1" applyBorder="1" applyAlignment="1">
      <alignment horizontal="center" vertical="top"/>
    </xf>
    <xf numFmtId="3" fontId="5" fillId="10" borderId="34" xfId="0" applyNumberFormat="1" applyFont="1" applyFill="1" applyBorder="1" applyAlignment="1">
      <alignment horizontal="center" vertical="top"/>
    </xf>
    <xf numFmtId="3" fontId="3" fillId="0" borderId="70" xfId="0" applyNumberFormat="1" applyFont="1" applyBorder="1" applyAlignment="1">
      <alignment horizontal="center" vertical="top"/>
    </xf>
    <xf numFmtId="3" fontId="3" fillId="6" borderId="54" xfId="0" applyNumberFormat="1" applyFont="1" applyFill="1" applyBorder="1" applyAlignment="1">
      <alignment horizontal="center" vertical="top"/>
    </xf>
    <xf numFmtId="3" fontId="3" fillId="6" borderId="40" xfId="0" applyNumberFormat="1" applyFont="1" applyFill="1" applyBorder="1" applyAlignment="1">
      <alignment horizontal="center" vertical="top"/>
    </xf>
    <xf numFmtId="3" fontId="3" fillId="6" borderId="52" xfId="0" applyNumberFormat="1" applyFont="1" applyFill="1" applyBorder="1" applyAlignment="1">
      <alignment horizontal="center" vertical="top"/>
    </xf>
    <xf numFmtId="3" fontId="3" fillId="0" borderId="4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5" fillId="10" borderId="72" xfId="0" applyNumberFormat="1" applyFont="1" applyFill="1" applyBorder="1" applyAlignment="1">
      <alignment horizontal="center" vertical="top"/>
    </xf>
    <xf numFmtId="3" fontId="3" fillId="0" borderId="70" xfId="0" applyNumberFormat="1" applyFont="1" applyFill="1" applyBorder="1" applyAlignment="1">
      <alignment horizontal="center" vertical="top"/>
    </xf>
    <xf numFmtId="3" fontId="3" fillId="6" borderId="116" xfId="0" applyNumberFormat="1" applyFont="1" applyFill="1" applyBorder="1" applyAlignment="1">
      <alignment horizontal="center" vertical="top"/>
    </xf>
    <xf numFmtId="3" fontId="5" fillId="10" borderId="66" xfId="0" applyNumberFormat="1" applyFont="1" applyFill="1" applyBorder="1" applyAlignment="1">
      <alignment horizontal="center" vertical="top"/>
    </xf>
    <xf numFmtId="3" fontId="3" fillId="6" borderId="70" xfId="0" applyNumberFormat="1" applyFont="1" applyFill="1" applyBorder="1" applyAlignment="1">
      <alignment horizontal="center" vertical="top"/>
    </xf>
    <xf numFmtId="3" fontId="5" fillId="3" borderId="62" xfId="0" applyNumberFormat="1" applyFont="1" applyFill="1" applyBorder="1" applyAlignment="1">
      <alignment horizontal="center" vertical="top"/>
    </xf>
    <xf numFmtId="164" fontId="3" fillId="2" borderId="57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5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0" fontId="3" fillId="6" borderId="4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49" fontId="5" fillId="0" borderId="28" xfId="0" applyNumberFormat="1" applyFont="1" applyBorder="1" applyAlignment="1">
      <alignment horizontal="center" vertical="top"/>
    </xf>
    <xf numFmtId="0" fontId="3" fillId="0" borderId="75" xfId="0" applyFont="1" applyFill="1" applyBorder="1" applyAlignment="1">
      <alignment horizontal="center" vertical="top" textRotation="90" wrapText="1"/>
    </xf>
    <xf numFmtId="0" fontId="3" fillId="6" borderId="84" xfId="0" applyFont="1" applyFill="1" applyBorder="1" applyAlignment="1">
      <alignment horizontal="center" vertical="top"/>
    </xf>
    <xf numFmtId="0" fontId="3" fillId="6" borderId="69" xfId="0" applyFont="1" applyFill="1" applyBorder="1" applyAlignment="1">
      <alignment horizontal="center" vertical="top"/>
    </xf>
    <xf numFmtId="3" fontId="3" fillId="8" borderId="23" xfId="0" applyNumberFormat="1" applyFont="1" applyFill="1" applyBorder="1" applyAlignment="1">
      <alignment horizontal="right"/>
    </xf>
    <xf numFmtId="3" fontId="3" fillId="6" borderId="23" xfId="0" applyNumberFormat="1" applyFont="1" applyFill="1" applyBorder="1" applyAlignment="1">
      <alignment horizontal="right" wrapText="1"/>
    </xf>
    <xf numFmtId="0" fontId="3" fillId="0" borderId="76" xfId="0" applyFont="1" applyFill="1" applyBorder="1" applyAlignment="1">
      <alignment horizontal="center" vertical="top"/>
    </xf>
    <xf numFmtId="3" fontId="3" fillId="8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 wrapText="1"/>
    </xf>
    <xf numFmtId="3" fontId="18" fillId="6" borderId="42" xfId="0" applyNumberFormat="1" applyFont="1" applyFill="1" applyBorder="1" applyAlignment="1">
      <alignment horizontal="center" vertical="top"/>
    </xf>
    <xf numFmtId="3" fontId="18" fillId="6" borderId="41" xfId="0" applyNumberFormat="1" applyFont="1" applyFill="1" applyBorder="1" applyAlignment="1">
      <alignment horizontal="center" vertical="top"/>
    </xf>
    <xf numFmtId="3" fontId="18" fillId="6" borderId="48" xfId="0" applyNumberFormat="1" applyFont="1" applyFill="1" applyBorder="1" applyAlignment="1">
      <alignment horizontal="center" vertical="top"/>
    </xf>
    <xf numFmtId="3" fontId="3" fillId="8" borderId="115" xfId="0" applyNumberFormat="1" applyFont="1" applyFill="1" applyBorder="1" applyAlignment="1">
      <alignment horizontal="right" vertical="top"/>
    </xf>
    <xf numFmtId="3" fontId="3" fillId="6" borderId="118" xfId="0" applyNumberFormat="1" applyFont="1" applyFill="1" applyBorder="1" applyAlignment="1">
      <alignment horizontal="center" vertical="top"/>
    </xf>
    <xf numFmtId="3" fontId="3" fillId="6" borderId="50" xfId="0" applyNumberFormat="1" applyFont="1" applyFill="1" applyBorder="1" applyAlignment="1">
      <alignment horizontal="center" vertical="top"/>
    </xf>
    <xf numFmtId="3" fontId="3" fillId="6" borderId="22" xfId="0" applyNumberFormat="1" applyFont="1" applyFill="1" applyBorder="1" applyAlignment="1">
      <alignment horizontal="center" vertical="top"/>
    </xf>
    <xf numFmtId="3" fontId="18" fillId="6" borderId="23" xfId="0" applyNumberFormat="1" applyFont="1" applyFill="1" applyBorder="1" applyAlignment="1">
      <alignment horizontal="center" vertical="top"/>
    </xf>
    <xf numFmtId="3" fontId="5" fillId="8" borderId="11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10" borderId="16" xfId="0" applyNumberFormat="1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top"/>
    </xf>
    <xf numFmtId="0" fontId="5" fillId="2" borderId="39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75" xfId="0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top" textRotation="90" wrapText="1"/>
    </xf>
    <xf numFmtId="3" fontId="3" fillId="6" borderId="0" xfId="0" applyNumberFormat="1" applyFont="1" applyFill="1" applyBorder="1" applyAlignment="1">
      <alignment horizontal="right" vertical="top" wrapText="1"/>
    </xf>
    <xf numFmtId="0" fontId="3" fillId="0" borderId="114" xfId="0" applyFont="1" applyFill="1" applyBorder="1" applyAlignment="1">
      <alignment horizontal="center" vertical="top" wrapText="1"/>
    </xf>
    <xf numFmtId="3" fontId="3" fillId="8" borderId="114" xfId="0" applyNumberFormat="1" applyFont="1" applyFill="1" applyBorder="1" applyAlignment="1">
      <alignment horizontal="right" vertical="top" wrapText="1"/>
    </xf>
    <xf numFmtId="3" fontId="3" fillId="0" borderId="115" xfId="0" applyNumberFormat="1" applyFont="1" applyFill="1" applyBorder="1" applyAlignment="1">
      <alignment horizontal="right" vertical="top" wrapText="1"/>
    </xf>
    <xf numFmtId="3" fontId="3" fillId="0" borderId="114" xfId="0" applyNumberFormat="1" applyFont="1" applyFill="1" applyBorder="1" applyAlignment="1">
      <alignment horizontal="right" vertical="top" wrapText="1"/>
    </xf>
    <xf numFmtId="49" fontId="29" fillId="6" borderId="120" xfId="3" applyNumberFormat="1" applyFont="1" applyFill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top"/>
    </xf>
    <xf numFmtId="0" fontId="5" fillId="2" borderId="56" xfId="0" applyFont="1" applyFill="1" applyBorder="1" applyAlignment="1">
      <alignment horizontal="center" vertical="top" wrapText="1"/>
    </xf>
    <xf numFmtId="0" fontId="5" fillId="2" borderId="69" xfId="0" applyFont="1" applyFill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/>
    <xf numFmtId="49" fontId="2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0" borderId="49" xfId="0" applyNumberFormat="1" applyFont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3" borderId="49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left" vertical="top" wrapText="1"/>
    </xf>
    <xf numFmtId="49" fontId="5" fillId="6" borderId="18" xfId="0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3" fontId="5" fillId="8" borderId="23" xfId="0" applyNumberFormat="1" applyFont="1" applyFill="1" applyBorder="1" applyAlignment="1">
      <alignment horizontal="right" vertical="top"/>
    </xf>
    <xf numFmtId="3" fontId="5" fillId="8" borderId="23" xfId="0" applyNumberFormat="1" applyFont="1" applyFill="1" applyBorder="1" applyAlignment="1">
      <alignment horizontal="center" vertical="top" wrapText="1"/>
    </xf>
    <xf numFmtId="3" fontId="3" fillId="8" borderId="22" xfId="0" applyNumberFormat="1" applyFont="1" applyFill="1" applyBorder="1" applyAlignment="1">
      <alignment horizontal="center" vertical="top" wrapText="1"/>
    </xf>
    <xf numFmtId="49" fontId="5" fillId="0" borderId="47" xfId="0" applyNumberFormat="1" applyFont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5" fillId="3" borderId="49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textRotation="90" wrapText="1"/>
    </xf>
    <xf numFmtId="49" fontId="5" fillId="0" borderId="79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49" fontId="5" fillId="6" borderId="49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3" fillId="6" borderId="32" xfId="0" applyFont="1" applyFill="1" applyBorder="1" applyAlignment="1">
      <alignment vertical="top" wrapText="1"/>
    </xf>
    <xf numFmtId="0" fontId="3" fillId="6" borderId="83" xfId="0" applyFont="1" applyFill="1" applyBorder="1" applyAlignment="1">
      <alignment horizontal="left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0" borderId="79" xfId="0" applyNumberFormat="1" applyFont="1" applyBorder="1" applyAlignment="1">
      <alignment horizontal="center" vertical="top"/>
    </xf>
    <xf numFmtId="0" fontId="3" fillId="0" borderId="102" xfId="0" applyFont="1" applyFill="1" applyBorder="1" applyAlignment="1">
      <alignment horizontal="center" vertical="center" textRotation="90" wrapText="1"/>
    </xf>
    <xf numFmtId="0" fontId="3" fillId="6" borderId="108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11" borderId="8" xfId="0" applyNumberFormat="1" applyFont="1" applyFill="1" applyBorder="1" applyAlignment="1">
      <alignment horizontal="center" vertical="top"/>
    </xf>
    <xf numFmtId="49" fontId="5" fillId="3" borderId="27" xfId="0" applyNumberFormat="1" applyFont="1" applyFill="1" applyBorder="1" applyAlignment="1">
      <alignment horizontal="center" vertical="top"/>
    </xf>
    <xf numFmtId="49" fontId="5" fillId="6" borderId="27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3" borderId="49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6" borderId="18" xfId="0" applyNumberFormat="1" applyFont="1" applyFill="1" applyBorder="1" applyAlignment="1">
      <alignment horizontal="center" vertical="top"/>
    </xf>
    <xf numFmtId="0" fontId="3" fillId="6" borderId="83" xfId="0" applyFont="1" applyFill="1" applyBorder="1" applyAlignment="1">
      <alignment horizontal="left" vertical="top" wrapText="1"/>
    </xf>
    <xf numFmtId="49" fontId="5" fillId="6" borderId="49" xfId="0" applyNumberFormat="1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left" vertical="top" wrapText="1"/>
    </xf>
    <xf numFmtId="0" fontId="3" fillId="6" borderId="80" xfId="0" applyFont="1" applyFill="1" applyBorder="1" applyAlignment="1">
      <alignment horizontal="center" vertical="top"/>
    </xf>
    <xf numFmtId="3" fontId="5" fillId="6" borderId="80" xfId="0" applyNumberFormat="1" applyFont="1" applyFill="1" applyBorder="1" applyAlignment="1">
      <alignment horizontal="right" vertical="top"/>
    </xf>
    <xf numFmtId="3" fontId="5" fillId="6" borderId="92" xfId="0" applyNumberFormat="1" applyFont="1" applyFill="1" applyBorder="1" applyAlignment="1">
      <alignment horizontal="right" vertical="top"/>
    </xf>
    <xf numFmtId="0" fontId="3" fillId="0" borderId="81" xfId="1" applyFont="1" applyFill="1" applyBorder="1" applyAlignment="1">
      <alignment vertical="top" wrapText="1"/>
    </xf>
    <xf numFmtId="3" fontId="3" fillId="0" borderId="83" xfId="1" applyNumberFormat="1" applyFont="1" applyFill="1" applyBorder="1" applyAlignment="1">
      <alignment horizontal="center" vertical="top"/>
    </xf>
    <xf numFmtId="3" fontId="3" fillId="8" borderId="80" xfId="0" applyNumberFormat="1" applyFont="1" applyFill="1" applyBorder="1" applyAlignment="1">
      <alignment horizontal="right" vertical="top" wrapText="1"/>
    </xf>
    <xf numFmtId="3" fontId="3" fillId="0" borderId="92" xfId="0" applyNumberFormat="1" applyFont="1" applyFill="1" applyBorder="1" applyAlignment="1">
      <alignment horizontal="right" vertical="top" wrapText="1"/>
    </xf>
    <xf numFmtId="0" fontId="18" fillId="0" borderId="102" xfId="0" applyFont="1" applyFill="1" applyBorder="1" applyAlignment="1">
      <alignment horizontal="left" vertical="top" wrapText="1"/>
    </xf>
    <xf numFmtId="3" fontId="18" fillId="0" borderId="108" xfId="0" applyNumberFormat="1" applyFont="1" applyFill="1" applyBorder="1" applyAlignment="1">
      <alignment horizontal="center" vertical="top" wrapText="1"/>
    </xf>
    <xf numFmtId="0" fontId="3" fillId="0" borderId="108" xfId="0" applyFont="1" applyBorder="1" applyAlignment="1">
      <alignment horizontal="center" vertical="top"/>
    </xf>
    <xf numFmtId="3" fontId="18" fillId="0" borderId="7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top"/>
    </xf>
    <xf numFmtId="0" fontId="18" fillId="0" borderId="94" xfId="0" applyFont="1" applyFill="1" applyBorder="1" applyAlignment="1">
      <alignment horizontal="left" vertical="top" wrapText="1"/>
    </xf>
    <xf numFmtId="165" fontId="18" fillId="0" borderId="100" xfId="0" applyNumberFormat="1" applyFont="1" applyFill="1" applyBorder="1" applyAlignment="1">
      <alignment horizontal="center" vertical="top" wrapText="1"/>
    </xf>
    <xf numFmtId="165" fontId="18" fillId="0" borderId="96" xfId="0" applyNumberFormat="1" applyFont="1" applyFill="1" applyBorder="1" applyAlignment="1">
      <alignment horizontal="center" vertical="top" wrapText="1"/>
    </xf>
    <xf numFmtId="0" fontId="3" fillId="0" borderId="117" xfId="0" applyFont="1" applyFill="1" applyBorder="1" applyAlignment="1">
      <alignment horizontal="left" vertical="top" wrapText="1"/>
    </xf>
    <xf numFmtId="3" fontId="3" fillId="0" borderId="104" xfId="0" applyNumberFormat="1" applyFont="1" applyFill="1" applyBorder="1" applyAlignment="1">
      <alignment horizontal="center" vertical="top"/>
    </xf>
    <xf numFmtId="3" fontId="3" fillId="0" borderId="79" xfId="0" applyNumberFormat="1" applyFont="1" applyFill="1" applyBorder="1" applyAlignment="1">
      <alignment horizontal="center" vertical="top"/>
    </xf>
    <xf numFmtId="49" fontId="5" fillId="6" borderId="33" xfId="0" applyNumberFormat="1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3" borderId="4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center" textRotation="90"/>
    </xf>
    <xf numFmtId="49" fontId="5" fillId="10" borderId="27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3" fontId="24" fillId="0" borderId="70" xfId="0" applyNumberFormat="1" applyFont="1" applyBorder="1" applyAlignment="1">
      <alignment horizontal="center" vertical="top"/>
    </xf>
    <xf numFmtId="0" fontId="3" fillId="6" borderId="11" xfId="0" applyFont="1" applyFill="1" applyBorder="1" applyAlignment="1">
      <alignment horizontal="center" vertical="center" textRotation="90" wrapText="1"/>
    </xf>
    <xf numFmtId="0" fontId="3" fillId="0" borderId="65" xfId="0" applyFont="1" applyFill="1" applyBorder="1" applyAlignment="1">
      <alignment horizontal="center" vertical="top" wrapText="1"/>
    </xf>
    <xf numFmtId="3" fontId="3" fillId="6" borderId="29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49" fontId="5" fillId="10" borderId="16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69" xfId="0" applyFont="1" applyFill="1" applyBorder="1" applyAlignment="1">
      <alignment vertical="top" wrapText="1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5" fillId="2" borderId="39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3" borderId="16" xfId="0" applyNumberFormat="1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left" vertical="top" wrapText="1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3" borderId="25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3" fillId="0" borderId="75" xfId="0" applyFont="1" applyFill="1" applyBorder="1" applyAlignment="1">
      <alignment horizontal="center" vertical="center" textRotation="90" wrapText="1"/>
    </xf>
    <xf numFmtId="49" fontId="5" fillId="3" borderId="46" xfId="0" applyNumberFormat="1" applyFont="1" applyFill="1" applyBorder="1" applyAlignment="1">
      <alignment horizontal="center" vertical="top"/>
    </xf>
    <xf numFmtId="49" fontId="5" fillId="3" borderId="61" xfId="0" applyNumberFormat="1" applyFont="1" applyFill="1" applyBorder="1" applyAlignment="1">
      <alignment horizontal="center" vertical="top"/>
    </xf>
    <xf numFmtId="0" fontId="3" fillId="6" borderId="18" xfId="0" applyFont="1" applyFill="1" applyBorder="1" applyAlignment="1">
      <alignment horizontal="left" vertical="top" wrapText="1"/>
    </xf>
    <xf numFmtId="49" fontId="5" fillId="3" borderId="49" xfId="0" applyNumberFormat="1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6" borderId="31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 textRotation="90" wrapText="1"/>
    </xf>
    <xf numFmtId="49" fontId="5" fillId="6" borderId="1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49" fontId="5" fillId="0" borderId="32" xfId="0" applyNumberFormat="1" applyFont="1" applyBorder="1" applyAlignment="1">
      <alignment horizontal="center" vertical="top"/>
    </xf>
    <xf numFmtId="49" fontId="5" fillId="6" borderId="49" xfId="0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49" fontId="5" fillId="10" borderId="16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center" textRotation="90"/>
    </xf>
    <xf numFmtId="49" fontId="2" fillId="0" borderId="33" xfId="0" applyNumberFormat="1" applyFont="1" applyBorder="1" applyAlignment="1">
      <alignment horizontal="center" vertical="top" textRotation="90" wrapText="1"/>
    </xf>
    <xf numFmtId="49" fontId="5" fillId="10" borderId="27" xfId="0" applyNumberFormat="1" applyFont="1" applyFill="1" applyBorder="1" applyAlignment="1">
      <alignment horizontal="center" vertical="top"/>
    </xf>
    <xf numFmtId="49" fontId="5" fillId="0" borderId="7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49" fontId="3" fillId="2" borderId="41" xfId="0" applyNumberFormat="1" applyFont="1" applyFill="1" applyBorder="1" applyAlignment="1">
      <alignment horizontal="center" vertical="top" wrapText="1"/>
    </xf>
    <xf numFmtId="0" fontId="3" fillId="0" borderId="81" xfId="0" applyFont="1" applyBorder="1" applyAlignment="1">
      <alignment vertical="center" wrapText="1"/>
    </xf>
    <xf numFmtId="0" fontId="30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3" fontId="18" fillId="6" borderId="0" xfId="0" applyNumberFormat="1" applyFont="1" applyFill="1" applyBorder="1" applyAlignment="1">
      <alignment horizontal="center" vertical="top"/>
    </xf>
    <xf numFmtId="3" fontId="18" fillId="6" borderId="39" xfId="0" applyNumberFormat="1" applyFont="1" applyFill="1" applyBorder="1" applyAlignment="1">
      <alignment horizontal="center" vertical="top"/>
    </xf>
    <xf numFmtId="164" fontId="3" fillId="2" borderId="71" xfId="0" applyNumberFormat="1" applyFont="1" applyFill="1" applyBorder="1" applyAlignment="1">
      <alignment horizontal="center" vertical="top"/>
    </xf>
    <xf numFmtId="3" fontId="18" fillId="6" borderId="69" xfId="0" applyNumberFormat="1" applyFont="1" applyFill="1" applyBorder="1" applyAlignment="1">
      <alignment horizontal="center" vertical="top"/>
    </xf>
    <xf numFmtId="3" fontId="5" fillId="3" borderId="67" xfId="0" applyNumberFormat="1" applyFont="1" applyFill="1" applyBorder="1" applyAlignment="1">
      <alignment horizontal="center" vertical="top"/>
    </xf>
    <xf numFmtId="164" fontId="3" fillId="2" borderId="71" xfId="0" applyNumberFormat="1" applyFont="1" applyFill="1" applyBorder="1" applyAlignment="1">
      <alignment horizontal="right" vertical="top"/>
    </xf>
    <xf numFmtId="3" fontId="5" fillId="11" borderId="62" xfId="0" applyNumberFormat="1" applyFont="1" applyFill="1" applyBorder="1" applyAlignment="1">
      <alignment horizontal="center" vertical="top"/>
    </xf>
    <xf numFmtId="3" fontId="5" fillId="4" borderId="62" xfId="0" applyNumberFormat="1" applyFont="1" applyFill="1" applyBorder="1" applyAlignment="1">
      <alignment horizontal="center" vertical="top"/>
    </xf>
    <xf numFmtId="3" fontId="18" fillId="6" borderId="22" xfId="0" applyNumberFormat="1" applyFont="1" applyFill="1" applyBorder="1" applyAlignment="1">
      <alignment horizontal="center" vertical="top"/>
    </xf>
    <xf numFmtId="3" fontId="18" fillId="6" borderId="6" xfId="0" applyNumberFormat="1" applyFont="1" applyFill="1" applyBorder="1" applyAlignment="1">
      <alignment horizontal="center" vertical="top"/>
    </xf>
    <xf numFmtId="3" fontId="18" fillId="0" borderId="23" xfId="0" applyNumberFormat="1" applyFont="1" applyBorder="1" applyAlignment="1">
      <alignment horizontal="center" vertical="top"/>
    </xf>
    <xf numFmtId="3" fontId="18" fillId="2" borderId="6" xfId="0" applyNumberFormat="1" applyFont="1" applyFill="1" applyBorder="1" applyAlignment="1">
      <alignment horizontal="center" vertical="top"/>
    </xf>
    <xf numFmtId="3" fontId="18" fillId="2" borderId="109" xfId="0" applyNumberFormat="1" applyFont="1" applyFill="1" applyBorder="1" applyAlignment="1">
      <alignment horizontal="center" vertical="top"/>
    </xf>
    <xf numFmtId="3" fontId="18" fillId="2" borderId="23" xfId="0" applyNumberFormat="1" applyFont="1" applyFill="1" applyBorder="1" applyAlignment="1">
      <alignment horizontal="center" vertical="top"/>
    </xf>
    <xf numFmtId="3" fontId="3" fillId="2" borderId="22" xfId="0" applyNumberFormat="1" applyFont="1" applyFill="1" applyBorder="1" applyAlignment="1">
      <alignment horizontal="center" vertical="top"/>
    </xf>
    <xf numFmtId="3" fontId="5" fillId="10" borderId="65" xfId="0" applyNumberFormat="1" applyFont="1" applyFill="1" applyBorder="1" applyAlignment="1">
      <alignment horizontal="center" vertical="top"/>
    </xf>
    <xf numFmtId="3" fontId="24" fillId="0" borderId="7" xfId="0" applyNumberFormat="1" applyFont="1" applyBorder="1" applyAlignment="1">
      <alignment horizontal="center" vertical="top"/>
    </xf>
    <xf numFmtId="3" fontId="3" fillId="6" borderId="6" xfId="0" applyNumberFormat="1" applyFont="1" applyFill="1" applyBorder="1" applyAlignment="1">
      <alignment horizontal="center" vertical="top"/>
    </xf>
    <xf numFmtId="3" fontId="3" fillId="6" borderId="80" xfId="0" applyNumberFormat="1" applyFont="1" applyFill="1" applyBorder="1" applyAlignment="1">
      <alignment horizontal="center" vertical="top"/>
    </xf>
    <xf numFmtId="3" fontId="3" fillId="6" borderId="23" xfId="0" applyNumberFormat="1" applyFont="1" applyFill="1" applyBorder="1" applyAlignment="1">
      <alignment horizontal="center" vertical="top"/>
    </xf>
    <xf numFmtId="3" fontId="3" fillId="6" borderId="84" xfId="0" applyNumberFormat="1" applyFont="1" applyFill="1" applyBorder="1" applyAlignment="1">
      <alignment horizontal="center" vertical="top"/>
    </xf>
    <xf numFmtId="3" fontId="3" fillId="6" borderId="65" xfId="0" applyNumberFormat="1" applyFont="1" applyFill="1" applyBorder="1" applyAlignment="1">
      <alignment horizontal="center" vertical="top"/>
    </xf>
    <xf numFmtId="3" fontId="3" fillId="6" borderId="109" xfId="0" applyNumberFormat="1" applyFont="1" applyFill="1" applyBorder="1" applyAlignment="1">
      <alignment horizontal="center" vertical="top"/>
    </xf>
    <xf numFmtId="3" fontId="3" fillId="6" borderId="9" xfId="0" applyNumberFormat="1" applyFont="1" applyFill="1" applyBorder="1" applyAlignment="1">
      <alignment horizontal="center" vertical="top"/>
    </xf>
    <xf numFmtId="3" fontId="19" fillId="0" borderId="7" xfId="0" applyNumberFormat="1" applyFont="1" applyBorder="1" applyAlignment="1">
      <alignment horizontal="center" vertical="top"/>
    </xf>
    <xf numFmtId="3" fontId="3" fillId="0" borderId="84" xfId="0" applyNumberFormat="1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/>
    </xf>
    <xf numFmtId="3" fontId="3" fillId="2" borderId="80" xfId="0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top"/>
    </xf>
    <xf numFmtId="3" fontId="3" fillId="0" borderId="80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top"/>
    </xf>
    <xf numFmtId="3" fontId="3" fillId="0" borderId="91" xfId="0" applyNumberFormat="1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/>
    </xf>
    <xf numFmtId="3" fontId="3" fillId="6" borderId="45" xfId="0" applyNumberFormat="1" applyFont="1" applyFill="1" applyBorder="1" applyAlignment="1">
      <alignment horizontal="center" vertical="top"/>
    </xf>
    <xf numFmtId="3" fontId="3" fillId="0" borderId="45" xfId="0" applyNumberFormat="1" applyFont="1" applyBorder="1" applyAlignment="1">
      <alignment horizontal="center" vertical="top"/>
    </xf>
    <xf numFmtId="3" fontId="3" fillId="0" borderId="80" xfId="0" applyNumberFormat="1" applyFont="1" applyBorder="1" applyAlignment="1">
      <alignment horizontal="center" vertical="top"/>
    </xf>
    <xf numFmtId="3" fontId="5" fillId="10" borderId="60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3" fontId="3" fillId="6" borderId="93" xfId="0" applyNumberFormat="1" applyFont="1" applyFill="1" applyBorder="1" applyAlignment="1">
      <alignment horizontal="center" vertical="top"/>
    </xf>
    <xf numFmtId="3" fontId="3" fillId="6" borderId="7" xfId="0" applyNumberFormat="1" applyFont="1" applyFill="1" applyBorder="1" applyAlignment="1">
      <alignment horizontal="center" vertical="top"/>
    </xf>
    <xf numFmtId="3" fontId="5" fillId="3" borderId="24" xfId="0" applyNumberFormat="1" applyFont="1" applyFill="1" applyBorder="1" applyAlignment="1">
      <alignment horizontal="center" vertical="top"/>
    </xf>
    <xf numFmtId="164" fontId="3" fillId="0" borderId="39" xfId="0" applyNumberFormat="1" applyFont="1" applyBorder="1" applyAlignment="1">
      <alignment horizontal="center" vertical="top"/>
    </xf>
    <xf numFmtId="3" fontId="18" fillId="6" borderId="74" xfId="0" applyNumberFormat="1" applyFont="1" applyFill="1" applyBorder="1" applyAlignment="1">
      <alignment horizontal="center" vertical="top"/>
    </xf>
    <xf numFmtId="3" fontId="18" fillId="6" borderId="56" xfId="0" applyNumberFormat="1" applyFont="1" applyFill="1" applyBorder="1" applyAlignment="1">
      <alignment horizontal="center" vertical="top"/>
    </xf>
    <xf numFmtId="3" fontId="18" fillId="0" borderId="69" xfId="0" applyNumberFormat="1" applyFont="1" applyBorder="1" applyAlignment="1">
      <alignment horizontal="center" vertical="top"/>
    </xf>
    <xf numFmtId="3" fontId="18" fillId="2" borderId="56" xfId="0" applyNumberFormat="1" applyFont="1" applyFill="1" applyBorder="1" applyAlignment="1">
      <alignment horizontal="center" vertical="top"/>
    </xf>
    <xf numFmtId="3" fontId="18" fillId="2" borderId="103" xfId="0" applyNumberFormat="1" applyFont="1" applyFill="1" applyBorder="1" applyAlignment="1">
      <alignment horizontal="center" vertical="top"/>
    </xf>
    <xf numFmtId="3" fontId="18" fillId="2" borderId="69" xfId="0" applyNumberFormat="1" applyFont="1" applyFill="1" applyBorder="1" applyAlignment="1">
      <alignment horizontal="center" vertical="top"/>
    </xf>
    <xf numFmtId="3" fontId="3" fillId="2" borderId="74" xfId="0" applyNumberFormat="1" applyFont="1" applyFill="1" applyBorder="1" applyAlignment="1">
      <alignment horizontal="center" vertical="top"/>
    </xf>
    <xf numFmtId="3" fontId="24" fillId="0" borderId="75" xfId="0" applyNumberFormat="1" applyFont="1" applyBorder="1" applyAlignment="1">
      <alignment horizontal="center" vertical="top"/>
    </xf>
    <xf numFmtId="3" fontId="3" fillId="6" borderId="56" xfId="0" applyNumberFormat="1" applyFont="1" applyFill="1" applyBorder="1" applyAlignment="1">
      <alignment horizontal="center" vertical="top"/>
    </xf>
    <xf numFmtId="3" fontId="3" fillId="6" borderId="39" xfId="0" applyNumberFormat="1" applyFont="1" applyFill="1" applyBorder="1" applyAlignment="1">
      <alignment horizontal="center" vertical="top"/>
    </xf>
    <xf numFmtId="3" fontId="3" fillId="6" borderId="69" xfId="0" applyNumberFormat="1" applyFont="1" applyFill="1" applyBorder="1" applyAlignment="1">
      <alignment horizontal="center" vertical="top"/>
    </xf>
    <xf numFmtId="3" fontId="3" fillId="6" borderId="34" xfId="0" applyNumberFormat="1" applyFont="1" applyFill="1" applyBorder="1" applyAlignment="1">
      <alignment horizontal="center" vertical="top"/>
    </xf>
    <xf numFmtId="3" fontId="3" fillId="6" borderId="103" xfId="0" applyNumberFormat="1" applyFont="1" applyFill="1" applyBorder="1" applyAlignment="1">
      <alignment horizontal="center" vertical="top"/>
    </xf>
    <xf numFmtId="3" fontId="3" fillId="0" borderId="97" xfId="0" applyNumberFormat="1" applyFont="1" applyBorder="1" applyAlignment="1">
      <alignment horizontal="center" vertical="top"/>
    </xf>
    <xf numFmtId="3" fontId="3" fillId="6" borderId="92" xfId="0" applyNumberFormat="1" applyFont="1" applyFill="1" applyBorder="1" applyAlignment="1">
      <alignment horizontal="center" vertical="top"/>
    </xf>
    <xf numFmtId="3" fontId="3" fillId="0" borderId="69" xfId="0" applyNumberFormat="1" applyFont="1" applyBorder="1" applyAlignment="1">
      <alignment horizontal="center" vertical="top"/>
    </xf>
    <xf numFmtId="3" fontId="3" fillId="0" borderId="56" xfId="0" applyNumberFormat="1" applyFont="1" applyBorder="1" applyAlignment="1">
      <alignment horizontal="center" vertical="top"/>
    </xf>
    <xf numFmtId="3" fontId="3" fillId="2" borderId="92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horizontal="center" vertical="top"/>
    </xf>
    <xf numFmtId="3" fontId="3" fillId="0" borderId="92" xfId="0" applyNumberFormat="1" applyFont="1" applyFill="1" applyBorder="1" applyAlignment="1">
      <alignment horizontal="center" vertical="top"/>
    </xf>
    <xf numFmtId="3" fontId="3" fillId="0" borderId="69" xfId="0" applyNumberFormat="1" applyFont="1" applyFill="1" applyBorder="1" applyAlignment="1">
      <alignment horizontal="center" vertical="top"/>
    </xf>
    <xf numFmtId="3" fontId="3" fillId="0" borderId="75" xfId="0" applyNumberFormat="1" applyFont="1" applyBorder="1" applyAlignment="1">
      <alignment horizontal="center" vertical="top"/>
    </xf>
    <xf numFmtId="3" fontId="3" fillId="0" borderId="39" xfId="0" applyNumberFormat="1" applyFont="1" applyBorder="1" applyAlignment="1">
      <alignment horizontal="center" vertical="top"/>
    </xf>
    <xf numFmtId="3" fontId="3" fillId="6" borderId="75" xfId="0" applyNumberFormat="1" applyFont="1" applyFill="1" applyBorder="1" applyAlignment="1">
      <alignment horizontal="center" vertical="top"/>
    </xf>
    <xf numFmtId="3" fontId="3" fillId="0" borderId="103" xfId="0" applyNumberFormat="1" applyFont="1" applyBorder="1" applyAlignment="1">
      <alignment horizontal="center" vertical="top"/>
    </xf>
    <xf numFmtId="3" fontId="3" fillId="0" borderId="75" xfId="0" applyNumberFormat="1" applyFont="1" applyFill="1" applyBorder="1" applyAlignment="1">
      <alignment horizontal="center" vertical="top"/>
    </xf>
    <xf numFmtId="3" fontId="3" fillId="6" borderId="110" xfId="0" applyNumberFormat="1" applyFont="1" applyFill="1" applyBorder="1" applyAlignment="1">
      <alignment horizontal="center" vertical="top"/>
    </xf>
    <xf numFmtId="164" fontId="3" fillId="0" borderId="23" xfId="0" applyNumberFormat="1" applyFont="1" applyBorder="1" applyAlignment="1">
      <alignment horizontal="center" vertical="top"/>
    </xf>
    <xf numFmtId="3" fontId="19" fillId="6" borderId="56" xfId="0" applyNumberFormat="1" applyFont="1" applyFill="1" applyBorder="1" applyAlignment="1">
      <alignment horizontal="center" vertical="top"/>
    </xf>
    <xf numFmtId="3" fontId="31" fillId="10" borderId="65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center" vertical="top"/>
    </xf>
    <xf numFmtId="3" fontId="18" fillId="6" borderId="119" xfId="0" applyNumberFormat="1" applyFont="1" applyFill="1" applyBorder="1" applyAlignment="1">
      <alignment horizontal="center" vertical="top"/>
    </xf>
    <xf numFmtId="3" fontId="18" fillId="6" borderId="113" xfId="0" applyNumberFormat="1" applyFont="1" applyFill="1" applyBorder="1" applyAlignment="1">
      <alignment horizontal="center" vertical="top"/>
    </xf>
    <xf numFmtId="3" fontId="5" fillId="10" borderId="0" xfId="0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/>
    </xf>
    <xf numFmtId="3" fontId="18" fillId="6" borderId="109" xfId="0" applyNumberFormat="1" applyFont="1" applyFill="1" applyBorder="1" applyAlignment="1">
      <alignment horizontal="center" vertical="top"/>
    </xf>
    <xf numFmtId="3" fontId="18" fillId="6" borderId="84" xfId="0" applyNumberFormat="1" applyFont="1" applyFill="1" applyBorder="1" applyAlignment="1">
      <alignment horizontal="center" vertical="top"/>
    </xf>
    <xf numFmtId="3" fontId="5" fillId="10" borderId="9" xfId="0" applyNumberFormat="1" applyFont="1" applyFill="1" applyBorder="1" applyAlignment="1">
      <alignment horizontal="center" vertical="top"/>
    </xf>
    <xf numFmtId="3" fontId="3" fillId="0" borderId="42" xfId="0" applyNumberFormat="1" applyFont="1" applyBorder="1" applyAlignment="1">
      <alignment horizontal="center" vertical="top"/>
    </xf>
    <xf numFmtId="3" fontId="5" fillId="8" borderId="72" xfId="0" applyNumberFormat="1" applyFont="1" applyFill="1" applyBorder="1" applyAlignment="1">
      <alignment horizontal="center" vertical="top"/>
    </xf>
    <xf numFmtId="3" fontId="5" fillId="8" borderId="73" xfId="0" applyNumberFormat="1" applyFont="1" applyFill="1" applyBorder="1" applyAlignment="1">
      <alignment horizontal="center" vertical="top"/>
    </xf>
    <xf numFmtId="3" fontId="5" fillId="3" borderId="29" xfId="0" applyNumberFormat="1" applyFont="1" applyFill="1" applyBorder="1" applyAlignment="1">
      <alignment horizontal="center" vertical="top"/>
    </xf>
    <xf numFmtId="3" fontId="5" fillId="8" borderId="65" xfId="0" applyNumberFormat="1" applyFont="1" applyFill="1" applyBorder="1" applyAlignment="1">
      <alignment horizontal="center" vertical="top"/>
    </xf>
    <xf numFmtId="3" fontId="5" fillId="8" borderId="60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right" vertical="top"/>
    </xf>
    <xf numFmtId="164" fontId="3" fillId="2" borderId="7" xfId="0" applyNumberFormat="1" applyFont="1" applyFill="1" applyBorder="1" applyAlignment="1">
      <alignment horizontal="right" vertical="top"/>
    </xf>
    <xf numFmtId="3" fontId="5" fillId="11" borderId="24" xfId="0" applyNumberFormat="1" applyFont="1" applyFill="1" applyBorder="1" applyAlignment="1">
      <alignment horizontal="center" vertical="top"/>
    </xf>
    <xf numFmtId="3" fontId="5" fillId="4" borderId="24" xfId="0" applyNumberFormat="1" applyFont="1" applyFill="1" applyBorder="1" applyAlignment="1">
      <alignment horizontal="center" vertical="top"/>
    </xf>
    <xf numFmtId="3" fontId="5" fillId="4" borderId="23" xfId="0" applyNumberFormat="1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/>
    </xf>
    <xf numFmtId="3" fontId="19" fillId="0" borderId="22" xfId="0" applyNumberFormat="1" applyFont="1" applyBorder="1" applyAlignment="1">
      <alignment horizontal="center" vertical="top" wrapText="1"/>
    </xf>
    <xf numFmtId="0" fontId="5" fillId="8" borderId="35" xfId="0" applyFont="1" applyFill="1" applyBorder="1" applyAlignment="1">
      <alignment horizontal="center" vertical="top"/>
    </xf>
    <xf numFmtId="3" fontId="3" fillId="6" borderId="64" xfId="0" applyNumberFormat="1" applyFont="1" applyFill="1" applyBorder="1" applyAlignment="1">
      <alignment horizontal="center" vertical="top"/>
    </xf>
    <xf numFmtId="3" fontId="19" fillId="6" borderId="9" xfId="0" applyNumberFormat="1" applyFont="1" applyFill="1" applyBorder="1" applyAlignment="1">
      <alignment horizontal="center" vertical="top"/>
    </xf>
    <xf numFmtId="3" fontId="19" fillId="6" borderId="39" xfId="0" applyNumberFormat="1" applyFont="1" applyFill="1" applyBorder="1" applyAlignment="1">
      <alignment horizontal="center" vertical="top"/>
    </xf>
    <xf numFmtId="164" fontId="2" fillId="0" borderId="79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center"/>
    </xf>
    <xf numFmtId="49" fontId="5" fillId="11" borderId="10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3" borderId="49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76" xfId="0" applyFont="1" applyFill="1" applyBorder="1" applyAlignment="1">
      <alignment horizontal="center" vertical="top" wrapText="1"/>
    </xf>
    <xf numFmtId="0" fontId="3" fillId="6" borderId="74" xfId="0" applyFont="1" applyFill="1" applyBorder="1" applyAlignment="1">
      <alignment horizontal="center" vertical="top"/>
    </xf>
    <xf numFmtId="0" fontId="3" fillId="0" borderId="97" xfId="0" applyFont="1" applyFill="1" applyBorder="1" applyAlignment="1">
      <alignment horizontal="center" vertical="top" wrapText="1"/>
    </xf>
    <xf numFmtId="0" fontId="3" fillId="6" borderId="92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92" xfId="0" applyFont="1" applyFill="1" applyBorder="1" applyAlignment="1">
      <alignment horizontal="center" vertical="top" wrapText="1"/>
    </xf>
    <xf numFmtId="0" fontId="3" fillId="0" borderId="103" xfId="0" applyFont="1" applyFill="1" applyBorder="1" applyAlignment="1">
      <alignment horizontal="center" vertical="top" wrapText="1"/>
    </xf>
    <xf numFmtId="0" fontId="3" fillId="0" borderId="112" xfId="0" applyFont="1" applyFill="1" applyBorder="1" applyAlignment="1">
      <alignment horizontal="center" vertical="top" wrapText="1"/>
    </xf>
    <xf numFmtId="3" fontId="19" fillId="0" borderId="64" xfId="0" applyNumberFormat="1" applyFont="1" applyBorder="1" applyAlignment="1">
      <alignment horizontal="center" vertical="top"/>
    </xf>
    <xf numFmtId="3" fontId="3" fillId="0" borderId="118" xfId="0" applyNumberFormat="1" applyFont="1" applyBorder="1" applyAlignment="1">
      <alignment horizontal="center" vertical="top"/>
    </xf>
    <xf numFmtId="3" fontId="3" fillId="6" borderId="89" xfId="0" applyNumberFormat="1" applyFont="1" applyFill="1" applyBorder="1" applyAlignment="1">
      <alignment horizontal="center" vertical="top"/>
    </xf>
    <xf numFmtId="3" fontId="3" fillId="0" borderId="54" xfId="0" applyNumberFormat="1" applyFont="1" applyBorder="1" applyAlignment="1">
      <alignment horizontal="center" vertical="top"/>
    </xf>
    <xf numFmtId="3" fontId="3" fillId="0" borderId="51" xfId="0" applyNumberFormat="1" applyFont="1" applyBorder="1" applyAlignment="1">
      <alignment horizontal="center" vertical="top"/>
    </xf>
    <xf numFmtId="3" fontId="3" fillId="2" borderId="89" xfId="0" applyNumberFormat="1" applyFont="1" applyFill="1" applyBorder="1" applyAlignment="1">
      <alignment horizontal="center" vertical="top"/>
    </xf>
    <xf numFmtId="3" fontId="3" fillId="0" borderId="52" xfId="0" applyNumberFormat="1" applyFont="1" applyFill="1" applyBorder="1" applyAlignment="1">
      <alignment horizontal="center" vertical="top"/>
    </xf>
    <xf numFmtId="3" fontId="3" fillId="0" borderId="89" xfId="0" applyNumberFormat="1" applyFont="1" applyFill="1" applyBorder="1" applyAlignment="1">
      <alignment horizontal="center" vertical="top"/>
    </xf>
    <xf numFmtId="3" fontId="3" fillId="0" borderId="54" xfId="0" applyNumberFormat="1" applyFont="1" applyFill="1" applyBorder="1" applyAlignment="1">
      <alignment horizontal="center" vertical="top"/>
    </xf>
    <xf numFmtId="3" fontId="5" fillId="10" borderId="35" xfId="0" applyNumberFormat="1" applyFont="1" applyFill="1" applyBorder="1" applyAlignment="1">
      <alignment horizontal="center" vertical="top"/>
    </xf>
    <xf numFmtId="3" fontId="19" fillId="2" borderId="69" xfId="0" applyNumberFormat="1" applyFont="1" applyFill="1" applyBorder="1" applyAlignment="1">
      <alignment horizontal="center" vertical="top"/>
    </xf>
    <xf numFmtId="3" fontId="31" fillId="10" borderId="35" xfId="0" applyNumberFormat="1" applyFont="1" applyFill="1" applyBorder="1" applyAlignment="1">
      <alignment horizontal="center" vertical="top"/>
    </xf>
    <xf numFmtId="0" fontId="19" fillId="0" borderId="32" xfId="0" applyNumberFormat="1" applyFont="1" applyFill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/>
    </xf>
    <xf numFmtId="0" fontId="3" fillId="0" borderId="30" xfId="1" applyFont="1" applyFill="1" applyBorder="1" applyAlignment="1">
      <alignment vertical="top" wrapText="1"/>
    </xf>
    <xf numFmtId="3" fontId="19" fillId="0" borderId="76" xfId="0" applyNumberFormat="1" applyFont="1" applyBorder="1" applyAlignment="1">
      <alignment horizontal="center" vertical="top"/>
    </xf>
    <xf numFmtId="0" fontId="3" fillId="0" borderId="121" xfId="0" applyFont="1" applyFill="1" applyBorder="1" applyAlignment="1">
      <alignment vertical="top" wrapText="1"/>
    </xf>
    <xf numFmtId="3" fontId="19" fillId="6" borderId="50" xfId="0" applyNumberFormat="1" applyFont="1" applyFill="1" applyBorder="1" applyAlignment="1">
      <alignment horizontal="center" vertical="top"/>
    </xf>
    <xf numFmtId="3" fontId="19" fillId="6" borderId="117" xfId="0" applyNumberFormat="1" applyFont="1" applyFill="1" applyBorder="1" applyAlignment="1">
      <alignment horizontal="center" vertical="top"/>
    </xf>
    <xf numFmtId="3" fontId="19" fillId="6" borderId="19" xfId="0" applyNumberFormat="1" applyFont="1" applyFill="1" applyBorder="1" applyAlignment="1">
      <alignment horizontal="center" vertical="top"/>
    </xf>
    <xf numFmtId="3" fontId="19" fillId="6" borderId="41" xfId="0" applyNumberFormat="1" applyFont="1" applyFill="1" applyBorder="1" applyAlignment="1">
      <alignment horizontal="center" vertical="top"/>
    </xf>
    <xf numFmtId="3" fontId="19" fillId="6" borderId="42" xfId="0" applyNumberFormat="1" applyFont="1" applyFill="1" applyBorder="1" applyAlignment="1">
      <alignment horizontal="center" vertical="top"/>
    </xf>
    <xf numFmtId="3" fontId="19" fillId="6" borderId="48" xfId="0" applyNumberFormat="1" applyFont="1" applyFill="1" applyBorder="1" applyAlignment="1">
      <alignment horizontal="center" vertical="top"/>
    </xf>
    <xf numFmtId="3" fontId="31" fillId="10" borderId="9" xfId="0" applyNumberFormat="1" applyFont="1" applyFill="1" applyBorder="1" applyAlignment="1">
      <alignment horizontal="center" vertical="top"/>
    </xf>
    <xf numFmtId="3" fontId="31" fillId="3" borderId="24" xfId="0" applyNumberFormat="1" applyFont="1" applyFill="1" applyBorder="1" applyAlignment="1">
      <alignment horizontal="center" vertical="top"/>
    </xf>
    <xf numFmtId="3" fontId="19" fillId="0" borderId="18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vertical="top"/>
    </xf>
    <xf numFmtId="0" fontId="3" fillId="0" borderId="94" xfId="0" applyFont="1" applyFill="1" applyBorder="1" applyAlignment="1">
      <alignment horizontal="left" vertical="top" wrapText="1"/>
    </xf>
    <xf numFmtId="3" fontId="19" fillId="0" borderId="32" xfId="0" applyNumberFormat="1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vertical="top" wrapText="1"/>
    </xf>
    <xf numFmtId="3" fontId="19" fillId="6" borderId="69" xfId="0" applyNumberFormat="1" applyFont="1" applyFill="1" applyBorder="1" applyAlignment="1">
      <alignment horizontal="center" vertical="top"/>
    </xf>
    <xf numFmtId="3" fontId="3" fillId="0" borderId="74" xfId="0" applyNumberFormat="1" applyFont="1" applyBorder="1" applyAlignment="1">
      <alignment horizontal="center" vertical="top" wrapText="1"/>
    </xf>
    <xf numFmtId="3" fontId="3" fillId="8" borderId="74" xfId="0" applyNumberFormat="1" applyFont="1" applyFill="1" applyBorder="1" applyAlignment="1">
      <alignment horizontal="center" vertical="top" wrapText="1"/>
    </xf>
    <xf numFmtId="3" fontId="5" fillId="4" borderId="74" xfId="0" applyNumberFormat="1" applyFont="1" applyFill="1" applyBorder="1" applyAlignment="1">
      <alignment horizontal="center" vertical="top" wrapText="1"/>
    </xf>
    <xf numFmtId="3" fontId="5" fillId="4" borderId="69" xfId="0" applyNumberFormat="1" applyFont="1" applyFill="1" applyBorder="1" applyAlignment="1">
      <alignment horizontal="center" vertical="top" wrapText="1"/>
    </xf>
    <xf numFmtId="3" fontId="5" fillId="8" borderId="69" xfId="0" applyNumberFormat="1" applyFont="1" applyFill="1" applyBorder="1" applyAlignment="1">
      <alignment horizontal="center" vertical="top" wrapText="1"/>
    </xf>
    <xf numFmtId="3" fontId="5" fillId="5" borderId="34" xfId="0" applyNumberFormat="1" applyFont="1" applyFill="1" applyBorder="1" applyAlignment="1">
      <alignment horizontal="center" vertical="top" wrapText="1"/>
    </xf>
    <xf numFmtId="3" fontId="31" fillId="4" borderId="7" xfId="0" applyNumberFormat="1" applyFont="1" applyFill="1" applyBorder="1" applyAlignment="1">
      <alignment horizontal="center" vertical="top" wrapText="1"/>
    </xf>
    <xf numFmtId="3" fontId="31" fillId="8" borderId="23" xfId="0" applyNumberFormat="1" applyFont="1" applyFill="1" applyBorder="1" applyAlignment="1">
      <alignment horizontal="center" vertical="top" wrapText="1"/>
    </xf>
    <xf numFmtId="3" fontId="19" fillId="8" borderId="22" xfId="0" applyNumberFormat="1" applyFont="1" applyFill="1" applyBorder="1" applyAlignment="1">
      <alignment horizontal="center" vertical="top" wrapText="1"/>
    </xf>
    <xf numFmtId="3" fontId="31" fillId="4" borderId="22" xfId="0" applyNumberFormat="1" applyFont="1" applyFill="1" applyBorder="1" applyAlignment="1">
      <alignment horizontal="center" vertical="top" wrapText="1"/>
    </xf>
    <xf numFmtId="3" fontId="31" fillId="5" borderId="65" xfId="0" applyNumberFormat="1" applyFont="1" applyFill="1" applyBorder="1" applyAlignment="1">
      <alignment horizontal="center" vertical="top" wrapText="1"/>
    </xf>
    <xf numFmtId="3" fontId="31" fillId="8" borderId="65" xfId="0" applyNumberFormat="1" applyFont="1" applyFill="1" applyBorder="1" applyAlignment="1">
      <alignment horizontal="center" vertical="top"/>
    </xf>
    <xf numFmtId="3" fontId="31" fillId="11" borderId="24" xfId="0" applyNumberFormat="1" applyFont="1" applyFill="1" applyBorder="1" applyAlignment="1">
      <alignment horizontal="center" vertical="top"/>
    </xf>
    <xf numFmtId="3" fontId="31" fillId="4" borderId="24" xfId="0" applyNumberFormat="1" applyFont="1" applyFill="1" applyBorder="1" applyAlignment="1">
      <alignment horizontal="center" vertical="top"/>
    </xf>
    <xf numFmtId="3" fontId="19" fillId="6" borderId="15" xfId="0" applyNumberFormat="1" applyFont="1" applyFill="1" applyBorder="1" applyAlignment="1">
      <alignment horizontal="center" vertical="top"/>
    </xf>
    <xf numFmtId="3" fontId="19" fillId="0" borderId="79" xfId="0" applyNumberFormat="1" applyFont="1" applyFill="1" applyBorder="1" applyAlignment="1">
      <alignment horizontal="center" vertical="top" wrapText="1"/>
    </xf>
    <xf numFmtId="0" fontId="19" fillId="0" borderId="102" xfId="0" applyFont="1" applyFill="1" applyBorder="1" applyAlignment="1">
      <alignment vertical="top" wrapText="1"/>
    </xf>
    <xf numFmtId="0" fontId="3" fillId="6" borderId="78" xfId="0" applyFont="1" applyFill="1" applyBorder="1" applyAlignment="1">
      <alignment horizontal="center" vertical="center"/>
    </xf>
    <xf numFmtId="0" fontId="19" fillId="6" borderId="97" xfId="0" applyFont="1" applyFill="1" applyBorder="1" applyAlignment="1">
      <alignment vertical="top" wrapText="1"/>
    </xf>
    <xf numFmtId="0" fontId="19" fillId="6" borderId="78" xfId="0" applyFont="1" applyFill="1" applyBorder="1" applyAlignment="1">
      <alignment horizontal="center" vertical="top"/>
    </xf>
    <xf numFmtId="0" fontId="3" fillId="6" borderId="43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11" borderId="11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3" borderId="25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49" xfId="0" applyNumberFormat="1" applyFont="1" applyBorder="1" applyAlignment="1">
      <alignment horizontal="center" vertical="top"/>
    </xf>
    <xf numFmtId="49" fontId="5" fillId="3" borderId="46" xfId="0" applyNumberFormat="1" applyFont="1" applyFill="1" applyBorder="1" applyAlignment="1">
      <alignment horizontal="center" vertical="top"/>
    </xf>
    <xf numFmtId="49" fontId="5" fillId="3" borderId="61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49" fontId="5" fillId="3" borderId="49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center" textRotation="90" wrapText="1" shrinkToFit="1"/>
    </xf>
    <xf numFmtId="0" fontId="3" fillId="6" borderId="36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49" fontId="5" fillId="0" borderId="32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textRotation="90" wrapText="1"/>
    </xf>
    <xf numFmtId="49" fontId="5" fillId="10" borderId="16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3" fillId="6" borderId="9" xfId="0" applyNumberFormat="1" applyFont="1" applyFill="1" applyBorder="1" applyAlignment="1">
      <alignment horizontal="center" vertical="top" wrapText="1"/>
    </xf>
    <xf numFmtId="0" fontId="3" fillId="6" borderId="90" xfId="0" applyFont="1" applyFill="1" applyBorder="1" applyAlignment="1">
      <alignment horizontal="left" vertical="top" wrapText="1"/>
    </xf>
    <xf numFmtId="0" fontId="3" fillId="6" borderId="32" xfId="0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textRotation="90" wrapText="1"/>
    </xf>
    <xf numFmtId="49" fontId="2" fillId="0" borderId="33" xfId="0" applyNumberFormat="1" applyFont="1" applyBorder="1" applyAlignment="1">
      <alignment horizontal="center" vertical="top" textRotation="90" wrapText="1"/>
    </xf>
    <xf numFmtId="49" fontId="5" fillId="10" borderId="27" xfId="0" applyNumberFormat="1" applyFon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8" fillId="0" borderId="32" xfId="0" applyNumberFormat="1" applyFont="1" applyFill="1" applyBorder="1" applyAlignment="1">
      <alignment horizontal="center" vertical="top" wrapText="1"/>
    </xf>
    <xf numFmtId="0" fontId="19" fillId="6" borderId="30" xfId="0" applyFont="1" applyFill="1" applyBorder="1" applyAlignment="1">
      <alignment horizontal="left" vertical="top" wrapText="1"/>
    </xf>
    <xf numFmtId="0" fontId="3" fillId="6" borderId="97" xfId="0" applyFont="1" applyFill="1" applyBorder="1" applyAlignment="1">
      <alignment vertical="top" wrapText="1"/>
    </xf>
    <xf numFmtId="0" fontId="3" fillId="6" borderId="30" xfId="0" applyFont="1" applyFill="1" applyBorder="1" applyAlignment="1">
      <alignment horizontal="left" vertical="top" wrapText="1"/>
    </xf>
    <xf numFmtId="1" fontId="3" fillId="0" borderId="48" xfId="0" applyNumberFormat="1" applyFont="1" applyBorder="1" applyAlignment="1">
      <alignment horizontal="center" vertical="top"/>
    </xf>
    <xf numFmtId="1" fontId="18" fillId="6" borderId="42" xfId="0" applyNumberFormat="1" applyFont="1" applyFill="1" applyBorder="1" applyAlignment="1">
      <alignment horizontal="center" vertical="top"/>
    </xf>
    <xf numFmtId="1" fontId="18" fillId="6" borderId="41" xfId="0" applyNumberFormat="1" applyFont="1" applyFill="1" applyBorder="1" applyAlignment="1">
      <alignment horizontal="center" vertical="top"/>
    </xf>
    <xf numFmtId="1" fontId="18" fillId="6" borderId="52" xfId="0" applyNumberFormat="1" applyFont="1" applyFill="1" applyBorder="1" applyAlignment="1">
      <alignment horizontal="center" vertical="top"/>
    </xf>
    <xf numFmtId="1" fontId="18" fillId="6" borderId="48" xfId="0" applyNumberFormat="1" applyFont="1" applyFill="1" applyBorder="1" applyAlignment="1">
      <alignment horizontal="center" vertical="top"/>
    </xf>
    <xf numFmtId="1" fontId="18" fillId="6" borderId="6" xfId="0" applyNumberFormat="1" applyFont="1" applyFill="1" applyBorder="1" applyAlignment="1">
      <alignment horizontal="center" vertical="top"/>
    </xf>
    <xf numFmtId="1" fontId="18" fillId="6" borderId="9" xfId="0" applyNumberFormat="1" applyFont="1" applyFill="1" applyBorder="1" applyAlignment="1">
      <alignment horizontal="center" vertical="top"/>
    </xf>
    <xf numFmtId="1" fontId="18" fillId="0" borderId="48" xfId="0" applyNumberFormat="1" applyFont="1" applyBorder="1" applyAlignment="1">
      <alignment horizontal="center" vertical="top"/>
    </xf>
    <xf numFmtId="1" fontId="18" fillId="2" borderId="41" xfId="0" applyNumberFormat="1" applyFont="1" applyFill="1" applyBorder="1" applyAlignment="1">
      <alignment horizontal="center" vertical="top"/>
    </xf>
    <xf numFmtId="1" fontId="18" fillId="2" borderId="119" xfId="0" applyNumberFormat="1" applyFont="1" applyFill="1" applyBorder="1" applyAlignment="1">
      <alignment horizontal="center" vertical="top"/>
    </xf>
    <xf numFmtId="1" fontId="18" fillId="2" borderId="48" xfId="0" applyNumberFormat="1" applyFont="1" applyFill="1" applyBorder="1" applyAlignment="1">
      <alignment horizontal="center" vertical="top"/>
    </xf>
    <xf numFmtId="1" fontId="3" fillId="2" borderId="42" xfId="0" applyNumberFormat="1" applyFont="1" applyFill="1" applyBorder="1" applyAlignment="1">
      <alignment horizontal="center" vertical="top"/>
    </xf>
    <xf numFmtId="1" fontId="3" fillId="6" borderId="42" xfId="0" applyNumberFormat="1" applyFont="1" applyFill="1" applyBorder="1" applyAlignment="1">
      <alignment horizontal="center" vertical="top"/>
    </xf>
    <xf numFmtId="1" fontId="3" fillId="6" borderId="22" xfId="0" applyNumberFormat="1" applyFont="1" applyFill="1" applyBorder="1" applyAlignment="1">
      <alignment horizontal="center" vertical="top"/>
    </xf>
    <xf numFmtId="1" fontId="5" fillId="10" borderId="65" xfId="0" applyNumberFormat="1" applyFont="1" applyFill="1" applyBorder="1" applyAlignment="1">
      <alignment horizontal="center" vertical="top"/>
    </xf>
    <xf numFmtId="1" fontId="24" fillId="0" borderId="70" xfId="0" applyNumberFormat="1" applyFont="1" applyBorder="1" applyAlignment="1">
      <alignment horizontal="center" vertical="top"/>
    </xf>
    <xf numFmtId="1" fontId="3" fillId="6" borderId="6" xfId="0" applyNumberFormat="1" applyFont="1" applyFill="1" applyBorder="1" applyAlignment="1">
      <alignment horizontal="center" vertical="top"/>
    </xf>
    <xf numFmtId="1" fontId="3" fillId="6" borderId="91" xfId="0" applyNumberFormat="1" applyFont="1" applyFill="1" applyBorder="1" applyAlignment="1">
      <alignment horizontal="center" vertical="top"/>
    </xf>
    <xf numFmtId="1" fontId="3" fillId="6" borderId="48" xfId="0" applyNumberFormat="1" applyFont="1" applyFill="1" applyBorder="1" applyAlignment="1">
      <alignment horizontal="center" vertical="top"/>
    </xf>
    <xf numFmtId="1" fontId="3" fillId="6" borderId="113" xfId="0" applyNumberFormat="1" applyFont="1" applyFill="1" applyBorder="1" applyAlignment="1">
      <alignment horizontal="center" vertical="top"/>
    </xf>
    <xf numFmtId="1" fontId="3" fillId="6" borderId="29" xfId="0" applyNumberFormat="1" applyFont="1" applyFill="1" applyBorder="1" applyAlignment="1">
      <alignment horizontal="center" vertical="top"/>
    </xf>
    <xf numFmtId="1" fontId="3" fillId="6" borderId="119" xfId="0" applyNumberFormat="1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top"/>
    </xf>
    <xf numFmtId="1" fontId="5" fillId="10" borderId="34" xfId="0" applyNumberFormat="1" applyFont="1" applyFill="1" applyBorder="1" applyAlignment="1">
      <alignment horizontal="center" vertical="top"/>
    </xf>
    <xf numFmtId="1" fontId="19" fillId="0" borderId="7" xfId="0" applyNumberFormat="1" applyFont="1" applyBorder="1" applyAlignment="1">
      <alignment horizontal="center" vertical="top"/>
    </xf>
    <xf numFmtId="1" fontId="3" fillId="6" borderId="23" xfId="0" applyNumberFormat="1" applyFont="1" applyFill="1" applyBorder="1" applyAlignment="1">
      <alignment horizontal="center" vertical="top"/>
    </xf>
    <xf numFmtId="1" fontId="3" fillId="0" borderId="84" xfId="0" applyNumberFormat="1" applyFont="1" applyBorder="1" applyAlignment="1">
      <alignment horizontal="center" vertical="top"/>
    </xf>
    <xf numFmtId="1" fontId="3" fillId="6" borderId="80" xfId="0" applyNumberFormat="1" applyFont="1" applyFill="1" applyBorder="1" applyAlignment="1">
      <alignment horizontal="center" vertical="top"/>
    </xf>
    <xf numFmtId="1" fontId="3" fillId="0" borderId="23" xfId="0" applyNumberFormat="1" applyFont="1" applyBorder="1" applyAlignment="1">
      <alignment horizontal="center" vertical="top"/>
    </xf>
    <xf numFmtId="1" fontId="3" fillId="6" borderId="84" xfId="0" applyNumberFormat="1" applyFont="1" applyFill="1" applyBorder="1" applyAlignment="1">
      <alignment horizontal="center" vertical="top"/>
    </xf>
    <xf numFmtId="1" fontId="3" fillId="6" borderId="107" xfId="0" applyNumberFormat="1" applyFont="1" applyFill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1" fontId="3" fillId="2" borderId="80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1" fontId="3" fillId="0" borderId="80" xfId="0" applyNumberFormat="1" applyFont="1" applyFill="1" applyBorder="1" applyAlignment="1">
      <alignment horizontal="center" vertical="top"/>
    </xf>
    <xf numFmtId="1" fontId="3" fillId="0" borderId="23" xfId="0" applyNumberFormat="1" applyFont="1" applyFill="1" applyBorder="1" applyAlignment="1">
      <alignment horizontal="center" vertical="top"/>
    </xf>
    <xf numFmtId="1" fontId="3" fillId="0" borderId="70" xfId="0" applyNumberFormat="1" applyFont="1" applyBorder="1" applyAlignment="1">
      <alignment horizontal="center" vertical="top"/>
    </xf>
    <xf numFmtId="1" fontId="3" fillId="6" borderId="41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1" fontId="3" fillId="6" borderId="40" xfId="0" applyNumberFormat="1" applyFont="1" applyFill="1" applyBorder="1" applyAlignment="1">
      <alignment horizontal="center" vertical="top"/>
    </xf>
    <xf numFmtId="1" fontId="3" fillId="6" borderId="52" xfId="0" applyNumberFormat="1" applyFont="1" applyFill="1" applyBorder="1" applyAlignment="1">
      <alignment horizontal="center" vertical="top"/>
    </xf>
    <xf numFmtId="1" fontId="3" fillId="6" borderId="54" xfId="0" applyNumberFormat="1" applyFont="1" applyFill="1" applyBorder="1" applyAlignment="1">
      <alignment horizontal="center" vertical="top"/>
    </xf>
    <xf numFmtId="1" fontId="3" fillId="0" borderId="40" xfId="0" applyNumberFormat="1" applyFont="1" applyBorder="1" applyAlignment="1">
      <alignment horizontal="center" vertical="top"/>
    </xf>
    <xf numFmtId="1" fontId="3" fillId="0" borderId="89" xfId="0" applyNumberFormat="1" applyFont="1" applyBorder="1" applyAlignment="1">
      <alignment horizontal="center" vertical="top"/>
    </xf>
    <xf numFmtId="1" fontId="5" fillId="10" borderId="72" xfId="0" applyNumberFormat="1" applyFont="1" applyFill="1" applyBorder="1" applyAlignment="1">
      <alignment horizontal="center" vertical="top"/>
    </xf>
    <xf numFmtId="1" fontId="3" fillId="0" borderId="70" xfId="0" applyNumberFormat="1" applyFont="1" applyFill="1" applyBorder="1" applyAlignment="1">
      <alignment horizontal="center" vertical="top"/>
    </xf>
    <xf numFmtId="1" fontId="3" fillId="6" borderId="116" xfId="0" applyNumberFormat="1" applyFont="1" applyFill="1" applyBorder="1" applyAlignment="1">
      <alignment horizontal="center" vertical="top"/>
    </xf>
    <xf numFmtId="1" fontId="5" fillId="10" borderId="66" xfId="0" applyNumberFormat="1" applyFont="1" applyFill="1" applyBorder="1" applyAlignment="1">
      <alignment horizontal="center" vertical="top"/>
    </xf>
    <xf numFmtId="1" fontId="3" fillId="6" borderId="70" xfId="0" applyNumberFormat="1" applyFont="1" applyFill="1" applyBorder="1" applyAlignment="1">
      <alignment horizontal="center" vertical="top"/>
    </xf>
    <xf numFmtId="1" fontId="5" fillId="3" borderId="62" xfId="0" applyNumberFormat="1" applyFont="1" applyFill="1" applyBorder="1" applyAlignment="1">
      <alignment horizontal="center" vertical="top"/>
    </xf>
    <xf numFmtId="1" fontId="18" fillId="6" borderId="117" xfId="0" applyNumberFormat="1" applyFont="1" applyFill="1" applyBorder="1" applyAlignment="1">
      <alignment horizontal="center" vertical="top"/>
    </xf>
    <xf numFmtId="1" fontId="18" fillId="6" borderId="19" xfId="0" applyNumberFormat="1" applyFont="1" applyFill="1" applyBorder="1" applyAlignment="1">
      <alignment horizontal="center" vertical="top"/>
    </xf>
    <xf numFmtId="1" fontId="3" fillId="6" borderId="118" xfId="0" applyNumberFormat="1" applyFont="1" applyFill="1" applyBorder="1" applyAlignment="1">
      <alignment horizontal="center" vertical="top"/>
    </xf>
    <xf numFmtId="1" fontId="3" fillId="6" borderId="19" xfId="0" applyNumberFormat="1" applyFont="1" applyFill="1" applyBorder="1" applyAlignment="1">
      <alignment horizontal="center" vertical="top"/>
    </xf>
    <xf numFmtId="1" fontId="3" fillId="6" borderId="50" xfId="0" applyNumberFormat="1" applyFont="1" applyFill="1" applyBorder="1" applyAlignment="1">
      <alignment horizontal="center" vertical="top"/>
    </xf>
    <xf numFmtId="1" fontId="18" fillId="6" borderId="85" xfId="0" applyNumberFormat="1" applyFont="1" applyFill="1" applyBorder="1" applyAlignment="1">
      <alignment horizontal="center" vertical="top"/>
    </xf>
    <xf numFmtId="1" fontId="3" fillId="6" borderId="85" xfId="0" applyNumberFormat="1" applyFont="1" applyFill="1" applyBorder="1" applyAlignment="1">
      <alignment horizontal="center" vertical="top"/>
    </xf>
    <xf numFmtId="1" fontId="18" fillId="6" borderId="23" xfId="0" applyNumberFormat="1" applyFont="1" applyFill="1" applyBorder="1" applyAlignment="1">
      <alignment horizontal="center" vertical="top"/>
    </xf>
    <xf numFmtId="1" fontId="5" fillId="10" borderId="38" xfId="0" applyNumberFormat="1" applyFont="1" applyFill="1" applyBorder="1" applyAlignment="1">
      <alignment horizontal="center" vertical="top"/>
    </xf>
    <xf numFmtId="1" fontId="5" fillId="3" borderId="55" xfId="0" applyNumberFormat="1" applyFont="1" applyFill="1" applyBorder="1" applyAlignment="1">
      <alignment horizontal="center" vertical="top"/>
    </xf>
    <xf numFmtId="1" fontId="3" fillId="6" borderId="53" xfId="0" applyNumberFormat="1" applyFont="1" applyFill="1" applyBorder="1" applyAlignment="1">
      <alignment horizontal="center" vertical="top"/>
    </xf>
    <xf numFmtId="1" fontId="5" fillId="8" borderId="59" xfId="0" applyNumberFormat="1" applyFont="1" applyFill="1" applyBorder="1" applyAlignment="1">
      <alignment horizontal="center" vertical="top"/>
    </xf>
    <xf numFmtId="1" fontId="5" fillId="3" borderId="21" xfId="0" applyNumberFormat="1" applyFont="1" applyFill="1" applyBorder="1" applyAlignment="1">
      <alignment horizontal="center" vertical="top"/>
    </xf>
    <xf numFmtId="1" fontId="3" fillId="0" borderId="43" xfId="0" applyNumberFormat="1" applyFont="1" applyBorder="1" applyAlignment="1">
      <alignment horizontal="center" vertical="top"/>
    </xf>
    <xf numFmtId="1" fontId="5" fillId="8" borderId="11" xfId="0" applyNumberFormat="1" applyFont="1" applyFill="1" applyBorder="1" applyAlignment="1">
      <alignment horizontal="center" vertical="top"/>
    </xf>
    <xf numFmtId="1" fontId="3" fillId="0" borderId="38" xfId="0" applyNumberFormat="1" applyFont="1" applyBorder="1" applyAlignment="1">
      <alignment horizontal="center" vertical="top"/>
    </xf>
    <xf numFmtId="1" fontId="3" fillId="6" borderId="37" xfId="0" applyNumberFormat="1" applyFont="1" applyFill="1" applyBorder="1" applyAlignment="1">
      <alignment horizontal="center" vertical="top"/>
    </xf>
    <xf numFmtId="1" fontId="5" fillId="8" borderId="34" xfId="0" applyNumberFormat="1" applyFont="1" applyFill="1" applyBorder="1" applyAlignment="1">
      <alignment horizontal="center" vertical="top"/>
    </xf>
    <xf numFmtId="1" fontId="5" fillId="11" borderId="55" xfId="0" applyNumberFormat="1" applyFont="1" applyFill="1" applyBorder="1" applyAlignment="1">
      <alignment horizontal="center" vertical="top"/>
    </xf>
    <xf numFmtId="1" fontId="5" fillId="4" borderId="55" xfId="0" applyNumberFormat="1" applyFont="1" applyFill="1" applyBorder="1" applyAlignment="1">
      <alignment horizontal="center" vertical="top"/>
    </xf>
    <xf numFmtId="1" fontId="5" fillId="4" borderId="7" xfId="0" applyNumberFormat="1" applyFont="1" applyFill="1" applyBorder="1" applyAlignment="1">
      <alignment horizontal="center" vertical="top" wrapText="1"/>
    </xf>
    <xf numFmtId="1" fontId="5" fillId="8" borderId="23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top" wrapText="1"/>
    </xf>
    <xf numFmtId="1" fontId="3" fillId="8" borderId="22" xfId="0" applyNumberFormat="1" applyFont="1" applyFill="1" applyBorder="1" applyAlignment="1">
      <alignment horizontal="center" vertical="top" wrapText="1"/>
    </xf>
    <xf numFmtId="1" fontId="5" fillId="4" borderId="22" xfId="0" applyNumberFormat="1" applyFont="1" applyFill="1" applyBorder="1" applyAlignment="1">
      <alignment horizontal="center" vertical="top" wrapText="1"/>
    </xf>
    <xf numFmtId="1" fontId="5" fillId="5" borderId="65" xfId="0" applyNumberFormat="1" applyFont="1" applyFill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/>
    </xf>
    <xf numFmtId="0" fontId="3" fillId="8" borderId="74" xfId="0" applyFont="1" applyFill="1" applyBorder="1" applyAlignment="1">
      <alignment horizontal="left" vertical="top" wrapText="1"/>
    </xf>
    <xf numFmtId="0" fontId="3" fillId="8" borderId="42" xfId="0" applyFont="1" applyFill="1" applyBorder="1" applyAlignment="1">
      <alignment horizontal="left" vertical="top" wrapText="1"/>
    </xf>
    <xf numFmtId="0" fontId="3" fillId="8" borderId="4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8" borderId="74" xfId="0" applyFont="1" applyFill="1" applyBorder="1" applyAlignment="1">
      <alignment horizontal="right" vertical="top" wrapText="1"/>
    </xf>
    <xf numFmtId="0" fontId="0" fillId="8" borderId="42" xfId="0" applyFill="1" applyBorder="1" applyAlignment="1">
      <alignment horizontal="right" vertical="top" wrapText="1"/>
    </xf>
    <xf numFmtId="0" fontId="0" fillId="8" borderId="43" xfId="0" applyFill="1" applyBorder="1" applyAlignment="1">
      <alignment horizontal="right" vertical="top" wrapText="1"/>
    </xf>
    <xf numFmtId="0" fontId="0" fillId="8" borderId="42" xfId="0" applyFill="1" applyBorder="1" applyAlignment="1">
      <alignment horizontal="left" vertical="top" wrapText="1"/>
    </xf>
    <xf numFmtId="0" fontId="0" fillId="8" borderId="43" xfId="0" applyFill="1" applyBorder="1" applyAlignment="1">
      <alignment horizontal="left" vertical="top" wrapText="1"/>
    </xf>
    <xf numFmtId="0" fontId="3" fillId="0" borderId="44" xfId="1" applyFont="1" applyFill="1" applyBorder="1" applyAlignment="1">
      <alignment vertical="top" wrapText="1"/>
    </xf>
    <xf numFmtId="0" fontId="7" fillId="0" borderId="102" xfId="0" applyFont="1" applyBorder="1" applyAlignment="1">
      <alignment vertical="top" wrapText="1"/>
    </xf>
    <xf numFmtId="0" fontId="3" fillId="6" borderId="83" xfId="0" applyFont="1" applyFill="1" applyBorder="1" applyAlignment="1">
      <alignment horizontal="left" vertical="top" wrapText="1"/>
    </xf>
    <xf numFmtId="0" fontId="3" fillId="6" borderId="111" xfId="0" applyFont="1" applyFill="1" applyBorder="1" applyAlignment="1">
      <alignment horizontal="left" vertical="top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11" borderId="10" xfId="0" applyNumberFormat="1" applyFont="1" applyFill="1" applyBorder="1" applyAlignment="1">
      <alignment horizontal="center" vertical="top"/>
    </xf>
    <xf numFmtId="49" fontId="5" fillId="3" borderId="27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6" borderId="27" xfId="0" applyNumberFormat="1" applyFont="1" applyFill="1" applyBorder="1" applyAlignment="1">
      <alignment horizontal="center" vertical="top"/>
    </xf>
    <xf numFmtId="49" fontId="5" fillId="6" borderId="1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0" borderId="28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79" xfId="0" applyFont="1" applyFill="1" applyBorder="1" applyAlignment="1">
      <alignment horizontal="left" vertical="top" wrapText="1"/>
    </xf>
    <xf numFmtId="49" fontId="5" fillId="3" borderId="49" xfId="0" applyNumberFormat="1" applyFont="1" applyFill="1" applyBorder="1" applyAlignment="1">
      <alignment horizontal="center" vertical="top"/>
    </xf>
    <xf numFmtId="49" fontId="5" fillId="3" borderId="46" xfId="0" applyNumberFormat="1" applyFont="1" applyFill="1" applyBorder="1" applyAlignment="1">
      <alignment horizontal="center" vertical="top"/>
    </xf>
    <xf numFmtId="49" fontId="5" fillId="6" borderId="46" xfId="0" applyNumberFormat="1" applyFont="1" applyFill="1" applyBorder="1" applyAlignment="1">
      <alignment horizontal="center" vertical="top"/>
    </xf>
    <xf numFmtId="49" fontId="5" fillId="6" borderId="49" xfId="0" applyNumberFormat="1" applyFont="1" applyFill="1" applyBorder="1" applyAlignment="1">
      <alignment horizontal="center" vertical="top"/>
    </xf>
    <xf numFmtId="0" fontId="5" fillId="3" borderId="36" xfId="0" applyFont="1" applyFill="1" applyBorder="1" applyAlignment="1">
      <alignment horizontal="left" vertical="top" wrapText="1"/>
    </xf>
    <xf numFmtId="0" fontId="5" fillId="3" borderId="42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29" xfId="0" applyFont="1" applyBorder="1" applyAlignment="1">
      <alignment horizontal="right" vertical="top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27" xfId="0" applyFont="1" applyBorder="1" applyAlignment="1">
      <alignment horizontal="center" vertical="center" textRotation="90" shrinkToFit="1"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25" xfId="0" applyFont="1" applyBorder="1" applyAlignment="1">
      <alignment horizontal="center" vertical="center" textRotation="90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textRotation="90" shrinkToFit="1"/>
    </xf>
    <xf numFmtId="0" fontId="3" fillId="0" borderId="39" xfId="0" applyFont="1" applyBorder="1" applyAlignment="1">
      <alignment horizontal="center" vertical="center" textRotation="90" shrinkToFit="1"/>
    </xf>
    <xf numFmtId="0" fontId="3" fillId="0" borderId="34" xfId="0" applyFont="1" applyBorder="1" applyAlignment="1">
      <alignment horizontal="center" vertical="center" textRotation="90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49" fontId="5" fillId="7" borderId="76" xfId="0" applyNumberFormat="1" applyFont="1" applyFill="1" applyBorder="1" applyAlignment="1">
      <alignment horizontal="left" vertical="top" wrapText="1"/>
    </xf>
    <xf numFmtId="49" fontId="5" fillId="7" borderId="70" xfId="0" applyNumberFormat="1" applyFont="1" applyFill="1" applyBorder="1" applyAlignment="1">
      <alignment horizontal="left" vertical="top" wrapText="1"/>
    </xf>
    <xf numFmtId="49" fontId="5" fillId="7" borderId="64" xfId="0" applyNumberFormat="1" applyFont="1" applyFill="1" applyBorder="1" applyAlignment="1">
      <alignment horizontal="left" vertical="top" wrapText="1"/>
    </xf>
    <xf numFmtId="0" fontId="3" fillId="0" borderId="45" xfId="0" applyFont="1" applyBorder="1" applyAlignment="1">
      <alignment horizontal="center" textRotation="90" shrinkToFit="1"/>
    </xf>
    <xf numFmtId="0" fontId="3" fillId="0" borderId="9" xfId="0" applyFont="1" applyBorder="1" applyAlignment="1">
      <alignment horizontal="center" textRotation="90" shrinkToFit="1"/>
    </xf>
    <xf numFmtId="0" fontId="3" fillId="0" borderId="65" xfId="0" applyFont="1" applyBorder="1" applyAlignment="1">
      <alignment horizontal="center" textRotation="90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9" fillId="0" borderId="45" xfId="0" applyNumberFormat="1" applyFont="1" applyBorder="1" applyAlignment="1">
      <alignment horizontal="center" vertical="center" textRotation="90" shrinkToFit="1"/>
    </xf>
    <xf numFmtId="0" fontId="9" fillId="0" borderId="9" xfId="0" applyNumberFormat="1" applyFont="1" applyBorder="1" applyAlignment="1">
      <alignment horizontal="center" vertical="center" textRotation="90" shrinkToFit="1"/>
    </xf>
    <xf numFmtId="0" fontId="9" fillId="0" borderId="65" xfId="0" applyNumberFormat="1" applyFont="1" applyBorder="1" applyAlignment="1">
      <alignment horizontal="center" vertical="center" textRotation="90" shrinkToFit="1"/>
    </xf>
    <xf numFmtId="0" fontId="3" fillId="6" borderId="45" xfId="0" applyFont="1" applyFill="1" applyBorder="1" applyAlignment="1">
      <alignment horizontal="center" vertical="center" textRotation="90" wrapText="1" shrinkToFit="1"/>
    </xf>
    <xf numFmtId="0" fontId="7" fillId="6" borderId="9" xfId="0" applyFont="1" applyFill="1" applyBorder="1" applyAlignment="1">
      <alignment horizontal="center" vertical="center" textRotation="90" wrapText="1" shrinkToFit="1"/>
    </xf>
    <xf numFmtId="0" fontId="7" fillId="6" borderId="65" xfId="0" applyFont="1" applyFill="1" applyBorder="1" applyAlignment="1">
      <alignment horizontal="center" vertical="center" textRotation="90" wrapText="1" shrinkToFit="1"/>
    </xf>
    <xf numFmtId="0" fontId="3" fillId="0" borderId="45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65" xfId="0" applyFont="1" applyBorder="1" applyAlignment="1">
      <alignment horizontal="center" vertical="center" textRotation="90" shrinkToFit="1"/>
    </xf>
    <xf numFmtId="0" fontId="5" fillId="4" borderId="74" xfId="0" applyFont="1" applyFill="1" applyBorder="1" applyAlignment="1">
      <alignment horizontal="left" vertical="top" wrapText="1"/>
    </xf>
    <xf numFmtId="0" fontId="5" fillId="4" borderId="42" xfId="0" applyFont="1" applyFill="1" applyBorder="1" applyAlignment="1">
      <alignment horizontal="left" vertical="top" wrapText="1"/>
    </xf>
    <xf numFmtId="0" fontId="5" fillId="4" borderId="43" xfId="0" applyFont="1" applyFill="1" applyBorder="1" applyAlignment="1">
      <alignment horizontal="left" vertical="top" wrapText="1"/>
    </xf>
    <xf numFmtId="0" fontId="5" fillId="11" borderId="36" xfId="0" applyFont="1" applyFill="1" applyBorder="1" applyAlignment="1">
      <alignment horizontal="left" vertical="top"/>
    </xf>
    <xf numFmtId="0" fontId="5" fillId="11" borderId="42" xfId="0" applyFont="1" applyFill="1" applyBorder="1" applyAlignment="1">
      <alignment horizontal="left" vertical="top"/>
    </xf>
    <xf numFmtId="0" fontId="5" fillId="11" borderId="4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3" fillId="0" borderId="101" xfId="0" applyFont="1" applyFill="1" applyBorder="1" applyAlignment="1">
      <alignment horizontal="center" vertical="center" textRotation="90" wrapText="1"/>
    </xf>
    <xf numFmtId="0" fontId="0" fillId="0" borderId="102" xfId="0" applyBorder="1" applyAlignment="1">
      <alignment horizontal="center" vertical="center" textRotation="90" wrapText="1"/>
    </xf>
    <xf numFmtId="49" fontId="5" fillId="6" borderId="106" xfId="0" applyNumberFormat="1" applyFont="1" applyFill="1" applyBorder="1" applyAlignment="1">
      <alignment horizontal="center" vertical="top"/>
    </xf>
    <xf numFmtId="49" fontId="5" fillId="6" borderId="18" xfId="0" applyNumberFormat="1" applyFont="1" applyFill="1" applyBorder="1" applyAlignment="1">
      <alignment horizontal="center" vertical="top"/>
    </xf>
    <xf numFmtId="0" fontId="3" fillId="2" borderId="49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2" borderId="111" xfId="0" applyFont="1" applyFill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center" vertical="top"/>
    </xf>
    <xf numFmtId="0" fontId="3" fillId="6" borderId="47" xfId="0" applyFont="1" applyFill="1" applyBorder="1" applyAlignment="1">
      <alignment horizontal="left" vertical="top" wrapText="1"/>
    </xf>
    <xf numFmtId="0" fontId="3" fillId="6" borderId="49" xfId="0" applyFont="1" applyFill="1" applyBorder="1" applyAlignment="1">
      <alignment horizontal="left" vertical="top" wrapText="1"/>
    </xf>
    <xf numFmtId="0" fontId="3" fillId="6" borderId="31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center" textRotation="90" shrinkToFit="1"/>
    </xf>
    <xf numFmtId="0" fontId="2" fillId="0" borderId="30" xfId="0" applyFont="1" applyFill="1" applyBorder="1" applyAlignment="1">
      <alignment horizontal="center" vertical="center" textRotation="90" shrinkToFit="1"/>
    </xf>
    <xf numFmtId="0" fontId="2" fillId="0" borderId="44" xfId="0" applyFont="1" applyFill="1" applyBorder="1" applyAlignment="1">
      <alignment horizontal="center" vertical="center" textRotation="90" wrapText="1" shrinkToFit="1"/>
    </xf>
    <xf numFmtId="0" fontId="2" fillId="0" borderId="30" xfId="0" applyFont="1" applyFill="1" applyBorder="1" applyAlignment="1">
      <alignment horizontal="center" vertical="center" textRotation="90" wrapText="1" shrinkToFit="1"/>
    </xf>
    <xf numFmtId="0" fontId="3" fillId="6" borderId="36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2" fillId="0" borderId="15" xfId="0" applyFont="1" applyBorder="1" applyAlignment="1">
      <alignment vertical="center" textRotation="90"/>
    </xf>
    <xf numFmtId="0" fontId="1" fillId="0" borderId="15" xfId="0" applyFont="1" applyBorder="1" applyAlignment="1">
      <alignment vertical="center" textRotation="90"/>
    </xf>
    <xf numFmtId="0" fontId="1" fillId="0" borderId="44" xfId="0" applyFont="1" applyBorder="1" applyAlignment="1">
      <alignment vertical="center" textRotation="90"/>
    </xf>
    <xf numFmtId="49" fontId="5" fillId="0" borderId="1" xfId="0" applyNumberFormat="1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49" fontId="5" fillId="0" borderId="79" xfId="0" applyNumberFormat="1" applyFont="1" applyBorder="1" applyAlignment="1">
      <alignment horizontal="center" vertical="top"/>
    </xf>
    <xf numFmtId="0" fontId="3" fillId="2" borderId="108" xfId="0" applyFont="1" applyFill="1" applyBorder="1" applyAlignment="1">
      <alignment horizontal="left" vertical="top" wrapText="1"/>
    </xf>
    <xf numFmtId="0" fontId="3" fillId="0" borderId="102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2" borderId="106" xfId="0" applyFont="1" applyFill="1" applyBorder="1" applyAlignment="1">
      <alignment horizontal="left" vertical="top" wrapText="1"/>
    </xf>
    <xf numFmtId="0" fontId="0" fillId="0" borderId="79" xfId="0" applyBorder="1" applyAlignment="1">
      <alignment horizontal="left" vertical="top" wrapText="1"/>
    </xf>
    <xf numFmtId="0" fontId="3" fillId="6" borderId="108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3" fillId="0" borderId="36" xfId="0" applyFont="1" applyFill="1" applyBorder="1" applyAlignment="1">
      <alignment horizontal="left" vertical="top" wrapText="1"/>
    </xf>
    <xf numFmtId="0" fontId="0" fillId="0" borderId="87" xfId="0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1" fillId="0" borderId="102" xfId="0" applyFont="1" applyBorder="1" applyAlignment="1">
      <alignment horizontal="center" vertical="center" textRotation="90" wrapText="1"/>
    </xf>
    <xf numFmtId="3" fontId="3" fillId="0" borderId="16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textRotation="90" wrapText="1"/>
    </xf>
    <xf numFmtId="49" fontId="5" fillId="11" borderId="11" xfId="0" applyNumberFormat="1" applyFont="1" applyFill="1" applyBorder="1" applyAlignment="1">
      <alignment horizontal="center" vertical="top"/>
    </xf>
    <xf numFmtId="49" fontId="5" fillId="3" borderId="61" xfId="0" applyNumberFormat="1" applyFont="1" applyFill="1" applyBorder="1" applyAlignment="1">
      <alignment horizontal="center" vertical="top"/>
    </xf>
    <xf numFmtId="49" fontId="5" fillId="6" borderId="25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5" fillId="0" borderId="46" xfId="0" applyNumberFormat="1" applyFont="1" applyBorder="1" applyAlignment="1">
      <alignment horizontal="center" vertical="top"/>
    </xf>
    <xf numFmtId="49" fontId="5" fillId="0" borderId="49" xfId="0" applyNumberFormat="1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3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49" fontId="5" fillId="0" borderId="106" xfId="0" applyNumberFormat="1" applyFont="1" applyBorder="1" applyAlignment="1">
      <alignment horizontal="center" vertical="top"/>
    </xf>
    <xf numFmtId="0" fontId="3" fillId="0" borderId="44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165" fontId="3" fillId="0" borderId="20" xfId="0" applyNumberFormat="1" applyFont="1" applyFill="1" applyBorder="1" applyAlignment="1">
      <alignment horizontal="center" vertical="top" wrapText="1"/>
    </xf>
    <xf numFmtId="165" fontId="3" fillId="0" borderId="33" xfId="0" applyNumberFormat="1" applyFont="1" applyFill="1" applyBorder="1" applyAlignment="1">
      <alignment horizontal="center" vertical="top" wrapText="1"/>
    </xf>
    <xf numFmtId="0" fontId="3" fillId="0" borderId="88" xfId="0" applyFont="1" applyFill="1" applyBorder="1" applyAlignment="1">
      <alignment horizontal="center" vertical="center" textRotation="90" wrapText="1"/>
    </xf>
    <xf numFmtId="0" fontId="3" fillId="0" borderId="94" xfId="0" applyFont="1" applyFill="1" applyBorder="1" applyAlignment="1">
      <alignment horizontal="center" vertical="center" textRotation="90" wrapText="1"/>
    </xf>
    <xf numFmtId="0" fontId="18" fillId="6" borderId="10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0" fillId="0" borderId="102" xfId="0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78" xfId="0" applyFont="1" applyFill="1" applyBorder="1" applyAlignment="1">
      <alignment horizontal="left" vertical="top" wrapText="1"/>
    </xf>
    <xf numFmtId="0" fontId="3" fillId="2" borderId="96" xfId="0" applyFont="1" applyFill="1" applyBorder="1" applyAlignment="1">
      <alignment horizontal="left" vertical="top" wrapText="1"/>
    </xf>
    <xf numFmtId="0" fontId="3" fillId="2" borderId="47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5" fillId="3" borderId="67" xfId="0" applyNumberFormat="1" applyFont="1" applyFill="1" applyBorder="1" applyAlignment="1">
      <alignment horizontal="right" vertical="top"/>
    </xf>
    <xf numFmtId="49" fontId="5" fillId="3" borderId="68" xfId="0" applyNumberFormat="1" applyFont="1" applyFill="1" applyBorder="1" applyAlignment="1">
      <alignment horizontal="right" vertical="top"/>
    </xf>
    <xf numFmtId="49" fontId="5" fillId="3" borderId="77" xfId="0" applyNumberFormat="1" applyFont="1" applyFill="1" applyBorder="1" applyAlignment="1">
      <alignment horizontal="left" vertical="top"/>
    </xf>
    <xf numFmtId="49" fontId="5" fillId="3" borderId="67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0" fontId="5" fillId="2" borderId="46" xfId="0" applyFont="1" applyFill="1" applyBorder="1" applyAlignment="1">
      <alignment vertical="top" wrapText="1"/>
    </xf>
    <xf numFmtId="0" fontId="22" fillId="0" borderId="31" xfId="0" applyFont="1" applyBorder="1" applyAlignment="1">
      <alignment vertical="top" wrapText="1"/>
    </xf>
    <xf numFmtId="0" fontId="3" fillId="2" borderId="49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46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0" borderId="75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6" borderId="18" xfId="0" applyFont="1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3" borderId="62" xfId="0" applyFont="1" applyFill="1" applyBorder="1" applyAlignment="1">
      <alignment horizontal="center" vertical="top" wrapText="1"/>
    </xf>
    <xf numFmtId="0" fontId="3" fillId="3" borderId="67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5" fillId="3" borderId="77" xfId="0" applyFont="1" applyFill="1" applyBorder="1" applyAlignment="1">
      <alignment horizontal="left" vertical="top" wrapText="1"/>
    </xf>
    <xf numFmtId="0" fontId="5" fillId="3" borderId="67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5" fillId="3" borderId="29" xfId="0" applyNumberFormat="1" applyFont="1" applyFill="1" applyBorder="1" applyAlignment="1">
      <alignment horizontal="right" vertical="top"/>
    </xf>
    <xf numFmtId="49" fontId="5" fillId="3" borderId="25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0" fontId="3" fillId="2" borderId="2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center" textRotation="90" wrapText="1"/>
    </xf>
    <xf numFmtId="49" fontId="5" fillId="11" borderId="77" xfId="0" applyNumberFormat="1" applyFont="1" applyFill="1" applyBorder="1" applyAlignment="1">
      <alignment horizontal="right" vertical="top"/>
    </xf>
    <xf numFmtId="49" fontId="5" fillId="11" borderId="67" xfId="0" applyNumberFormat="1" applyFont="1" applyFill="1" applyBorder="1" applyAlignment="1">
      <alignment horizontal="right" vertical="top"/>
    </xf>
    <xf numFmtId="49" fontId="5" fillId="11" borderId="68" xfId="0" applyNumberFormat="1" applyFont="1" applyFill="1" applyBorder="1" applyAlignment="1">
      <alignment horizontal="right" vertical="top"/>
    </xf>
    <xf numFmtId="0" fontId="3" fillId="11" borderId="62" xfId="0" applyFont="1" applyFill="1" applyBorder="1" applyAlignment="1">
      <alignment horizontal="center" vertical="top"/>
    </xf>
    <xf numFmtId="0" fontId="3" fillId="11" borderId="67" xfId="0" applyFont="1" applyFill="1" applyBorder="1" applyAlignment="1">
      <alignment horizontal="center" vertical="top"/>
    </xf>
    <xf numFmtId="0" fontId="3" fillId="11" borderId="68" xfId="0" applyFont="1" applyFill="1" applyBorder="1" applyAlignment="1">
      <alignment horizontal="center" vertical="top"/>
    </xf>
    <xf numFmtId="49" fontId="5" fillId="4" borderId="77" xfId="0" applyNumberFormat="1" applyFont="1" applyFill="1" applyBorder="1" applyAlignment="1">
      <alignment horizontal="right" vertical="top"/>
    </xf>
    <xf numFmtId="49" fontId="5" fillId="4" borderId="67" xfId="0" applyNumberFormat="1" applyFont="1" applyFill="1" applyBorder="1" applyAlignment="1">
      <alignment horizontal="right" vertical="top"/>
    </xf>
    <xf numFmtId="49" fontId="5" fillId="4" borderId="68" xfId="0" applyNumberFormat="1" applyFont="1" applyFill="1" applyBorder="1" applyAlignment="1">
      <alignment horizontal="right" vertical="top"/>
    </xf>
    <xf numFmtId="0" fontId="3" fillId="4" borderId="62" xfId="0" applyFont="1" applyFill="1" applyBorder="1" applyAlignment="1">
      <alignment horizontal="center" vertical="top"/>
    </xf>
    <xf numFmtId="0" fontId="3" fillId="4" borderId="67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11" borderId="10" xfId="0" applyNumberFormat="1" applyFont="1" applyFill="1" applyBorder="1" applyAlignment="1">
      <alignment horizontal="center" vertical="top" wrapText="1"/>
    </xf>
    <xf numFmtId="49" fontId="5" fillId="11" borderId="11" xfId="0" applyNumberFormat="1" applyFont="1" applyFill="1" applyBorder="1" applyAlignment="1">
      <alignment horizontal="center" vertical="top" wrapText="1"/>
    </xf>
    <xf numFmtId="49" fontId="5" fillId="3" borderId="16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49" fontId="5" fillId="3" borderId="61" xfId="0" applyNumberFormat="1" applyFont="1" applyFill="1" applyBorder="1" applyAlignment="1">
      <alignment horizontal="right" vertical="top"/>
    </xf>
    <xf numFmtId="0" fontId="3" fillId="0" borderId="47" xfId="0" applyFont="1" applyFill="1" applyBorder="1" applyAlignment="1">
      <alignment vertical="top" wrapText="1"/>
    </xf>
    <xf numFmtId="0" fontId="7" fillId="0" borderId="61" xfId="0" applyFont="1" applyBorder="1" applyAlignment="1">
      <alignment vertical="top" wrapText="1"/>
    </xf>
    <xf numFmtId="0" fontId="5" fillId="5" borderId="34" xfId="0" applyFont="1" applyFill="1" applyBorder="1" applyAlignment="1">
      <alignment horizontal="right" vertical="top" wrapText="1"/>
    </xf>
    <xf numFmtId="0" fontId="5" fillId="5" borderId="29" xfId="0" applyFont="1" applyFill="1" applyBorder="1" applyAlignment="1">
      <alignment horizontal="right" vertical="top" wrapText="1"/>
    </xf>
    <xf numFmtId="0" fontId="5" fillId="5" borderId="35" xfId="0" applyFont="1" applyFill="1" applyBorder="1" applyAlignment="1">
      <alignment horizontal="right" vertical="top" wrapText="1"/>
    </xf>
    <xf numFmtId="0" fontId="3" fillId="2" borderId="69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54" xfId="0" applyFont="1" applyFill="1" applyBorder="1" applyAlignment="1">
      <alignment horizontal="left" vertical="top" wrapText="1"/>
    </xf>
    <xf numFmtId="0" fontId="3" fillId="2" borderId="74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5" fillId="4" borderId="74" xfId="0" applyFont="1" applyFill="1" applyBorder="1" applyAlignment="1">
      <alignment horizontal="right" vertical="top" wrapText="1"/>
    </xf>
    <xf numFmtId="0" fontId="5" fillId="4" borderId="42" xfId="0" applyFont="1" applyFill="1" applyBorder="1" applyAlignment="1">
      <alignment horizontal="right" vertical="top" wrapText="1"/>
    </xf>
    <xf numFmtId="0" fontId="5" fillId="4" borderId="43" xfId="0" applyFont="1" applyFill="1" applyBorder="1" applyAlignment="1">
      <alignment horizontal="right" vertical="top" wrapText="1"/>
    </xf>
    <xf numFmtId="0" fontId="3" fillId="6" borderId="74" xfId="0" applyFont="1" applyFill="1" applyBorder="1" applyAlignment="1">
      <alignment horizontal="left" vertical="top" wrapText="1"/>
    </xf>
    <xf numFmtId="0" fontId="3" fillId="6" borderId="42" xfId="0" applyFont="1" applyFill="1" applyBorder="1" applyAlignment="1">
      <alignment horizontal="left" vertical="top" wrapText="1"/>
    </xf>
    <xf numFmtId="0" fontId="3" fillId="6" borderId="43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right" vertical="top" wrapText="1"/>
    </xf>
    <xf numFmtId="0" fontId="5" fillId="4" borderId="70" xfId="0" applyFont="1" applyFill="1" applyBorder="1" applyAlignment="1">
      <alignment horizontal="right" vertical="top" wrapText="1"/>
    </xf>
    <xf numFmtId="0" fontId="5" fillId="4" borderId="64" xfId="0" applyFont="1" applyFill="1" applyBorder="1" applyAlignment="1">
      <alignment horizontal="righ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4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49" fontId="5" fillId="3" borderId="77" xfId="0" applyNumberFormat="1" applyFont="1" applyFill="1" applyBorder="1" applyAlignment="1">
      <alignment horizontal="right" vertical="top"/>
    </xf>
    <xf numFmtId="0" fontId="5" fillId="2" borderId="39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NumberFormat="1" applyFont="1" applyFill="1" applyBorder="1" applyAlignment="1">
      <alignment horizontal="left" vertical="top" wrapText="1"/>
    </xf>
    <xf numFmtId="0" fontId="0" fillId="0" borderId="42" xfId="0" applyBorder="1" applyAlignment="1">
      <alignment horizontal="right" vertical="top" wrapText="1"/>
    </xf>
    <xf numFmtId="0" fontId="0" fillId="0" borderId="43" xfId="0" applyBorder="1" applyAlignment="1">
      <alignment horizontal="right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25" xfId="0" applyNumberFormat="1" applyFont="1" applyBorder="1" applyAlignment="1">
      <alignment horizontal="center" vertical="center" textRotation="90" wrapText="1"/>
    </xf>
    <xf numFmtId="49" fontId="3" fillId="2" borderId="41" xfId="0" applyNumberFormat="1" applyFont="1" applyFill="1" applyBorder="1" applyAlignment="1">
      <alignment horizontal="center" vertical="top" wrapText="1"/>
    </xf>
    <xf numFmtId="49" fontId="3" fillId="2" borderId="29" xfId="0" applyNumberFormat="1" applyFont="1" applyFill="1" applyBorder="1" applyAlignment="1">
      <alignment horizontal="center" vertical="top" wrapText="1"/>
    </xf>
    <xf numFmtId="49" fontId="5" fillId="0" borderId="49" xfId="0" applyNumberFormat="1" applyFont="1" applyFill="1" applyBorder="1" applyAlignment="1">
      <alignment horizontal="center" vertical="top" wrapText="1"/>
    </xf>
    <xf numFmtId="49" fontId="5" fillId="0" borderId="61" xfId="0" applyNumberFormat="1" applyFont="1" applyFill="1" applyBorder="1" applyAlignment="1">
      <alignment horizontal="center" vertical="top" wrapText="1"/>
    </xf>
    <xf numFmtId="0" fontId="5" fillId="3" borderId="40" xfId="0" applyFont="1" applyFill="1" applyBorder="1" applyAlignment="1">
      <alignment horizontal="left" vertical="top" wrapText="1"/>
    </xf>
    <xf numFmtId="49" fontId="3" fillId="6" borderId="45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wrapText="1"/>
    </xf>
    <xf numFmtId="0" fontId="5" fillId="10" borderId="29" xfId="0" applyFont="1" applyFill="1" applyBorder="1" applyAlignment="1">
      <alignment horizontal="right" vertical="top"/>
    </xf>
    <xf numFmtId="0" fontId="7" fillId="10" borderId="35" xfId="0" applyFont="1" applyFill="1" applyBorder="1" applyAlignment="1">
      <alignment horizontal="right" vertical="top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2" fillId="6" borderId="20" xfId="0" applyNumberFormat="1" applyFont="1" applyFill="1" applyBorder="1" applyAlignment="1">
      <alignment horizontal="center" vertical="top" textRotation="90" wrapText="1"/>
    </xf>
    <xf numFmtId="0" fontId="2" fillId="6" borderId="33" xfId="0" applyFont="1" applyFill="1" applyBorder="1" applyAlignment="1">
      <alignment horizontal="center" vertical="top" textRotation="90" wrapText="1"/>
    </xf>
    <xf numFmtId="49" fontId="2" fillId="6" borderId="27" xfId="0" applyNumberFormat="1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49" fontId="5" fillId="0" borderId="71" xfId="0" applyNumberFormat="1" applyFont="1" applyBorder="1" applyAlignment="1">
      <alignment horizontal="center" vertical="top"/>
    </xf>
    <xf numFmtId="49" fontId="5" fillId="0" borderId="73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top" textRotation="90" wrapText="1"/>
    </xf>
    <xf numFmtId="0" fontId="2" fillId="0" borderId="33" xfId="0" applyFont="1" applyBorder="1" applyAlignment="1">
      <alignment horizontal="center" vertical="top" textRotation="90" wrapText="1"/>
    </xf>
    <xf numFmtId="0" fontId="0" fillId="0" borderId="49" xfId="0" applyBorder="1" applyAlignment="1">
      <alignment vertical="top"/>
    </xf>
    <xf numFmtId="0" fontId="0" fillId="0" borderId="61" xfId="0" applyBorder="1" applyAlignment="1">
      <alignment vertical="top"/>
    </xf>
    <xf numFmtId="0" fontId="0" fillId="6" borderId="9" xfId="0" applyFill="1" applyBorder="1" applyAlignment="1">
      <alignment horizontal="center" vertical="center" wrapText="1"/>
    </xf>
    <xf numFmtId="49" fontId="5" fillId="10" borderId="27" xfId="0" applyNumberFormat="1" applyFont="1" applyFill="1" applyBorder="1" applyAlignment="1">
      <alignment horizontal="center" vertical="top"/>
    </xf>
    <xf numFmtId="49" fontId="5" fillId="10" borderId="16" xfId="0" applyNumberFormat="1" applyFont="1" applyFill="1" applyBorder="1" applyAlignment="1">
      <alignment horizontal="center" vertical="top"/>
    </xf>
    <xf numFmtId="0" fontId="3" fillId="2" borderId="32" xfId="0" applyFont="1" applyFill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top" wrapText="1"/>
    </xf>
    <xf numFmtId="0" fontId="3" fillId="10" borderId="35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left" vertical="top" wrapText="1"/>
    </xf>
    <xf numFmtId="0" fontId="0" fillId="0" borderId="65" xfId="0" applyBorder="1" applyAlignment="1"/>
    <xf numFmtId="49" fontId="2" fillId="0" borderId="27" xfId="0" applyNumberFormat="1" applyFont="1" applyBorder="1" applyAlignment="1">
      <alignment horizontal="center" vertical="top" textRotation="90" wrapText="1"/>
    </xf>
    <xf numFmtId="49" fontId="2" fillId="0" borderId="25" xfId="0" applyNumberFormat="1" applyFont="1" applyBorder="1" applyAlignment="1">
      <alignment horizontal="center" vertical="top" textRotation="90" wrapText="1"/>
    </xf>
    <xf numFmtId="49" fontId="3" fillId="0" borderId="45" xfId="0" applyNumberFormat="1" applyFont="1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 wrapText="1"/>
    </xf>
    <xf numFmtId="49" fontId="3" fillId="6" borderId="9" xfId="0" applyNumberFormat="1" applyFont="1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textRotation="90"/>
    </xf>
    <xf numFmtId="0" fontId="3" fillId="0" borderId="1" xfId="0" applyFont="1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9" fillId="0" borderId="44" xfId="0" applyFont="1" applyBorder="1" applyAlignment="1">
      <alignment horizontal="center" vertical="center" textRotation="90" wrapText="1"/>
    </xf>
    <xf numFmtId="0" fontId="17" fillId="0" borderId="102" xfId="0" applyFont="1" applyBorder="1" applyAlignment="1">
      <alignment horizontal="center" vertical="center" textRotation="90" wrapText="1"/>
    </xf>
    <xf numFmtId="49" fontId="3" fillId="0" borderId="75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0" fontId="18" fillId="6" borderId="18" xfId="0" applyFont="1" applyFill="1" applyBorder="1" applyAlignment="1">
      <alignment horizontal="left" vertical="top" wrapText="1"/>
    </xf>
    <xf numFmtId="49" fontId="5" fillId="0" borderId="38" xfId="0" applyNumberFormat="1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 textRotation="90" wrapText="1"/>
    </xf>
    <xf numFmtId="49" fontId="2" fillId="0" borderId="49" xfId="0" applyNumberFormat="1" applyFont="1" applyBorder="1" applyAlignment="1">
      <alignment horizontal="center" vertical="top" textRotation="90" wrapText="1"/>
    </xf>
    <xf numFmtId="49" fontId="2" fillId="0" borderId="61" xfId="0" applyNumberFormat="1" applyFont="1" applyBorder="1" applyAlignment="1">
      <alignment horizontal="center" vertical="top" textRotation="90" wrapText="1"/>
    </xf>
    <xf numFmtId="49" fontId="2" fillId="0" borderId="33" xfId="0" applyNumberFormat="1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0" fontId="18" fillId="6" borderId="28" xfId="0" applyFont="1" applyFill="1" applyBorder="1" applyAlignment="1">
      <alignment horizontal="left" vertical="top" wrapText="1"/>
    </xf>
    <xf numFmtId="0" fontId="0" fillId="6" borderId="79" xfId="0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center" textRotation="90"/>
    </xf>
    <xf numFmtId="49" fontId="2" fillId="0" borderId="25" xfId="0" applyNumberFormat="1" applyFont="1" applyBorder="1" applyAlignment="1">
      <alignment horizontal="center" vertical="center" textRotation="90"/>
    </xf>
    <xf numFmtId="49" fontId="5" fillId="0" borderId="20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textRotation="90" wrapText="1"/>
    </xf>
    <xf numFmtId="49" fontId="2" fillId="0" borderId="33" xfId="0" applyNumberFormat="1" applyFont="1" applyBorder="1" applyAlignment="1">
      <alignment horizontal="center" vertical="top" textRotation="90" wrapText="1"/>
    </xf>
    <xf numFmtId="49" fontId="2" fillId="0" borderId="86" xfId="0" applyNumberFormat="1" applyFont="1" applyBorder="1" applyAlignment="1">
      <alignment horizontal="center" vertical="top" textRotation="90" wrapText="1"/>
    </xf>
    <xf numFmtId="49" fontId="2" fillId="0" borderId="95" xfId="0" applyNumberFormat="1" applyFont="1" applyBorder="1" applyAlignment="1">
      <alignment horizontal="center" vertical="top" textRotation="90" wrapText="1"/>
    </xf>
    <xf numFmtId="49" fontId="5" fillId="0" borderId="78" xfId="0" applyNumberFormat="1" applyFont="1" applyBorder="1" applyAlignment="1">
      <alignment horizontal="center" vertical="top"/>
    </xf>
    <xf numFmtId="49" fontId="5" fillId="0" borderId="96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 textRotation="90" wrapText="1"/>
    </xf>
    <xf numFmtId="0" fontId="3" fillId="6" borderId="32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7" fillId="10" borderId="29" xfId="0" applyFont="1" applyFill="1" applyBorder="1" applyAlignment="1">
      <alignment horizontal="right" vertical="top"/>
    </xf>
    <xf numFmtId="49" fontId="5" fillId="0" borderId="86" xfId="0" applyNumberFormat="1" applyFont="1" applyBorder="1" applyAlignment="1">
      <alignment horizontal="center" vertical="top"/>
    </xf>
    <xf numFmtId="49" fontId="5" fillId="0" borderId="95" xfId="0" applyNumberFormat="1" applyFont="1" applyBorder="1" applyAlignment="1">
      <alignment horizontal="center" vertical="top"/>
    </xf>
    <xf numFmtId="0" fontId="0" fillId="0" borderId="32" xfId="0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left" vertical="top" wrapText="1"/>
    </xf>
    <xf numFmtId="49" fontId="3" fillId="6" borderId="6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49" fontId="2" fillId="6" borderId="16" xfId="0" applyNumberFormat="1" applyFont="1" applyFill="1" applyBorder="1" applyAlignment="1">
      <alignment horizontal="center" vertical="center" textRotation="90" wrapText="1"/>
    </xf>
    <xf numFmtId="0" fontId="0" fillId="6" borderId="16" xfId="0" applyFill="1" applyBorder="1" applyAlignment="1">
      <alignment horizontal="center" vertical="center" textRotation="90" wrapText="1"/>
    </xf>
    <xf numFmtId="0" fontId="3" fillId="6" borderId="79" xfId="0" applyFont="1" applyFill="1" applyBorder="1" applyAlignment="1">
      <alignment horizontal="left" vertical="top" wrapText="1"/>
    </xf>
    <xf numFmtId="0" fontId="3" fillId="6" borderId="90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center" vertical="top" textRotation="90" wrapText="1"/>
    </xf>
    <xf numFmtId="49" fontId="2" fillId="0" borderId="20" xfId="0" applyNumberFormat="1" applyFont="1" applyBorder="1" applyAlignment="1">
      <alignment horizontal="center" vertical="top" textRotation="90"/>
    </xf>
    <xf numFmtId="49" fontId="2" fillId="0" borderId="16" xfId="0" applyNumberFormat="1" applyFont="1" applyBorder="1" applyAlignment="1">
      <alignment horizontal="center" vertical="top" textRotation="90"/>
    </xf>
    <xf numFmtId="49" fontId="3" fillId="0" borderId="6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49" fontId="5" fillId="10" borderId="25" xfId="0" applyNumberFormat="1" applyFont="1" applyFill="1" applyBorder="1" applyAlignment="1">
      <alignment horizontal="center" vertical="top"/>
    </xf>
    <xf numFmtId="0" fontId="0" fillId="0" borderId="65" xfId="0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textRotation="90"/>
    </xf>
    <xf numFmtId="0" fontId="8" fillId="0" borderId="74" xfId="0" applyFont="1" applyFill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74" xfId="0" applyFont="1" applyFill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textRotation="90" wrapText="1"/>
    </xf>
    <xf numFmtId="0" fontId="3" fillId="0" borderId="74" xfId="0" applyFont="1" applyFill="1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49" fontId="3" fillId="0" borderId="42" xfId="0" applyNumberFormat="1" applyFont="1" applyFill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 textRotation="90"/>
    </xf>
    <xf numFmtId="49" fontId="2" fillId="0" borderId="33" xfId="0" applyNumberFormat="1" applyFont="1" applyBorder="1" applyAlignment="1">
      <alignment horizontal="center" vertical="center" textRotation="90"/>
    </xf>
    <xf numFmtId="49" fontId="5" fillId="0" borderId="17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49" fontId="5" fillId="0" borderId="2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shrinkToFit="1"/>
    </xf>
    <xf numFmtId="0" fontId="0" fillId="0" borderId="25" xfId="0" applyBorder="1" applyAlignment="1">
      <alignment horizontal="center" vertical="center" textRotation="90" shrinkToFit="1"/>
    </xf>
    <xf numFmtId="0" fontId="3" fillId="0" borderId="28" xfId="0" applyNumberFormat="1" applyFont="1" applyBorder="1" applyAlignment="1">
      <alignment horizontal="center" vertical="center" textRotation="90" shrinkToFit="1"/>
    </xf>
    <xf numFmtId="0" fontId="3" fillId="0" borderId="18" xfId="0" applyNumberFormat="1" applyFont="1" applyBorder="1" applyAlignment="1">
      <alignment horizontal="center" vertical="center" textRotation="90" shrinkToFit="1"/>
    </xf>
    <xf numFmtId="0" fontId="3" fillId="0" borderId="26" xfId="0" applyNumberFormat="1" applyFont="1" applyBorder="1" applyAlignment="1">
      <alignment horizontal="center" vertical="center" textRotation="90" shrinkToFit="1"/>
    </xf>
    <xf numFmtId="0" fontId="3" fillId="0" borderId="45" xfId="0" applyNumberFormat="1" applyFont="1" applyFill="1" applyBorder="1" applyAlignment="1">
      <alignment horizontal="center" vertical="center" textRotation="90" shrinkToFit="1"/>
    </xf>
    <xf numFmtId="0" fontId="3" fillId="0" borderId="9" xfId="0" applyNumberFormat="1" applyFont="1" applyFill="1" applyBorder="1" applyAlignment="1">
      <alignment horizontal="center" vertical="center" textRotation="90" shrinkToFit="1"/>
    </xf>
    <xf numFmtId="0" fontId="3" fillId="0" borderId="65" xfId="0" applyNumberFormat="1" applyFont="1" applyFill="1" applyBorder="1" applyAlignment="1">
      <alignment horizontal="center" vertical="center" textRotation="90" shrinkToFit="1"/>
    </xf>
    <xf numFmtId="0" fontId="19" fillId="0" borderId="10" xfId="0" applyFont="1" applyFill="1" applyBorder="1" applyAlignment="1">
      <alignment horizontal="left" vertical="top" wrapText="1"/>
    </xf>
  </cellXfs>
  <cellStyles count="4">
    <cellStyle name="Išvestis" xfId="3" builtinId="21"/>
    <cellStyle name="Įprastas" xfId="0" builtinId="0"/>
    <cellStyle name="Įprastas 2" xfId="1"/>
    <cellStyle name="Stilius 1" xfId="2"/>
  </cellStyles>
  <dxfs count="0"/>
  <tableStyles count="0" defaultTableStyle="TableStyleMedium2" defaultPivotStyle="PivotStyleLight16"/>
  <colors>
    <mruColors>
      <color rgb="FFFFFF99"/>
      <color rgb="FFCC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62"/>
  <sheetViews>
    <sheetView view="pageBreakPreview" topLeftCell="A122" zoomScaleNormal="100" zoomScaleSheetLayoutView="100" workbookViewId="0">
      <selection activeCell="P156" sqref="P156"/>
    </sheetView>
  </sheetViews>
  <sheetFormatPr defaultRowHeight="12.75" x14ac:dyDescent="0.2"/>
  <cols>
    <col min="1" max="3" width="2.7109375" style="6" customWidth="1"/>
    <col min="4" max="4" width="30.28515625" style="6" customWidth="1"/>
    <col min="5" max="5" width="2.7109375" style="31" customWidth="1"/>
    <col min="6" max="6" width="2.7109375" style="42" customWidth="1"/>
    <col min="7" max="7" width="7.5703125" style="51" customWidth="1"/>
    <col min="8" max="8" width="9.5703125" style="51" customWidth="1"/>
    <col min="9" max="9" width="10" style="6" customWidth="1"/>
    <col min="10" max="10" width="9.7109375" style="6" customWidth="1"/>
    <col min="11" max="11" width="37.28515625" style="6" customWidth="1"/>
    <col min="12" max="12" width="5.7109375" style="6" customWidth="1"/>
    <col min="13" max="13" width="5.140625" style="6" customWidth="1"/>
    <col min="14" max="14" width="5.28515625" style="6" customWidth="1"/>
    <col min="15" max="16384" width="9.140625" style="5"/>
  </cols>
  <sheetData>
    <row r="1" spans="1:17" ht="15.75" x14ac:dyDescent="0.2">
      <c r="A1" s="1379" t="s">
        <v>219</v>
      </c>
      <c r="B1" s="1379"/>
      <c r="C1" s="1379"/>
      <c r="D1" s="1379"/>
      <c r="E1" s="1379"/>
      <c r="F1" s="1379"/>
      <c r="G1" s="1379"/>
      <c r="H1" s="1379"/>
      <c r="I1" s="1379"/>
      <c r="J1" s="1379"/>
      <c r="K1" s="1379"/>
      <c r="L1" s="1379"/>
      <c r="M1" s="1379"/>
      <c r="N1" s="1379"/>
    </row>
    <row r="2" spans="1:17" ht="15.75" x14ac:dyDescent="0.2">
      <c r="A2" s="1380" t="s">
        <v>28</v>
      </c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</row>
    <row r="3" spans="1:17" ht="15.75" x14ac:dyDescent="0.2">
      <c r="A3" s="1381" t="s">
        <v>17</v>
      </c>
      <c r="B3" s="1381"/>
      <c r="C3" s="1381"/>
      <c r="D3" s="1381"/>
      <c r="E3" s="1381"/>
      <c r="F3" s="1381"/>
      <c r="G3" s="1381"/>
      <c r="H3" s="1381"/>
      <c r="I3" s="1381"/>
      <c r="J3" s="1381"/>
      <c r="K3" s="1381"/>
      <c r="L3" s="1381"/>
      <c r="M3" s="1381"/>
      <c r="N3" s="1381"/>
      <c r="O3" s="1"/>
      <c r="P3" s="1"/>
      <c r="Q3" s="1"/>
    </row>
    <row r="4" spans="1:17" ht="13.5" thickBot="1" x14ac:dyDescent="0.25">
      <c r="L4" s="1382" t="s">
        <v>217</v>
      </c>
      <c r="M4" s="1382"/>
      <c r="N4" s="1382"/>
    </row>
    <row r="5" spans="1:17" ht="31.5" customHeight="1" x14ac:dyDescent="0.2">
      <c r="A5" s="1383" t="s">
        <v>18</v>
      </c>
      <c r="B5" s="1386" t="s">
        <v>0</v>
      </c>
      <c r="C5" s="1386" t="s">
        <v>1</v>
      </c>
      <c r="D5" s="1389" t="s">
        <v>12</v>
      </c>
      <c r="E5" s="1392" t="s">
        <v>2</v>
      </c>
      <c r="F5" s="1409" t="s">
        <v>3</v>
      </c>
      <c r="G5" s="1415" t="s">
        <v>4</v>
      </c>
      <c r="H5" s="1412" t="s">
        <v>138</v>
      </c>
      <c r="I5" s="1403" t="s">
        <v>101</v>
      </c>
      <c r="J5" s="1403" t="s">
        <v>139</v>
      </c>
      <c r="K5" s="1406" t="s">
        <v>11</v>
      </c>
      <c r="L5" s="1407"/>
      <c r="M5" s="1407"/>
      <c r="N5" s="1408"/>
    </row>
    <row r="6" spans="1:17" ht="15.75" customHeight="1" x14ac:dyDescent="0.2">
      <c r="A6" s="1384"/>
      <c r="B6" s="1387"/>
      <c r="C6" s="1387"/>
      <c r="D6" s="1390"/>
      <c r="E6" s="1393"/>
      <c r="F6" s="1410"/>
      <c r="G6" s="1416"/>
      <c r="H6" s="1413"/>
      <c r="I6" s="1404"/>
      <c r="J6" s="1404"/>
      <c r="K6" s="1395" t="s">
        <v>12</v>
      </c>
      <c r="L6" s="1397" t="s">
        <v>218</v>
      </c>
      <c r="M6" s="1398"/>
      <c r="N6" s="1399"/>
    </row>
    <row r="7" spans="1:17" ht="74.25" customHeight="1" thickBot="1" x14ac:dyDescent="0.25">
      <c r="A7" s="1385"/>
      <c r="B7" s="1388"/>
      <c r="C7" s="1388"/>
      <c r="D7" s="1391"/>
      <c r="E7" s="1394"/>
      <c r="F7" s="1411"/>
      <c r="G7" s="1417"/>
      <c r="H7" s="1414"/>
      <c r="I7" s="1405"/>
      <c r="J7" s="1405"/>
      <c r="K7" s="1396"/>
      <c r="L7" s="170" t="s">
        <v>26</v>
      </c>
      <c r="M7" s="170" t="s">
        <v>102</v>
      </c>
      <c r="N7" s="171" t="s">
        <v>140</v>
      </c>
    </row>
    <row r="8" spans="1:17" s="23" customFormat="1" x14ac:dyDescent="0.2">
      <c r="A8" s="1400" t="s">
        <v>99</v>
      </c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2"/>
    </row>
    <row r="9" spans="1:17" s="23" customFormat="1" x14ac:dyDescent="0.2">
      <c r="A9" s="1418" t="s">
        <v>64</v>
      </c>
      <c r="B9" s="1419"/>
      <c r="C9" s="1419"/>
      <c r="D9" s="1419"/>
      <c r="E9" s="1419"/>
      <c r="F9" s="1419"/>
      <c r="G9" s="1419"/>
      <c r="H9" s="1419"/>
      <c r="I9" s="1419"/>
      <c r="J9" s="1419"/>
      <c r="K9" s="1419"/>
      <c r="L9" s="1419"/>
      <c r="M9" s="1419"/>
      <c r="N9" s="1420"/>
    </row>
    <row r="10" spans="1:17" ht="15.75" customHeight="1" x14ac:dyDescent="0.2">
      <c r="A10" s="100" t="s">
        <v>5</v>
      </c>
      <c r="B10" s="1421" t="s">
        <v>100</v>
      </c>
      <c r="C10" s="1422"/>
      <c r="D10" s="1422"/>
      <c r="E10" s="1422"/>
      <c r="F10" s="1422"/>
      <c r="G10" s="1422"/>
      <c r="H10" s="1422"/>
      <c r="I10" s="1422"/>
      <c r="J10" s="1422"/>
      <c r="K10" s="1422"/>
      <c r="L10" s="1422"/>
      <c r="M10" s="1422"/>
      <c r="N10" s="1423"/>
    </row>
    <row r="11" spans="1:17" ht="16.5" customHeight="1" x14ac:dyDescent="0.2">
      <c r="A11" s="346" t="s">
        <v>5</v>
      </c>
      <c r="B11" s="347" t="s">
        <v>5</v>
      </c>
      <c r="C11" s="1376" t="s">
        <v>51</v>
      </c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8"/>
    </row>
    <row r="12" spans="1:17" ht="26.25" customHeight="1" x14ac:dyDescent="0.2">
      <c r="A12" s="344" t="s">
        <v>5</v>
      </c>
      <c r="B12" s="339" t="s">
        <v>5</v>
      </c>
      <c r="C12" s="340" t="s">
        <v>5</v>
      </c>
      <c r="D12" s="341" t="s">
        <v>82</v>
      </c>
      <c r="E12" s="338"/>
      <c r="F12" s="343"/>
      <c r="G12" s="345"/>
      <c r="H12" s="436"/>
      <c r="I12" s="348"/>
      <c r="J12" s="348"/>
      <c r="K12" s="342"/>
      <c r="L12" s="336"/>
      <c r="M12" s="336"/>
      <c r="N12" s="337"/>
    </row>
    <row r="13" spans="1:17" ht="15.75" x14ac:dyDescent="0.2">
      <c r="A13" s="275"/>
      <c r="B13" s="270"/>
      <c r="C13" s="271"/>
      <c r="D13" s="518" t="s">
        <v>33</v>
      </c>
      <c r="E13" s="519"/>
      <c r="F13" s="516" t="s">
        <v>30</v>
      </c>
      <c r="G13" s="66" t="s">
        <v>27</v>
      </c>
      <c r="H13" s="444">
        <f>632.1/3.4528*1000</f>
        <v>183069</v>
      </c>
      <c r="I13" s="363">
        <f>696/3.4528*1000</f>
        <v>201576</v>
      </c>
      <c r="J13" s="363">
        <f>727.4/3.4528*1000</f>
        <v>210670</v>
      </c>
      <c r="K13" s="522" t="s">
        <v>72</v>
      </c>
      <c r="L13" s="532">
        <v>3.38</v>
      </c>
      <c r="M13" s="532">
        <v>3.39</v>
      </c>
      <c r="N13" s="533">
        <v>3.4</v>
      </c>
    </row>
    <row r="14" spans="1:17" ht="12.75" customHeight="1" x14ac:dyDescent="0.2">
      <c r="A14" s="1360"/>
      <c r="B14" s="1372"/>
      <c r="C14" s="1364"/>
      <c r="D14" s="1433" t="s">
        <v>34</v>
      </c>
      <c r="E14" s="1426" t="s">
        <v>165</v>
      </c>
      <c r="F14" s="1428"/>
      <c r="G14" s="80"/>
      <c r="H14" s="438"/>
      <c r="I14" s="350"/>
      <c r="J14" s="350"/>
      <c r="K14" s="534" t="s">
        <v>36</v>
      </c>
      <c r="L14" s="296">
        <v>2</v>
      </c>
      <c r="M14" s="296">
        <v>3</v>
      </c>
      <c r="N14" s="311">
        <v>3</v>
      </c>
    </row>
    <row r="15" spans="1:17" x14ac:dyDescent="0.2">
      <c r="A15" s="1360"/>
      <c r="B15" s="1372"/>
      <c r="C15" s="1364"/>
      <c r="D15" s="1430"/>
      <c r="E15" s="1366"/>
      <c r="F15" s="1429"/>
      <c r="G15" s="82"/>
      <c r="H15" s="438"/>
      <c r="I15" s="351"/>
      <c r="J15" s="351"/>
      <c r="K15" s="116" t="s">
        <v>188</v>
      </c>
      <c r="L15" s="117">
        <v>3</v>
      </c>
      <c r="M15" s="117">
        <v>3</v>
      </c>
      <c r="N15" s="118">
        <v>3</v>
      </c>
    </row>
    <row r="16" spans="1:17" ht="25.5" x14ac:dyDescent="0.2">
      <c r="A16" s="275"/>
      <c r="B16" s="270"/>
      <c r="C16" s="271"/>
      <c r="D16" s="531"/>
      <c r="E16" s="1427"/>
      <c r="F16" s="756"/>
      <c r="G16" s="80"/>
      <c r="H16" s="438"/>
      <c r="I16" s="568"/>
      <c r="J16" s="568"/>
      <c r="K16" s="535" t="s">
        <v>226</v>
      </c>
      <c r="L16" s="174">
        <v>100</v>
      </c>
      <c r="M16" s="174"/>
      <c r="N16" s="175"/>
    </row>
    <row r="17" spans="1:14" ht="12.75" customHeight="1" x14ac:dyDescent="0.2">
      <c r="A17" s="1360"/>
      <c r="B17" s="1372"/>
      <c r="C17" s="1364"/>
      <c r="D17" s="1430" t="s">
        <v>35</v>
      </c>
      <c r="E17" s="1366"/>
      <c r="F17" s="1368"/>
      <c r="G17" s="80"/>
      <c r="H17" s="438"/>
      <c r="I17" s="350"/>
      <c r="J17" s="350"/>
      <c r="K17" s="1349" t="s">
        <v>210</v>
      </c>
      <c r="L17" s="524">
        <v>25</v>
      </c>
      <c r="M17" s="524">
        <v>30</v>
      </c>
      <c r="N17" s="525">
        <v>35</v>
      </c>
    </row>
    <row r="18" spans="1:14" x14ac:dyDescent="0.2">
      <c r="A18" s="1360"/>
      <c r="B18" s="1372"/>
      <c r="C18" s="1364"/>
      <c r="D18" s="1430"/>
      <c r="E18" s="1366"/>
      <c r="F18" s="1368"/>
      <c r="G18" s="80"/>
      <c r="H18" s="438"/>
      <c r="I18" s="350"/>
      <c r="J18" s="350"/>
      <c r="K18" s="1349"/>
      <c r="L18" s="432"/>
      <c r="M18" s="432"/>
      <c r="N18" s="433"/>
    </row>
    <row r="19" spans="1:14" ht="16.5" customHeight="1" x14ac:dyDescent="0.2">
      <c r="A19" s="1360"/>
      <c r="B19" s="1372"/>
      <c r="C19" s="1364"/>
      <c r="D19" s="1430"/>
      <c r="E19" s="1366"/>
      <c r="F19" s="1368"/>
      <c r="G19" s="80"/>
      <c r="H19" s="438"/>
      <c r="I19" s="350"/>
      <c r="J19" s="350"/>
      <c r="K19" s="146" t="s">
        <v>189</v>
      </c>
      <c r="L19" s="178">
        <v>111</v>
      </c>
      <c r="M19" s="178">
        <v>112</v>
      </c>
      <c r="N19" s="118">
        <v>112</v>
      </c>
    </row>
    <row r="20" spans="1:14" ht="29.25" customHeight="1" x14ac:dyDescent="0.2">
      <c r="A20" s="1360"/>
      <c r="B20" s="1372"/>
      <c r="C20" s="1364"/>
      <c r="D20" s="1430"/>
      <c r="E20" s="1366"/>
      <c r="F20" s="1368"/>
      <c r="G20" s="80"/>
      <c r="H20" s="438"/>
      <c r="I20" s="350"/>
      <c r="J20" s="350"/>
      <c r="K20" s="121" t="s">
        <v>227</v>
      </c>
      <c r="L20" s="117">
        <v>1</v>
      </c>
      <c r="M20" s="117">
        <v>1</v>
      </c>
      <c r="N20" s="118">
        <v>1</v>
      </c>
    </row>
    <row r="21" spans="1:14" ht="15.75" customHeight="1" x14ac:dyDescent="0.2">
      <c r="A21" s="1360"/>
      <c r="B21" s="1372"/>
      <c r="C21" s="1364"/>
      <c r="D21" s="1430"/>
      <c r="E21" s="1366"/>
      <c r="F21" s="1368"/>
      <c r="G21" s="80"/>
      <c r="H21" s="438"/>
      <c r="I21" s="350"/>
      <c r="J21" s="350"/>
      <c r="K21" s="121" t="s">
        <v>177</v>
      </c>
      <c r="L21" s="179" t="s">
        <v>178</v>
      </c>
      <c r="M21" s="179" t="s">
        <v>178</v>
      </c>
      <c r="N21" s="180" t="s">
        <v>178</v>
      </c>
    </row>
    <row r="22" spans="1:14" ht="14.25" customHeight="1" x14ac:dyDescent="0.2">
      <c r="A22" s="1360"/>
      <c r="B22" s="1372"/>
      <c r="C22" s="1364"/>
      <c r="D22" s="1430"/>
      <c r="E22" s="1366"/>
      <c r="F22" s="1368"/>
      <c r="G22" s="80"/>
      <c r="H22" s="438"/>
      <c r="I22" s="568"/>
      <c r="J22" s="568"/>
      <c r="K22" s="121" t="s">
        <v>173</v>
      </c>
      <c r="L22" s="179" t="s">
        <v>169</v>
      </c>
      <c r="M22" s="179" t="s">
        <v>170</v>
      </c>
      <c r="N22" s="180" t="s">
        <v>170</v>
      </c>
    </row>
    <row r="23" spans="1:14" ht="15.75" customHeight="1" x14ac:dyDescent="0.2">
      <c r="A23" s="1360"/>
      <c r="B23" s="1372"/>
      <c r="C23" s="1364"/>
      <c r="D23" s="1430"/>
      <c r="E23" s="1366"/>
      <c r="F23" s="1368"/>
      <c r="G23" s="80"/>
      <c r="H23" s="438"/>
      <c r="I23" s="568"/>
      <c r="J23" s="568"/>
      <c r="K23" s="121" t="s">
        <v>172</v>
      </c>
      <c r="L23" s="179" t="s">
        <v>171</v>
      </c>
      <c r="M23" s="179" t="s">
        <v>171</v>
      </c>
      <c r="N23" s="180" t="s">
        <v>171</v>
      </c>
    </row>
    <row r="24" spans="1:14" ht="27.75" customHeight="1" x14ac:dyDescent="0.2">
      <c r="A24" s="1360"/>
      <c r="B24" s="1372"/>
      <c r="C24" s="1364"/>
      <c r="D24" s="1431"/>
      <c r="E24" s="1432"/>
      <c r="F24" s="1434"/>
      <c r="G24" s="67"/>
      <c r="H24" s="438"/>
      <c r="I24" s="568"/>
      <c r="J24" s="568"/>
      <c r="K24" s="274" t="s">
        <v>190</v>
      </c>
      <c r="L24" s="481">
        <v>100</v>
      </c>
      <c r="M24" s="481"/>
      <c r="N24" s="482"/>
    </row>
    <row r="25" spans="1:14" ht="12.75" customHeight="1" x14ac:dyDescent="0.2">
      <c r="A25" s="101"/>
      <c r="B25" s="270"/>
      <c r="C25" s="271"/>
      <c r="D25" s="1435" t="s">
        <v>143</v>
      </c>
      <c r="E25" s="1438" t="s">
        <v>67</v>
      </c>
      <c r="F25" s="93" t="s">
        <v>30</v>
      </c>
      <c r="G25" s="119" t="s">
        <v>27</v>
      </c>
      <c r="H25" s="439">
        <f>936.2/3.4528*1000</f>
        <v>271142</v>
      </c>
      <c r="I25" s="353">
        <f>943.3/3.4528*1000</f>
        <v>273199</v>
      </c>
      <c r="J25" s="354"/>
      <c r="K25" s="183"/>
      <c r="L25" s="483"/>
      <c r="M25" s="483"/>
      <c r="N25" s="484"/>
    </row>
    <row r="26" spans="1:14" ht="15" customHeight="1" x14ac:dyDescent="0.2">
      <c r="A26" s="101"/>
      <c r="B26" s="270"/>
      <c r="C26" s="271"/>
      <c r="D26" s="1436"/>
      <c r="E26" s="1439"/>
      <c r="F26" s="757"/>
      <c r="G26" s="113"/>
      <c r="H26" s="437"/>
      <c r="I26" s="355"/>
      <c r="J26" s="356"/>
      <c r="K26" s="181" t="s">
        <v>145</v>
      </c>
      <c r="L26" s="182">
        <v>100</v>
      </c>
      <c r="M26" s="174"/>
      <c r="N26" s="175"/>
    </row>
    <row r="27" spans="1:14" ht="30" customHeight="1" x14ac:dyDescent="0.2">
      <c r="A27" s="101"/>
      <c r="B27" s="270"/>
      <c r="C27" s="271"/>
      <c r="D27" s="1436"/>
      <c r="E27" s="1439"/>
      <c r="F27" s="757"/>
      <c r="G27" s="113"/>
      <c r="H27" s="437"/>
      <c r="I27" s="355"/>
      <c r="J27" s="356"/>
      <c r="K27" s="144" t="s">
        <v>191</v>
      </c>
      <c r="L27" s="145">
        <v>100</v>
      </c>
      <c r="M27" s="117"/>
      <c r="N27" s="118"/>
    </row>
    <row r="28" spans="1:14" ht="31.5" customHeight="1" x14ac:dyDescent="0.2">
      <c r="A28" s="101"/>
      <c r="B28" s="270"/>
      <c r="C28" s="271"/>
      <c r="D28" s="1436"/>
      <c r="E28" s="1424" t="s">
        <v>166</v>
      </c>
      <c r="F28" s="758"/>
      <c r="G28" s="218"/>
      <c r="H28" s="437"/>
      <c r="I28" s="355"/>
      <c r="J28" s="356"/>
      <c r="K28" s="146" t="s">
        <v>192</v>
      </c>
      <c r="L28" s="147">
        <v>100</v>
      </c>
      <c r="M28" s="117"/>
      <c r="N28" s="118"/>
    </row>
    <row r="29" spans="1:14" ht="41.25" customHeight="1" x14ac:dyDescent="0.2">
      <c r="A29" s="101"/>
      <c r="B29" s="270"/>
      <c r="C29" s="271"/>
      <c r="D29" s="1436"/>
      <c r="E29" s="1424"/>
      <c r="F29" s="758"/>
      <c r="G29" s="264"/>
      <c r="H29" s="440"/>
      <c r="I29" s="357"/>
      <c r="J29" s="358"/>
      <c r="K29" s="121" t="s">
        <v>193</v>
      </c>
      <c r="L29" s="262"/>
      <c r="M29" s="117">
        <v>100</v>
      </c>
      <c r="N29" s="118"/>
    </row>
    <row r="30" spans="1:14" ht="27.75" customHeight="1" x14ac:dyDescent="0.2">
      <c r="A30" s="101"/>
      <c r="B30" s="270"/>
      <c r="C30" s="271"/>
      <c r="D30" s="1437"/>
      <c r="E30" s="1425"/>
      <c r="F30" s="217"/>
      <c r="G30" s="219" t="s">
        <v>116</v>
      </c>
      <c r="H30" s="436">
        <f>205.1/3.4528*1000</f>
        <v>59401</v>
      </c>
      <c r="I30" s="359"/>
      <c r="J30" s="360"/>
      <c r="K30" s="74" t="s">
        <v>179</v>
      </c>
      <c r="L30" s="161">
        <v>100</v>
      </c>
      <c r="M30" s="434"/>
      <c r="N30" s="435"/>
    </row>
    <row r="31" spans="1:14" ht="27" customHeight="1" x14ac:dyDescent="0.2">
      <c r="A31" s="101"/>
      <c r="B31" s="270"/>
      <c r="C31" s="271"/>
      <c r="D31" s="59" t="s">
        <v>119</v>
      </c>
      <c r="E31" s="1440" t="s">
        <v>112</v>
      </c>
      <c r="F31" s="1450" t="s">
        <v>30</v>
      </c>
      <c r="G31" s="220" t="s">
        <v>70</v>
      </c>
      <c r="H31" s="441"/>
      <c r="I31" s="361">
        <f>100/3.4528*1000</f>
        <v>28962</v>
      </c>
      <c r="J31" s="442"/>
      <c r="K31" s="148" t="s">
        <v>242</v>
      </c>
      <c r="L31" s="292"/>
      <c r="M31" s="44">
        <v>1</v>
      </c>
      <c r="N31" s="45"/>
    </row>
    <row r="32" spans="1:14" ht="17.25" customHeight="1" x14ac:dyDescent="0.2">
      <c r="A32" s="101"/>
      <c r="B32" s="270"/>
      <c r="C32" s="271"/>
      <c r="D32" s="291" t="s">
        <v>202</v>
      </c>
      <c r="E32" s="1441"/>
      <c r="F32" s="1451"/>
      <c r="G32" s="221" t="s">
        <v>27</v>
      </c>
      <c r="H32" s="438">
        <f>118.2/3.4528*1000</f>
        <v>34233</v>
      </c>
      <c r="I32" s="362"/>
      <c r="J32" s="442"/>
      <c r="K32" s="300" t="s">
        <v>243</v>
      </c>
      <c r="L32" s="330">
        <v>1280</v>
      </c>
      <c r="M32" s="331"/>
      <c r="N32" s="485"/>
    </row>
    <row r="33" spans="1:25" ht="38.25" x14ac:dyDescent="0.2">
      <c r="A33" s="101"/>
      <c r="B33" s="270"/>
      <c r="C33" s="271"/>
      <c r="D33" s="291" t="s">
        <v>183</v>
      </c>
      <c r="E33" s="1442" t="s">
        <v>166</v>
      </c>
      <c r="F33" s="1450" t="s">
        <v>30</v>
      </c>
      <c r="G33" s="220" t="s">
        <v>27</v>
      </c>
      <c r="H33" s="443">
        <f>20/3.4528*1000</f>
        <v>5792</v>
      </c>
      <c r="I33" s="361"/>
      <c r="J33" s="442"/>
      <c r="K33" s="298" t="s">
        <v>184</v>
      </c>
      <c r="L33" s="299">
        <v>1</v>
      </c>
      <c r="M33" s="243"/>
      <c r="N33" s="486"/>
    </row>
    <row r="34" spans="1:25" ht="18.75" customHeight="1" x14ac:dyDescent="0.2">
      <c r="A34" s="101"/>
      <c r="B34" s="270"/>
      <c r="C34" s="271"/>
      <c r="D34" s="278" t="s">
        <v>144</v>
      </c>
      <c r="E34" s="1443"/>
      <c r="F34" s="1451"/>
      <c r="G34" s="219" t="s">
        <v>27</v>
      </c>
      <c r="H34" s="438"/>
      <c r="I34" s="361"/>
      <c r="J34" s="362">
        <f>250/3.4528*1000</f>
        <v>72405</v>
      </c>
      <c r="K34" s="278" t="s">
        <v>168</v>
      </c>
      <c r="L34" s="263"/>
      <c r="M34" s="281"/>
      <c r="N34" s="487">
        <v>50</v>
      </c>
      <c r="U34" s="10"/>
      <c r="V34" s="10"/>
      <c r="W34" s="10"/>
      <c r="X34" s="10"/>
      <c r="Y34" s="10"/>
    </row>
    <row r="35" spans="1:25" ht="16.5" customHeight="1" x14ac:dyDescent="0.2">
      <c r="A35" s="101"/>
      <c r="B35" s="270"/>
      <c r="C35" s="277"/>
      <c r="D35" s="1444" t="s">
        <v>163</v>
      </c>
      <c r="E35" s="1447" t="s">
        <v>164</v>
      </c>
      <c r="F35" s="1450" t="s">
        <v>66</v>
      </c>
      <c r="G35" s="8" t="s">
        <v>69</v>
      </c>
      <c r="H35" s="444"/>
      <c r="I35" s="363">
        <f>11.3/3.4528*1000</f>
        <v>3273</v>
      </c>
      <c r="J35" s="363">
        <f>15/3.4528*1000</f>
        <v>4344</v>
      </c>
      <c r="K35" s="1355" t="s">
        <v>244</v>
      </c>
      <c r="L35" s="172"/>
      <c r="M35" s="172">
        <v>1</v>
      </c>
      <c r="N35" s="173"/>
      <c r="O35" s="106"/>
      <c r="U35" s="10"/>
      <c r="V35" s="10"/>
      <c r="W35" s="10"/>
      <c r="X35" s="10"/>
      <c r="Y35" s="10"/>
    </row>
    <row r="36" spans="1:25" ht="13.5" customHeight="1" x14ac:dyDescent="0.2">
      <c r="A36" s="101"/>
      <c r="B36" s="270"/>
      <c r="C36" s="277"/>
      <c r="D36" s="1445"/>
      <c r="E36" s="1448"/>
      <c r="F36" s="1368"/>
      <c r="G36" s="114" t="s">
        <v>65</v>
      </c>
      <c r="H36" s="445"/>
      <c r="I36" s="446">
        <f>11.3/3.4528*1000</f>
        <v>3273</v>
      </c>
      <c r="J36" s="446">
        <f>15/3.4528*1000</f>
        <v>4344</v>
      </c>
      <c r="K36" s="1356"/>
      <c r="L36" s="174"/>
      <c r="M36" s="174"/>
      <c r="N36" s="175"/>
      <c r="O36" s="106"/>
      <c r="U36" s="10"/>
      <c r="V36" s="10"/>
      <c r="W36" s="10"/>
      <c r="X36" s="10"/>
      <c r="Y36" s="10"/>
    </row>
    <row r="37" spans="1:25" ht="14.25" customHeight="1" x14ac:dyDescent="0.2">
      <c r="A37" s="101"/>
      <c r="B37" s="270"/>
      <c r="C37" s="277"/>
      <c r="D37" s="1446"/>
      <c r="E37" s="1449"/>
      <c r="F37" s="1368"/>
      <c r="G37" s="70" t="s">
        <v>68</v>
      </c>
      <c r="H37" s="447"/>
      <c r="I37" s="364">
        <f>127.4/3.4528*1000</f>
        <v>36898</v>
      </c>
      <c r="J37" s="365">
        <f>170/3.4528*1000</f>
        <v>49235</v>
      </c>
      <c r="K37" s="295" t="s">
        <v>168</v>
      </c>
      <c r="L37" s="296"/>
      <c r="M37" s="296"/>
      <c r="N37" s="297">
        <v>10</v>
      </c>
      <c r="O37" s="106"/>
      <c r="U37" s="10"/>
      <c r="V37" s="10"/>
      <c r="W37" s="10"/>
      <c r="X37" s="10"/>
      <c r="Y37" s="10"/>
    </row>
    <row r="38" spans="1:25" ht="13.5" thickBot="1" x14ac:dyDescent="0.25">
      <c r="A38" s="102"/>
      <c r="B38" s="272"/>
      <c r="C38" s="213"/>
      <c r="D38" s="282"/>
      <c r="E38" s="288"/>
      <c r="F38" s="293"/>
      <c r="G38" s="77" t="s">
        <v>6</v>
      </c>
      <c r="H38" s="391">
        <f>SUM(H12:H37)</f>
        <v>553637</v>
      </c>
      <c r="I38" s="400">
        <f>SUM(I12:I37)</f>
        <v>547181</v>
      </c>
      <c r="J38" s="448">
        <f>SUM(J1:J37)</f>
        <v>340998</v>
      </c>
      <c r="K38" s="294"/>
      <c r="L38" s="488"/>
      <c r="M38" s="489"/>
      <c r="N38" s="490"/>
      <c r="U38" s="10"/>
      <c r="V38" s="10"/>
      <c r="W38" s="10"/>
      <c r="X38" s="10"/>
      <c r="Y38" s="10"/>
    </row>
    <row r="39" spans="1:25" ht="12.75" customHeight="1" x14ac:dyDescent="0.2">
      <c r="A39" s="1359" t="s">
        <v>5</v>
      </c>
      <c r="B39" s="1361" t="s">
        <v>5</v>
      </c>
      <c r="C39" s="1363" t="s">
        <v>7</v>
      </c>
      <c r="D39" s="1369" t="s">
        <v>83</v>
      </c>
      <c r="E39" s="1365"/>
      <c r="F39" s="1367" t="s">
        <v>30</v>
      </c>
      <c r="G39" s="11" t="s">
        <v>27</v>
      </c>
      <c r="H39" s="467">
        <f>7153.9/3.4528*1000</f>
        <v>2071913</v>
      </c>
      <c r="I39" s="480">
        <f>7190/3.4528*1000</f>
        <v>2082368</v>
      </c>
      <c r="J39" s="543">
        <f>7190/3.4528*1000</f>
        <v>2082368</v>
      </c>
      <c r="K39" s="87"/>
      <c r="L39" s="62"/>
      <c r="M39" s="62"/>
      <c r="N39" s="27"/>
      <c r="P39" s="50"/>
      <c r="U39" s="10"/>
      <c r="V39" s="10"/>
      <c r="W39" s="10"/>
      <c r="X39" s="10"/>
      <c r="Y39" s="10"/>
    </row>
    <row r="40" spans="1:25" x14ac:dyDescent="0.2">
      <c r="A40" s="1360"/>
      <c r="B40" s="1362"/>
      <c r="C40" s="1364"/>
      <c r="D40" s="1370"/>
      <c r="E40" s="1366"/>
      <c r="F40" s="1368"/>
      <c r="G40" s="18" t="s">
        <v>44</v>
      </c>
      <c r="H40" s="443">
        <v>869</v>
      </c>
      <c r="I40" s="392">
        <f>3/3.4528*1000</f>
        <v>869</v>
      </c>
      <c r="J40" s="390">
        <f>3/3.4528*1000</f>
        <v>869</v>
      </c>
      <c r="K40" s="13"/>
      <c r="L40" s="527"/>
      <c r="M40" s="527"/>
      <c r="N40" s="526"/>
    </row>
    <row r="41" spans="1:25" x14ac:dyDescent="0.2">
      <c r="A41" s="228"/>
      <c r="B41" s="226"/>
      <c r="C41" s="227"/>
      <c r="D41" s="1371"/>
      <c r="E41" s="523"/>
      <c r="F41" s="516"/>
      <c r="G41" s="70" t="s">
        <v>27</v>
      </c>
      <c r="H41" s="449">
        <f>15/3.4528*1000</f>
        <v>4344</v>
      </c>
      <c r="I41" s="368">
        <f>15/3.4528*1000</f>
        <v>4344</v>
      </c>
      <c r="J41" s="369">
        <f>15/3.4528*1000</f>
        <v>4344</v>
      </c>
      <c r="K41" s="540"/>
      <c r="L41" s="541"/>
      <c r="M41" s="541"/>
      <c r="N41" s="542"/>
    </row>
    <row r="42" spans="1:25" ht="14.25" customHeight="1" x14ac:dyDescent="0.2">
      <c r="A42" s="1360"/>
      <c r="B42" s="1372"/>
      <c r="C42" s="1364"/>
      <c r="D42" s="1430" t="s">
        <v>120</v>
      </c>
      <c r="E42" s="1366"/>
      <c r="F42" s="1368"/>
      <c r="G42" s="12"/>
      <c r="H42" s="438"/>
      <c r="I42" s="349"/>
      <c r="J42" s="370"/>
      <c r="K42" s="540" t="s">
        <v>194</v>
      </c>
      <c r="L42" s="541">
        <v>3.8</v>
      </c>
      <c r="M42" s="541">
        <v>3.8</v>
      </c>
      <c r="N42" s="542">
        <v>3.8</v>
      </c>
    </row>
    <row r="43" spans="1:25" ht="15.75" customHeight="1" x14ac:dyDescent="0.2">
      <c r="A43" s="1360"/>
      <c r="B43" s="1372"/>
      <c r="C43" s="1364"/>
      <c r="D43" s="1430"/>
      <c r="E43" s="1366"/>
      <c r="F43" s="1368"/>
      <c r="G43" s="82"/>
      <c r="H43" s="438"/>
      <c r="I43" s="352"/>
      <c r="J43" s="386"/>
      <c r="K43" s="539" t="s">
        <v>131</v>
      </c>
      <c r="L43" s="158">
        <v>3.4</v>
      </c>
      <c r="M43" s="158">
        <v>3.4</v>
      </c>
      <c r="N43" s="159">
        <v>3.4</v>
      </c>
    </row>
    <row r="44" spans="1:25" ht="19.5" customHeight="1" x14ac:dyDescent="0.2">
      <c r="A44" s="1360"/>
      <c r="B44" s="1372"/>
      <c r="C44" s="1364"/>
      <c r="D44" s="1453"/>
      <c r="E44" s="1454"/>
      <c r="F44" s="1452"/>
      <c r="G44" s="82"/>
      <c r="H44" s="438"/>
      <c r="I44" s="351"/>
      <c r="J44" s="537"/>
      <c r="K44" s="116" t="s">
        <v>195</v>
      </c>
      <c r="L44" s="117">
        <v>24</v>
      </c>
      <c r="M44" s="117">
        <v>24</v>
      </c>
      <c r="N44" s="118">
        <v>24</v>
      </c>
    </row>
    <row r="45" spans="1:25" ht="17.25" customHeight="1" x14ac:dyDescent="0.2">
      <c r="A45" s="1360"/>
      <c r="B45" s="1372"/>
      <c r="C45" s="1364"/>
      <c r="D45" s="1457" t="s">
        <v>40</v>
      </c>
      <c r="E45" s="414"/>
      <c r="F45" s="312"/>
      <c r="G45" s="82"/>
      <c r="H45" s="438"/>
      <c r="I45" s="350"/>
      <c r="J45" s="759"/>
      <c r="K45" s="116" t="s">
        <v>42</v>
      </c>
      <c r="L45" s="117">
        <v>36</v>
      </c>
      <c r="M45" s="117">
        <v>38</v>
      </c>
      <c r="N45" s="118">
        <v>38</v>
      </c>
    </row>
    <row r="46" spans="1:25" ht="29.25" customHeight="1" x14ac:dyDescent="0.2">
      <c r="A46" s="1360"/>
      <c r="B46" s="1372"/>
      <c r="C46" s="1364"/>
      <c r="D46" s="1458"/>
      <c r="E46" s="415"/>
      <c r="F46" s="416"/>
      <c r="G46" s="82"/>
      <c r="H46" s="438"/>
      <c r="I46" s="350"/>
      <c r="J46" s="759"/>
      <c r="K46" s="116" t="s">
        <v>121</v>
      </c>
      <c r="L46" s="117">
        <v>895</v>
      </c>
      <c r="M46" s="117">
        <v>890</v>
      </c>
      <c r="N46" s="118">
        <v>890</v>
      </c>
    </row>
    <row r="47" spans="1:25" ht="18" customHeight="1" x14ac:dyDescent="0.2">
      <c r="A47" s="205"/>
      <c r="B47" s="199"/>
      <c r="C47" s="200"/>
      <c r="D47" s="1455" t="s">
        <v>246</v>
      </c>
      <c r="E47" s="523"/>
      <c r="F47" s="516"/>
      <c r="G47" s="82"/>
      <c r="H47" s="438"/>
      <c r="I47" s="350"/>
      <c r="J47" s="759"/>
      <c r="K47" s="168" t="s">
        <v>273</v>
      </c>
      <c r="L47" s="151" t="s">
        <v>205</v>
      </c>
      <c r="M47" s="151" t="s">
        <v>205</v>
      </c>
      <c r="N47" s="538" t="s">
        <v>209</v>
      </c>
    </row>
    <row r="48" spans="1:25" ht="18" customHeight="1" x14ac:dyDescent="0.2">
      <c r="A48" s="326"/>
      <c r="B48" s="324"/>
      <c r="C48" s="325"/>
      <c r="D48" s="1455"/>
      <c r="E48" s="322"/>
      <c r="F48" s="323"/>
      <c r="G48" s="82"/>
      <c r="H48" s="438"/>
      <c r="I48" s="350"/>
      <c r="J48" s="759"/>
      <c r="K48" s="121" t="s">
        <v>274</v>
      </c>
      <c r="L48" s="328" t="s">
        <v>207</v>
      </c>
      <c r="M48" s="328" t="s">
        <v>207</v>
      </c>
      <c r="N48" s="329" t="s">
        <v>208</v>
      </c>
    </row>
    <row r="49" spans="1:14" ht="27" customHeight="1" x14ac:dyDescent="0.2">
      <c r="A49" s="205"/>
      <c r="B49" s="199"/>
      <c r="C49" s="200"/>
      <c r="D49" s="1456"/>
      <c r="E49" s="201"/>
      <c r="F49" s="185"/>
      <c r="G49" s="70"/>
      <c r="H49" s="449"/>
      <c r="I49" s="348"/>
      <c r="J49" s="536"/>
      <c r="K49" s="121" t="s">
        <v>275</v>
      </c>
      <c r="L49" s="327" t="s">
        <v>206</v>
      </c>
      <c r="M49" s="327" t="s">
        <v>206</v>
      </c>
      <c r="N49" s="333" t="s">
        <v>206</v>
      </c>
    </row>
    <row r="50" spans="1:14" ht="26.25" thickBot="1" x14ac:dyDescent="0.25">
      <c r="A50" s="205"/>
      <c r="B50" s="199"/>
      <c r="C50" s="200"/>
      <c r="D50" s="1456"/>
      <c r="E50" s="234"/>
      <c r="F50" s="232"/>
      <c r="G50" s="241" t="s">
        <v>6</v>
      </c>
      <c r="H50" s="451">
        <f>H39+H40+H41</f>
        <v>2077126</v>
      </c>
      <c r="I50" s="452">
        <f>I39+I40+I41</f>
        <v>2087581</v>
      </c>
      <c r="J50" s="451">
        <f>J39+J40+J41</f>
        <v>2087581</v>
      </c>
      <c r="K50" s="332" t="s">
        <v>75</v>
      </c>
      <c r="L50" s="334">
        <v>1</v>
      </c>
      <c r="M50" s="142">
        <v>1</v>
      </c>
      <c r="N50" s="143">
        <v>1</v>
      </c>
    </row>
    <row r="51" spans="1:14" x14ac:dyDescent="0.2">
      <c r="A51" s="1359" t="s">
        <v>5</v>
      </c>
      <c r="B51" s="1373" t="s">
        <v>5</v>
      </c>
      <c r="C51" s="1374" t="s">
        <v>29</v>
      </c>
      <c r="D51" s="1460" t="s">
        <v>84</v>
      </c>
      <c r="E51" s="1463" t="s">
        <v>111</v>
      </c>
      <c r="F51" s="1367" t="s">
        <v>30</v>
      </c>
      <c r="G51" s="83" t="s">
        <v>27</v>
      </c>
      <c r="H51" s="453">
        <f>2060.4/3.4528*1000</f>
        <v>596733</v>
      </c>
      <c r="I51" s="454">
        <f>(2153+0.9)/3.4528*1000</f>
        <v>623813</v>
      </c>
      <c r="J51" s="455">
        <f>1665.8/3.4528*1000</f>
        <v>482449</v>
      </c>
      <c r="K51" s="905"/>
      <c r="L51" s="62"/>
      <c r="M51" s="62"/>
      <c r="N51" s="27"/>
    </row>
    <row r="52" spans="1:14" ht="12.75" customHeight="1" x14ac:dyDescent="0.2">
      <c r="A52" s="1360"/>
      <c r="B52" s="1372"/>
      <c r="C52" s="1375"/>
      <c r="D52" s="1461"/>
      <c r="E52" s="1424"/>
      <c r="F52" s="1368"/>
      <c r="G52" s="18" t="s">
        <v>44</v>
      </c>
      <c r="H52" s="478">
        <v>33654</v>
      </c>
      <c r="I52" s="573">
        <f>116.3/3.4528*1000</f>
        <v>33683</v>
      </c>
      <c r="J52" s="573">
        <f>116.3/3.4528*1000</f>
        <v>33683</v>
      </c>
      <c r="K52" s="894"/>
      <c r="L52" s="576"/>
      <c r="M52" s="576"/>
      <c r="N52" s="625"/>
    </row>
    <row r="53" spans="1:14" ht="12.75" customHeight="1" x14ac:dyDescent="0.2">
      <c r="A53" s="893"/>
      <c r="B53" s="896"/>
      <c r="C53" s="903"/>
      <c r="D53" s="1462"/>
      <c r="E53" s="1464"/>
      <c r="F53" s="900"/>
      <c r="G53" s="303" t="s">
        <v>330</v>
      </c>
      <c r="H53" s="544">
        <v>2164</v>
      </c>
      <c r="I53" s="545"/>
      <c r="J53" s="546"/>
      <c r="K53" s="535"/>
      <c r="L53" s="541"/>
      <c r="M53" s="541"/>
      <c r="N53" s="542"/>
    </row>
    <row r="54" spans="1:14" ht="24.75" customHeight="1" x14ac:dyDescent="0.2">
      <c r="A54" s="908"/>
      <c r="B54" s="909"/>
      <c r="C54" s="910"/>
      <c r="D54" s="907" t="s">
        <v>149</v>
      </c>
      <c r="E54" s="412"/>
      <c r="F54" s="413"/>
      <c r="G54" s="927"/>
      <c r="H54" s="445"/>
      <c r="I54" s="928"/>
      <c r="J54" s="929"/>
      <c r="K54" s="930" t="s">
        <v>228</v>
      </c>
      <c r="L54" s="931">
        <v>2</v>
      </c>
      <c r="M54" s="157"/>
      <c r="N54" s="118"/>
    </row>
    <row r="55" spans="1:14" ht="25.5" customHeight="1" x14ac:dyDescent="0.2">
      <c r="A55" s="275"/>
      <c r="B55" s="273"/>
      <c r="C55" s="277"/>
      <c r="D55" s="547" t="s">
        <v>175</v>
      </c>
      <c r="E55" s="523"/>
      <c r="F55" s="516"/>
      <c r="G55" s="84"/>
      <c r="H55" s="475"/>
      <c r="I55" s="394"/>
      <c r="J55" s="548"/>
      <c r="K55" s="521" t="s">
        <v>176</v>
      </c>
      <c r="L55" s="549"/>
      <c r="M55" s="550">
        <v>100</v>
      </c>
      <c r="N55" s="525">
        <v>100</v>
      </c>
    </row>
    <row r="56" spans="1:14" ht="13.5" customHeight="1" x14ac:dyDescent="0.2">
      <c r="A56" s="275"/>
      <c r="B56" s="270"/>
      <c r="C56" s="277"/>
      <c r="D56" s="1358" t="s">
        <v>185</v>
      </c>
      <c r="E56" s="760"/>
      <c r="F56" s="761"/>
      <c r="G56" s="762"/>
      <c r="H56" s="551"/>
      <c r="I56" s="574"/>
      <c r="J56" s="574"/>
      <c r="K56" s="146" t="s">
        <v>229</v>
      </c>
      <c r="L56" s="178">
        <v>2</v>
      </c>
      <c r="M56" s="178">
        <v>2</v>
      </c>
      <c r="N56" s="552">
        <v>2</v>
      </c>
    </row>
    <row r="57" spans="1:14" ht="16.5" customHeight="1" x14ac:dyDescent="0.2">
      <c r="A57" s="275"/>
      <c r="B57" s="270"/>
      <c r="C57" s="277"/>
      <c r="D57" s="1459"/>
      <c r="E57" s="415"/>
      <c r="F57" s="416"/>
      <c r="G57" s="303"/>
      <c r="H57" s="544"/>
      <c r="I57" s="763"/>
      <c r="J57" s="763"/>
      <c r="K57" s="553" t="s">
        <v>230</v>
      </c>
      <c r="L57" s="554">
        <v>5</v>
      </c>
      <c r="M57" s="554">
        <v>5</v>
      </c>
      <c r="N57" s="555">
        <v>5</v>
      </c>
    </row>
    <row r="58" spans="1:14" ht="25.5" customHeight="1" x14ac:dyDescent="0.2">
      <c r="A58" s="915"/>
      <c r="B58" s="921"/>
      <c r="C58" s="925"/>
      <c r="D58" s="924" t="s">
        <v>103</v>
      </c>
      <c r="E58" s="412"/>
      <c r="F58" s="413"/>
      <c r="G58" s="114"/>
      <c r="H58" s="932"/>
      <c r="I58" s="446"/>
      <c r="J58" s="933"/>
      <c r="K58" s="116" t="s">
        <v>122</v>
      </c>
      <c r="L58" s="117">
        <v>2</v>
      </c>
      <c r="M58" s="157">
        <v>2</v>
      </c>
      <c r="N58" s="118">
        <v>2</v>
      </c>
    </row>
    <row r="59" spans="1:14" ht="12.75" customHeight="1" x14ac:dyDescent="0.2">
      <c r="A59" s="915"/>
      <c r="B59" s="921"/>
      <c r="C59" s="925"/>
      <c r="D59" s="1437" t="s">
        <v>220</v>
      </c>
      <c r="E59" s="922"/>
      <c r="F59" s="914"/>
      <c r="G59" s="12"/>
      <c r="H59" s="458"/>
      <c r="I59" s="349"/>
      <c r="J59" s="371"/>
      <c r="K59" s="153" t="s">
        <v>46</v>
      </c>
      <c r="L59" s="154">
        <v>19.5</v>
      </c>
      <c r="M59" s="154">
        <v>19.5</v>
      </c>
      <c r="N59" s="152">
        <v>19.5</v>
      </c>
    </row>
    <row r="60" spans="1:14" ht="13.5" customHeight="1" x14ac:dyDescent="0.2">
      <c r="A60" s="750"/>
      <c r="B60" s="938"/>
      <c r="C60" s="751"/>
      <c r="D60" s="1444"/>
      <c r="E60" s="770"/>
      <c r="F60" s="719"/>
      <c r="G60" s="733"/>
      <c r="H60" s="456"/>
      <c r="I60" s="566"/>
      <c r="J60" s="571"/>
      <c r="K60" s="939" t="s">
        <v>45</v>
      </c>
      <c r="L60" s="940">
        <v>108.8</v>
      </c>
      <c r="M60" s="940">
        <v>108.8</v>
      </c>
      <c r="N60" s="941">
        <v>108.8</v>
      </c>
    </row>
    <row r="61" spans="1:14" ht="29.25" customHeight="1" x14ac:dyDescent="0.2">
      <c r="A61" s="101"/>
      <c r="B61" s="270"/>
      <c r="C61" s="277"/>
      <c r="D61" s="913" t="s">
        <v>108</v>
      </c>
      <c r="E61" s="912"/>
      <c r="F61" s="911"/>
      <c r="G61" s="303"/>
      <c r="H61" s="462"/>
      <c r="I61" s="375"/>
      <c r="J61" s="376"/>
      <c r="K61" s="934" t="s">
        <v>231</v>
      </c>
      <c r="L61" s="935">
        <v>1</v>
      </c>
      <c r="M61" s="936">
        <v>1</v>
      </c>
      <c r="N61" s="937">
        <v>1</v>
      </c>
    </row>
    <row r="62" spans="1:14" ht="18" customHeight="1" x14ac:dyDescent="0.2">
      <c r="A62" s="101"/>
      <c r="B62" s="270"/>
      <c r="C62" s="277"/>
      <c r="D62" s="1357" t="s">
        <v>187</v>
      </c>
      <c r="E62" s="414"/>
      <c r="F62" s="312"/>
      <c r="G62" s="160"/>
      <c r="H62" s="460"/>
      <c r="I62" s="373"/>
      <c r="J62" s="374"/>
      <c r="K62" s="116" t="s">
        <v>232</v>
      </c>
      <c r="L62" s="157">
        <v>1</v>
      </c>
      <c r="M62" s="161"/>
      <c r="N62" s="237"/>
    </row>
    <row r="63" spans="1:14" ht="15" customHeight="1" x14ac:dyDescent="0.2">
      <c r="A63" s="101"/>
      <c r="B63" s="270"/>
      <c r="C63" s="277"/>
      <c r="D63" s="1358"/>
      <c r="E63" s="724"/>
      <c r="F63" s="718"/>
      <c r="G63" s="82"/>
      <c r="H63" s="461"/>
      <c r="I63" s="568"/>
      <c r="J63" s="572"/>
      <c r="K63" s="146" t="s">
        <v>233</v>
      </c>
      <c r="L63" s="304"/>
      <c r="M63" s="305">
        <v>2</v>
      </c>
      <c r="N63" s="306">
        <v>1</v>
      </c>
    </row>
    <row r="64" spans="1:14" ht="17.25" customHeight="1" x14ac:dyDescent="0.2">
      <c r="A64" s="101"/>
      <c r="B64" s="270"/>
      <c r="C64" s="277"/>
      <c r="D64" s="409"/>
      <c r="E64" s="415"/>
      <c r="F64" s="416"/>
      <c r="G64" s="303"/>
      <c r="H64" s="462"/>
      <c r="I64" s="375"/>
      <c r="J64" s="376"/>
      <c r="K64" s="181" t="s">
        <v>234</v>
      </c>
      <c r="L64" s="307"/>
      <c r="M64" s="308">
        <v>1</v>
      </c>
      <c r="N64" s="309"/>
    </row>
    <row r="65" spans="1:14" ht="27" customHeight="1" x14ac:dyDescent="0.2">
      <c r="A65" s="101"/>
      <c r="B65" s="270"/>
      <c r="C65" s="277"/>
      <c r="D65" s="410" t="s">
        <v>221</v>
      </c>
      <c r="E65" s="412"/>
      <c r="F65" s="413"/>
      <c r="G65" s="114"/>
      <c r="H65" s="459"/>
      <c r="I65" s="372"/>
      <c r="J65" s="377"/>
      <c r="K65" s="116" t="s">
        <v>153</v>
      </c>
      <c r="L65" s="157">
        <v>60</v>
      </c>
      <c r="M65" s="157">
        <v>40</v>
      </c>
      <c r="N65" s="118"/>
    </row>
    <row r="66" spans="1:14" ht="15" customHeight="1" x14ac:dyDescent="0.2">
      <c r="A66" s="101"/>
      <c r="B66" s="270"/>
      <c r="C66" s="277"/>
      <c r="D66" s="411" t="s">
        <v>186</v>
      </c>
      <c r="E66" s="414"/>
      <c r="F66" s="312"/>
      <c r="G66" s="120"/>
      <c r="H66" s="463"/>
      <c r="I66" s="365"/>
      <c r="J66" s="378"/>
      <c r="K66" s="310" t="s">
        <v>235</v>
      </c>
      <c r="L66" s="296">
        <v>8</v>
      </c>
      <c r="M66" s="296">
        <v>24</v>
      </c>
      <c r="N66" s="311">
        <v>24</v>
      </c>
    </row>
    <row r="67" spans="1:14" ht="14.25" customHeight="1" thickBot="1" x14ac:dyDescent="0.25">
      <c r="A67" s="276"/>
      <c r="B67" s="272"/>
      <c r="C67" s="213"/>
      <c r="D67" s="407"/>
      <c r="E67" s="408"/>
      <c r="F67" s="406"/>
      <c r="G67" s="78" t="s">
        <v>6</v>
      </c>
      <c r="H67" s="400">
        <f>H51+H52+H53</f>
        <v>632551</v>
      </c>
      <c r="I67" s="400">
        <f>I51+I52+I53</f>
        <v>657496</v>
      </c>
      <c r="J67" s="464">
        <f>J51+J52+J53</f>
        <v>516132</v>
      </c>
      <c r="K67" s="14"/>
      <c r="L67" s="142"/>
      <c r="M67" s="142"/>
      <c r="N67" s="143"/>
    </row>
    <row r="68" spans="1:14" ht="16.5" customHeight="1" x14ac:dyDescent="0.2">
      <c r="A68" s="1360" t="s">
        <v>5</v>
      </c>
      <c r="B68" s="1372" t="s">
        <v>5</v>
      </c>
      <c r="C68" s="1364" t="s">
        <v>37</v>
      </c>
      <c r="D68" s="1467" t="s">
        <v>85</v>
      </c>
      <c r="E68" s="1469" t="s">
        <v>212</v>
      </c>
      <c r="F68" s="1368" t="s">
        <v>30</v>
      </c>
      <c r="G68" s="861" t="s">
        <v>27</v>
      </c>
      <c r="H68" s="862">
        <f>7031.6/3.4528*1000</f>
        <v>2036492</v>
      </c>
      <c r="I68" s="863">
        <f>7314.2/3.4528*1000</f>
        <v>2118339</v>
      </c>
      <c r="J68" s="864">
        <f>7487.4/3.4528*1000</f>
        <v>2168501</v>
      </c>
      <c r="K68" s="1349"/>
      <c r="L68" s="1465"/>
      <c r="M68" s="1465"/>
      <c r="N68" s="1466"/>
    </row>
    <row r="69" spans="1:14" ht="15.75" customHeight="1" x14ac:dyDescent="0.2">
      <c r="A69" s="1360"/>
      <c r="B69" s="1372"/>
      <c r="C69" s="1364"/>
      <c r="D69" s="1468"/>
      <c r="E69" s="1469"/>
      <c r="F69" s="1368"/>
      <c r="G69" s="82" t="s">
        <v>281</v>
      </c>
      <c r="H69" s="458">
        <v>172255</v>
      </c>
      <c r="I69" s="379"/>
      <c r="J69" s="352"/>
      <c r="K69" s="1349"/>
      <c r="L69" s="1465"/>
      <c r="M69" s="1465"/>
      <c r="N69" s="1466"/>
    </row>
    <row r="70" spans="1:14" ht="12.75" customHeight="1" x14ac:dyDescent="0.2">
      <c r="A70" s="1360"/>
      <c r="B70" s="1372"/>
      <c r="C70" s="1364"/>
      <c r="D70" s="1504" t="s">
        <v>48</v>
      </c>
      <c r="E70" s="1488"/>
      <c r="F70" s="1452"/>
      <c r="G70" s="82"/>
      <c r="H70" s="458"/>
      <c r="I70" s="349"/>
      <c r="J70" s="370"/>
      <c r="K70" s="1484" t="s">
        <v>74</v>
      </c>
      <c r="L70" s="1486">
        <v>8.1</v>
      </c>
      <c r="M70" s="1486">
        <v>8.1999999999999993</v>
      </c>
      <c r="N70" s="1477">
        <v>8.1999999999999993</v>
      </c>
    </row>
    <row r="71" spans="1:14" ht="25.5" customHeight="1" x14ac:dyDescent="0.2">
      <c r="A71" s="1360"/>
      <c r="B71" s="1372"/>
      <c r="C71" s="1364"/>
      <c r="D71" s="1505"/>
      <c r="E71" s="1489"/>
      <c r="F71" s="1483"/>
      <c r="G71" s="82"/>
      <c r="H71" s="458"/>
      <c r="I71" s="352"/>
      <c r="J71" s="386"/>
      <c r="K71" s="1485"/>
      <c r="L71" s="1487"/>
      <c r="M71" s="1487"/>
      <c r="N71" s="1478"/>
    </row>
    <row r="72" spans="1:14" ht="20.25" customHeight="1" x14ac:dyDescent="0.2">
      <c r="A72" s="1360"/>
      <c r="B72" s="1372"/>
      <c r="C72" s="1364"/>
      <c r="D72" s="1479" t="s">
        <v>47</v>
      </c>
      <c r="E72" s="1481" t="s">
        <v>118</v>
      </c>
      <c r="F72" s="1475"/>
      <c r="G72" s="82"/>
      <c r="H72" s="458"/>
      <c r="I72" s="349"/>
      <c r="J72" s="370"/>
      <c r="K72" s="135" t="s">
        <v>123</v>
      </c>
      <c r="L72" s="165">
        <v>14.5</v>
      </c>
      <c r="M72" s="165">
        <v>14.6</v>
      </c>
      <c r="N72" s="166">
        <v>14.7</v>
      </c>
    </row>
    <row r="73" spans="1:14" ht="29.25" customHeight="1" x14ac:dyDescent="0.2">
      <c r="A73" s="1360"/>
      <c r="B73" s="1372"/>
      <c r="C73" s="1364"/>
      <c r="D73" s="1480"/>
      <c r="E73" s="1482"/>
      <c r="F73" s="1475"/>
      <c r="G73" s="82"/>
      <c r="H73" s="458"/>
      <c r="I73" s="352"/>
      <c r="J73" s="386"/>
      <c r="K73" s="40" t="s">
        <v>124</v>
      </c>
      <c r="L73" s="434">
        <v>150</v>
      </c>
      <c r="M73" s="434">
        <v>80</v>
      </c>
      <c r="N73" s="435">
        <v>80</v>
      </c>
    </row>
    <row r="74" spans="1:14" ht="38.25" x14ac:dyDescent="0.2">
      <c r="A74" s="205"/>
      <c r="B74" s="167"/>
      <c r="C74" s="200"/>
      <c r="D74" s="268" t="s">
        <v>154</v>
      </c>
      <c r="E74" s="853"/>
      <c r="F74" s="848"/>
      <c r="G74" s="12"/>
      <c r="H74" s="458"/>
      <c r="I74" s="860"/>
      <c r="J74" s="350"/>
      <c r="K74" s="43" t="s">
        <v>155</v>
      </c>
      <c r="L74" s="44">
        <v>1</v>
      </c>
      <c r="M74" s="281"/>
      <c r="N74" s="45"/>
    </row>
    <row r="75" spans="1:14" ht="116.25" customHeight="1" x14ac:dyDescent="0.2">
      <c r="A75" s="849"/>
      <c r="B75" s="167"/>
      <c r="C75" s="850"/>
      <c r="D75" s="268" t="s">
        <v>280</v>
      </c>
      <c r="E75" s="851"/>
      <c r="F75" s="848"/>
      <c r="G75" s="70"/>
      <c r="H75" s="456"/>
      <c r="I75" s="380"/>
      <c r="J75" s="381"/>
      <c r="K75" s="56" t="s">
        <v>326</v>
      </c>
      <c r="L75" s="44">
        <v>100</v>
      </c>
      <c r="M75" s="281"/>
      <c r="N75" s="45"/>
    </row>
    <row r="76" spans="1:14" ht="27.75" customHeight="1" x14ac:dyDescent="0.2">
      <c r="A76" s="260"/>
      <c r="B76" s="167"/>
      <c r="C76" s="259"/>
      <c r="D76" s="261" t="s">
        <v>104</v>
      </c>
      <c r="E76" s="417" t="s">
        <v>213</v>
      </c>
      <c r="F76" s="258"/>
      <c r="G76" s="70" t="s">
        <v>68</v>
      </c>
      <c r="H76" s="456"/>
      <c r="I76" s="380">
        <f>50/3.4528*1000</f>
        <v>14481</v>
      </c>
      <c r="J76" s="381">
        <f>50/3.4528*1000</f>
        <v>14481</v>
      </c>
      <c r="K76" s="583" t="s">
        <v>161</v>
      </c>
      <c r="L76" s="432"/>
      <c r="M76" s="432"/>
      <c r="N76" s="433">
        <v>1</v>
      </c>
    </row>
    <row r="77" spans="1:14" ht="16.5" customHeight="1" x14ac:dyDescent="0.2">
      <c r="A77" s="205"/>
      <c r="B77" s="199"/>
      <c r="C77" s="200"/>
      <c r="D77" s="1479" t="s">
        <v>49</v>
      </c>
      <c r="E77" s="235"/>
      <c r="F77" s="236"/>
      <c r="G77" s="18" t="s">
        <v>70</v>
      </c>
      <c r="H77" s="456">
        <f>2038/3.4528*1000</f>
        <v>590246</v>
      </c>
      <c r="I77" s="382"/>
      <c r="J77" s="383"/>
      <c r="K77" s="39" t="s">
        <v>50</v>
      </c>
      <c r="L77" s="240">
        <v>94</v>
      </c>
      <c r="M77" s="172"/>
      <c r="N77" s="239"/>
    </row>
    <row r="78" spans="1:14" ht="13.5" thickBot="1" x14ac:dyDescent="0.25">
      <c r="A78" s="205"/>
      <c r="B78" s="199"/>
      <c r="C78" s="200"/>
      <c r="D78" s="1492"/>
      <c r="E78" s="203"/>
      <c r="F78" s="198"/>
      <c r="G78" s="214" t="s">
        <v>6</v>
      </c>
      <c r="H78" s="387">
        <f>SUM(H68:H77)</f>
        <v>2798993</v>
      </c>
      <c r="I78" s="387">
        <f>SUM(I68:I77)</f>
        <v>2132820</v>
      </c>
      <c r="J78" s="387">
        <f t="shared" ref="J78" si="0">SUM(J68:J77)</f>
        <v>2182982</v>
      </c>
      <c r="K78" s="225"/>
      <c r="L78" s="142"/>
      <c r="M78" s="142"/>
      <c r="N78" s="491"/>
    </row>
    <row r="79" spans="1:14" ht="40.5" customHeight="1" x14ac:dyDescent="0.2">
      <c r="A79" s="1359" t="s">
        <v>5</v>
      </c>
      <c r="B79" s="1373" t="s">
        <v>5</v>
      </c>
      <c r="C79" s="1363" t="s">
        <v>38</v>
      </c>
      <c r="D79" s="287" t="s">
        <v>180</v>
      </c>
      <c r="E79" s="1365"/>
      <c r="F79" s="1474" t="s">
        <v>71</v>
      </c>
      <c r="G79" s="83" t="s">
        <v>27</v>
      </c>
      <c r="H79" s="465">
        <f>704/3.4528*1000</f>
        <v>203892</v>
      </c>
      <c r="I79" s="384">
        <f>(50+577)/3.4528*1000</f>
        <v>181592</v>
      </c>
      <c r="J79" s="385">
        <f>(50+577)/3.4528*1000</f>
        <v>181592</v>
      </c>
      <c r="K79" s="876" t="s">
        <v>325</v>
      </c>
      <c r="L79" s="432">
        <v>65</v>
      </c>
      <c r="M79" s="432">
        <v>65</v>
      </c>
      <c r="N79" s="433">
        <v>65</v>
      </c>
    </row>
    <row r="80" spans="1:14" ht="14.25" customHeight="1" x14ac:dyDescent="0.2">
      <c r="A80" s="1360"/>
      <c r="B80" s="1372"/>
      <c r="C80" s="1364"/>
      <c r="D80" s="1490" t="s">
        <v>181</v>
      </c>
      <c r="E80" s="1366"/>
      <c r="F80" s="1475"/>
      <c r="G80" s="70"/>
      <c r="H80" s="466"/>
      <c r="I80" s="352"/>
      <c r="J80" s="386"/>
      <c r="K80" s="877" t="s">
        <v>182</v>
      </c>
      <c r="L80" s="432">
        <v>5</v>
      </c>
      <c r="M80" s="432"/>
      <c r="N80" s="433"/>
    </row>
    <row r="81" spans="1:16" ht="16.5" customHeight="1" thickBot="1" x14ac:dyDescent="0.25">
      <c r="A81" s="1470"/>
      <c r="B81" s="1471"/>
      <c r="C81" s="1472"/>
      <c r="D81" s="1491"/>
      <c r="E81" s="1473"/>
      <c r="F81" s="1476"/>
      <c r="G81" s="77" t="s">
        <v>6</v>
      </c>
      <c r="H81" s="391">
        <f>H79</f>
        <v>203892</v>
      </c>
      <c r="I81" s="387">
        <f>SUM(I79:I80)</f>
        <v>181592</v>
      </c>
      <c r="J81" s="388">
        <f>SUM(J79:J80)</f>
        <v>181592</v>
      </c>
      <c r="K81" s="14"/>
      <c r="L81" s="142"/>
      <c r="M81" s="142"/>
      <c r="N81" s="143"/>
    </row>
    <row r="82" spans="1:16" ht="16.5" customHeight="1" x14ac:dyDescent="0.2">
      <c r="A82" s="1359" t="s">
        <v>5</v>
      </c>
      <c r="B82" s="1373" t="s">
        <v>5</v>
      </c>
      <c r="C82" s="1363" t="s">
        <v>31</v>
      </c>
      <c r="D82" s="1495" t="s">
        <v>174</v>
      </c>
      <c r="E82" s="1501" t="s">
        <v>110</v>
      </c>
      <c r="F82" s="1474" t="s">
        <v>66</v>
      </c>
      <c r="G82" s="83" t="s">
        <v>68</v>
      </c>
      <c r="H82" s="556">
        <v>116287</v>
      </c>
      <c r="I82" s="557"/>
      <c r="J82" s="389"/>
      <c r="K82" s="1493" t="s">
        <v>147</v>
      </c>
      <c r="L82" s="71">
        <v>100</v>
      </c>
      <c r="M82" s="71"/>
      <c r="N82" s="72"/>
    </row>
    <row r="83" spans="1:16" ht="21" customHeight="1" x14ac:dyDescent="0.2">
      <c r="A83" s="1360"/>
      <c r="B83" s="1372"/>
      <c r="C83" s="1364"/>
      <c r="D83" s="1499"/>
      <c r="E83" s="1502"/>
      <c r="F83" s="1475"/>
      <c r="G83" s="114" t="s">
        <v>27</v>
      </c>
      <c r="H83" s="450">
        <f>0.1/3.4528*1000</f>
        <v>29</v>
      </c>
      <c r="I83" s="558"/>
      <c r="J83" s="366"/>
      <c r="K83" s="1494"/>
      <c r="L83" s="560"/>
      <c r="M83" s="560"/>
      <c r="N83" s="561"/>
    </row>
    <row r="84" spans="1:16" ht="15" customHeight="1" x14ac:dyDescent="0.2">
      <c r="A84" s="1360"/>
      <c r="B84" s="1372"/>
      <c r="C84" s="1364"/>
      <c r="D84" s="1499"/>
      <c r="E84" s="1502"/>
      <c r="F84" s="1475"/>
      <c r="G84" s="12" t="s">
        <v>69</v>
      </c>
      <c r="H84" s="438">
        <v>23758</v>
      </c>
      <c r="I84" s="355"/>
      <c r="J84" s="379"/>
      <c r="K84" s="559" t="s">
        <v>196</v>
      </c>
      <c r="L84" s="24">
        <v>100</v>
      </c>
      <c r="M84" s="24"/>
      <c r="N84" s="69"/>
    </row>
    <row r="85" spans="1:16" ht="15" customHeight="1" thickBot="1" x14ac:dyDescent="0.25">
      <c r="A85" s="1470"/>
      <c r="B85" s="1471"/>
      <c r="C85" s="1472"/>
      <c r="D85" s="1500"/>
      <c r="E85" s="1503"/>
      <c r="F85" s="1476"/>
      <c r="G85" s="77" t="s">
        <v>6</v>
      </c>
      <c r="H85" s="468">
        <f>SUM(H82:H84)</f>
        <v>140074</v>
      </c>
      <c r="I85" s="387">
        <f>SUM(I82:I84)</f>
        <v>0</v>
      </c>
      <c r="J85" s="391">
        <f t="shared" ref="J85" si="1">SUM(J82:J84)</f>
        <v>0</v>
      </c>
      <c r="K85" s="122"/>
      <c r="L85" s="492"/>
      <c r="M85" s="493"/>
      <c r="N85" s="491"/>
      <c r="O85" s="10"/>
      <c r="P85" s="9"/>
    </row>
    <row r="86" spans="1:16" ht="14.25" customHeight="1" x14ac:dyDescent="0.2">
      <c r="A86" s="1359" t="s">
        <v>5</v>
      </c>
      <c r="B86" s="1373" t="s">
        <v>5</v>
      </c>
      <c r="C86" s="1363" t="s">
        <v>39</v>
      </c>
      <c r="D86" s="1495" t="s">
        <v>114</v>
      </c>
      <c r="E86" s="899"/>
      <c r="F86" s="176"/>
      <c r="G86" s="89" t="s">
        <v>27</v>
      </c>
      <c r="H86" s="469">
        <f>22/3.4528*1000</f>
        <v>6372</v>
      </c>
      <c r="I86" s="470">
        <f>75/3.4528*1000</f>
        <v>21722</v>
      </c>
      <c r="J86" s="471">
        <f>125/3.4528*1000</f>
        <v>36203</v>
      </c>
      <c r="K86" s="1497" t="s">
        <v>245</v>
      </c>
      <c r="L86" s="76">
        <f>L88+L89+L91+L92</f>
        <v>3</v>
      </c>
      <c r="M86" s="76">
        <f t="shared" ref="M86:N86" si="2">M88+M89+M91+M92</f>
        <v>0</v>
      </c>
      <c r="N86" s="321">
        <f t="shared" si="2"/>
        <v>1</v>
      </c>
    </row>
    <row r="87" spans="1:16" ht="27.75" customHeight="1" x14ac:dyDescent="0.2">
      <c r="A87" s="1360"/>
      <c r="B87" s="1372"/>
      <c r="C87" s="1364"/>
      <c r="D87" s="1496"/>
      <c r="E87" s="902"/>
      <c r="F87" s="215"/>
      <c r="G87" s="222" t="s">
        <v>68</v>
      </c>
      <c r="H87" s="457">
        <f>53.5/3.4528*1000</f>
        <v>15495</v>
      </c>
      <c r="I87" s="367"/>
      <c r="J87" s="472"/>
      <c r="K87" s="1498"/>
      <c r="L87" s="75"/>
      <c r="M87" s="575"/>
      <c r="N87" s="711"/>
    </row>
    <row r="88" spans="1:16" ht="41.25" customHeight="1" x14ac:dyDescent="0.2">
      <c r="A88" s="1360"/>
      <c r="B88" s="1372"/>
      <c r="C88" s="1364"/>
      <c r="D88" s="123" t="s">
        <v>197</v>
      </c>
      <c r="E88" s="267" t="s">
        <v>211</v>
      </c>
      <c r="F88" s="901" t="s">
        <v>66</v>
      </c>
      <c r="G88" s="127"/>
      <c r="H88" s="445"/>
      <c r="I88" s="372"/>
      <c r="J88" s="473"/>
      <c r="K88" s="317" t="s">
        <v>236</v>
      </c>
      <c r="L88" s="318">
        <v>1</v>
      </c>
      <c r="M88" s="319"/>
      <c r="N88" s="313"/>
    </row>
    <row r="89" spans="1:16" ht="40.5" customHeight="1" x14ac:dyDescent="0.2">
      <c r="A89" s="1360"/>
      <c r="B89" s="1372"/>
      <c r="C89" s="1364"/>
      <c r="D89" s="424" t="s">
        <v>241</v>
      </c>
      <c r="E89" s="425" t="s">
        <v>117</v>
      </c>
      <c r="F89" s="426"/>
      <c r="G89" s="427" t="s">
        <v>70</v>
      </c>
      <c r="H89" s="474"/>
      <c r="I89" s="365"/>
      <c r="J89" s="472"/>
      <c r="K89" s="64" t="s">
        <v>236</v>
      </c>
      <c r="L89" s="575">
        <v>1</v>
      </c>
      <c r="M89" s="65"/>
      <c r="N89" s="63"/>
    </row>
    <row r="90" spans="1:16" ht="40.5" customHeight="1" x14ac:dyDescent="0.2">
      <c r="A90" s="1360"/>
      <c r="B90" s="1372"/>
      <c r="C90" s="1364"/>
      <c r="D90" s="906" t="s">
        <v>198</v>
      </c>
      <c r="E90" s="418"/>
      <c r="F90" s="216"/>
      <c r="G90" s="419"/>
      <c r="H90" s="475"/>
      <c r="I90" s="351"/>
      <c r="J90" s="476"/>
      <c r="K90" s="421" t="s">
        <v>237</v>
      </c>
      <c r="L90" s="422"/>
      <c r="M90" s="423"/>
      <c r="N90" s="63">
        <v>1</v>
      </c>
    </row>
    <row r="91" spans="1:16" ht="39" customHeight="1" x14ac:dyDescent="0.2">
      <c r="A91" s="1360"/>
      <c r="B91" s="1372"/>
      <c r="C91" s="1364"/>
      <c r="D91" s="420" t="s">
        <v>199</v>
      </c>
      <c r="E91" s="320"/>
      <c r="F91" s="904" t="s">
        <v>66</v>
      </c>
      <c r="G91" s="19"/>
      <c r="H91" s="477"/>
      <c r="I91" s="392"/>
      <c r="J91" s="390"/>
      <c r="K91" s="148" t="s">
        <v>237</v>
      </c>
      <c r="L91" s="44"/>
      <c r="M91" s="44"/>
      <c r="N91" s="45">
        <v>1</v>
      </c>
      <c r="P91" s="9"/>
    </row>
    <row r="92" spans="1:16" ht="32.25" customHeight="1" x14ac:dyDescent="0.2">
      <c r="A92" s="1360"/>
      <c r="B92" s="1372"/>
      <c r="C92" s="1364"/>
      <c r="D92" s="1523" t="s">
        <v>214</v>
      </c>
      <c r="E92" s="1524"/>
      <c r="F92" s="1475" t="s">
        <v>66</v>
      </c>
      <c r="G92" s="18"/>
      <c r="H92" s="478"/>
      <c r="I92" s="383"/>
      <c r="J92" s="393"/>
      <c r="K92" s="20" t="s">
        <v>215</v>
      </c>
      <c r="L92" s="897">
        <v>1</v>
      </c>
      <c r="M92" s="897"/>
      <c r="N92" s="898"/>
    </row>
    <row r="93" spans="1:16" ht="20.25" customHeight="1" thickBot="1" x14ac:dyDescent="0.25">
      <c r="A93" s="1470"/>
      <c r="B93" s="1471"/>
      <c r="C93" s="1472"/>
      <c r="D93" s="1522"/>
      <c r="E93" s="1525"/>
      <c r="F93" s="1476"/>
      <c r="G93" s="78" t="s">
        <v>6</v>
      </c>
      <c r="H93" s="400">
        <f>H86+H87</f>
        <v>21867</v>
      </c>
      <c r="I93" s="400">
        <f>I86+I87</f>
        <v>21722</v>
      </c>
      <c r="J93" s="400">
        <f>J86+J87</f>
        <v>36203</v>
      </c>
      <c r="K93" s="895" t="s">
        <v>216</v>
      </c>
      <c r="L93" s="142">
        <v>2</v>
      </c>
      <c r="M93" s="142"/>
      <c r="N93" s="143"/>
    </row>
    <row r="94" spans="1:16" ht="17.25" customHeight="1" x14ac:dyDescent="0.2">
      <c r="A94" s="205" t="s">
        <v>5</v>
      </c>
      <c r="B94" s="191" t="s">
        <v>5</v>
      </c>
      <c r="C94" s="1364" t="s">
        <v>32</v>
      </c>
      <c r="D94" s="1521" t="s">
        <v>222</v>
      </c>
      <c r="E94" s="233"/>
      <c r="F94" s="232" t="s">
        <v>30</v>
      </c>
      <c r="G94" s="84" t="s">
        <v>27</v>
      </c>
      <c r="H94" s="475">
        <f>145.2/3.4528*1000</f>
        <v>42053</v>
      </c>
      <c r="I94" s="394"/>
      <c r="J94" s="395"/>
      <c r="K94" s="197" t="s">
        <v>200</v>
      </c>
      <c r="L94" s="335">
        <v>210</v>
      </c>
      <c r="M94" s="432"/>
      <c r="N94" s="433"/>
    </row>
    <row r="95" spans="1:16" ht="13.5" thickBot="1" x14ac:dyDescent="0.25">
      <c r="A95" s="101"/>
      <c r="B95" s="199"/>
      <c r="C95" s="1472"/>
      <c r="D95" s="1522"/>
      <c r="E95" s="150"/>
      <c r="F95" s="149"/>
      <c r="G95" s="77" t="s">
        <v>6</v>
      </c>
      <c r="H95" s="387">
        <f>H94</f>
        <v>42053</v>
      </c>
      <c r="I95" s="387">
        <f t="shared" ref="I95:J97" si="3">SUM(I94:I94)</f>
        <v>0</v>
      </c>
      <c r="J95" s="387">
        <f t="shared" si="3"/>
        <v>0</v>
      </c>
      <c r="K95" s="14"/>
      <c r="L95" s="142"/>
      <c r="M95" s="142"/>
      <c r="N95" s="143"/>
    </row>
    <row r="96" spans="1:16" ht="14.25" customHeight="1" x14ac:dyDescent="0.2">
      <c r="A96" s="1359" t="s">
        <v>5</v>
      </c>
      <c r="B96" s="1373" t="s">
        <v>5</v>
      </c>
      <c r="C96" s="1363" t="s">
        <v>109</v>
      </c>
      <c r="D96" s="1517" t="s">
        <v>96</v>
      </c>
      <c r="E96" s="1519"/>
      <c r="F96" s="509" t="s">
        <v>30</v>
      </c>
      <c r="G96" s="11" t="s">
        <v>27</v>
      </c>
      <c r="H96" s="479">
        <f>300/3.4528*1000</f>
        <v>86886</v>
      </c>
      <c r="I96" s="480">
        <f>200/3.4528*1000</f>
        <v>57924</v>
      </c>
      <c r="J96" s="480">
        <f>200/3.4528*1000</f>
        <v>57924</v>
      </c>
      <c r="K96" s="511" t="s">
        <v>41</v>
      </c>
      <c r="L96" s="514">
        <v>7</v>
      </c>
      <c r="M96" s="512">
        <v>4</v>
      </c>
      <c r="N96" s="513">
        <v>4</v>
      </c>
    </row>
    <row r="97" spans="1:26" ht="13.5" customHeight="1" thickBot="1" x14ac:dyDescent="0.25">
      <c r="A97" s="1470"/>
      <c r="B97" s="1471"/>
      <c r="C97" s="1472"/>
      <c r="D97" s="1518"/>
      <c r="E97" s="1520"/>
      <c r="F97" s="510"/>
      <c r="G97" s="77" t="s">
        <v>6</v>
      </c>
      <c r="H97" s="387">
        <f>H96</f>
        <v>86886</v>
      </c>
      <c r="I97" s="387">
        <f t="shared" si="3"/>
        <v>57924</v>
      </c>
      <c r="J97" s="387">
        <f t="shared" si="3"/>
        <v>57924</v>
      </c>
      <c r="K97" s="14"/>
      <c r="L97" s="142"/>
      <c r="M97" s="142"/>
      <c r="N97" s="143"/>
    </row>
    <row r="98" spans="1:26" ht="13.5" thickBot="1" x14ac:dyDescent="0.25">
      <c r="A98" s="103" t="s">
        <v>5</v>
      </c>
      <c r="B98" s="7" t="s">
        <v>5</v>
      </c>
      <c r="C98" s="1508" t="s">
        <v>8</v>
      </c>
      <c r="D98" s="1508"/>
      <c r="E98" s="1508"/>
      <c r="F98" s="1508"/>
      <c r="G98" s="1509"/>
      <c r="H98" s="396">
        <f>H97+H95+H93+H85+H81+H78+H67+H50+H38</f>
        <v>6557079</v>
      </c>
      <c r="I98" s="396">
        <f>I97+I95+I93+I85+I81+I78+I67+I50+I38</f>
        <v>5686316</v>
      </c>
      <c r="J98" s="396">
        <f>J97+J95+J93+J85+J81+J78+J67+J50+J38</f>
        <v>5403412</v>
      </c>
      <c r="K98" s="28"/>
      <c r="L98" s="29"/>
      <c r="M98" s="29"/>
      <c r="N98" s="30"/>
    </row>
    <row r="99" spans="1:26" ht="13.5" thickBot="1" x14ac:dyDescent="0.25">
      <c r="A99" s="103" t="s">
        <v>5</v>
      </c>
      <c r="B99" s="7" t="s">
        <v>7</v>
      </c>
      <c r="C99" s="1510" t="s">
        <v>52</v>
      </c>
      <c r="D99" s="1511"/>
      <c r="E99" s="1511"/>
      <c r="F99" s="1511"/>
      <c r="G99" s="1511"/>
      <c r="H99" s="1511"/>
      <c r="I99" s="1511"/>
      <c r="J99" s="1511"/>
      <c r="K99" s="1511"/>
      <c r="L99" s="1511"/>
      <c r="M99" s="1511"/>
      <c r="N99" s="1512"/>
    </row>
    <row r="100" spans="1:26" ht="13.5" customHeight="1" x14ac:dyDescent="0.2">
      <c r="A100" s="917" t="s">
        <v>5</v>
      </c>
      <c r="B100" s="918" t="s">
        <v>7</v>
      </c>
      <c r="C100" s="919" t="s">
        <v>5</v>
      </c>
      <c r="D100" s="1513" t="s">
        <v>162</v>
      </c>
      <c r="E100" s="828"/>
      <c r="F100" s="827" t="s">
        <v>30</v>
      </c>
      <c r="G100" s="833" t="s">
        <v>27</v>
      </c>
      <c r="H100" s="834">
        <f>(966.4+113)/3.4528*1000</f>
        <v>312616</v>
      </c>
      <c r="I100" s="835">
        <f>981/3.4528*1000</f>
        <v>284117</v>
      </c>
      <c r="J100" s="835">
        <f>1131/3.4528*1000</f>
        <v>327560</v>
      </c>
      <c r="K100" s="256"/>
      <c r="L100" s="193"/>
      <c r="M100" s="193"/>
      <c r="N100" s="195"/>
      <c r="P100" s="9"/>
    </row>
    <row r="101" spans="1:26" ht="14.25" customHeight="1" x14ac:dyDescent="0.2">
      <c r="A101" s="915"/>
      <c r="B101" s="916"/>
      <c r="C101" s="920"/>
      <c r="D101" s="1514"/>
      <c r="E101" s="778"/>
      <c r="F101" s="719"/>
      <c r="G101" s="830" t="s">
        <v>97</v>
      </c>
      <c r="H101" s="831">
        <v>8171</v>
      </c>
      <c r="I101" s="832"/>
      <c r="J101" s="832"/>
      <c r="K101" s="244"/>
      <c r="L101" s="24"/>
      <c r="M101" s="24"/>
      <c r="N101" s="69"/>
      <c r="P101" s="9"/>
    </row>
    <row r="102" spans="1:26" ht="12.75" customHeight="1" x14ac:dyDescent="0.2">
      <c r="A102" s="915"/>
      <c r="B102" s="916"/>
      <c r="C102" s="920"/>
      <c r="D102" s="1515" t="s">
        <v>76</v>
      </c>
      <c r="E102" s="764"/>
      <c r="F102" s="923"/>
      <c r="G102" s="81"/>
      <c r="H102" s="494"/>
      <c r="I102" s="766"/>
      <c r="J102" s="766"/>
      <c r="K102" s="926" t="s">
        <v>56</v>
      </c>
      <c r="L102" s="60">
        <v>350</v>
      </c>
      <c r="M102" s="60">
        <v>350</v>
      </c>
      <c r="N102" s="61">
        <v>350</v>
      </c>
      <c r="P102" s="9"/>
    </row>
    <row r="103" spans="1:26" ht="41.25" customHeight="1" x14ac:dyDescent="0.2">
      <c r="A103" s="915"/>
      <c r="B103" s="916"/>
      <c r="C103" s="920"/>
      <c r="D103" s="1515"/>
      <c r="E103" s="764"/>
      <c r="F103" s="923"/>
      <c r="G103" s="81"/>
      <c r="H103" s="494"/>
      <c r="I103" s="766"/>
      <c r="J103" s="766"/>
      <c r="K103" s="245" t="s">
        <v>57</v>
      </c>
      <c r="L103" s="129">
        <v>300</v>
      </c>
      <c r="M103" s="129">
        <v>300</v>
      </c>
      <c r="N103" s="130">
        <v>300</v>
      </c>
      <c r="P103" s="9"/>
    </row>
    <row r="104" spans="1:26" ht="22.5" customHeight="1" x14ac:dyDescent="0.2">
      <c r="A104" s="750"/>
      <c r="B104" s="54"/>
      <c r="C104" s="945"/>
      <c r="D104" s="1516"/>
      <c r="E104" s="778"/>
      <c r="F104" s="719"/>
      <c r="G104" s="830"/>
      <c r="H104" s="831"/>
      <c r="I104" s="832"/>
      <c r="J104" s="832"/>
      <c r="K104" s="250" t="s">
        <v>238</v>
      </c>
      <c r="L104" s="132">
        <v>36</v>
      </c>
      <c r="M104" s="132">
        <v>36</v>
      </c>
      <c r="N104" s="133">
        <v>36</v>
      </c>
      <c r="P104" s="9"/>
    </row>
    <row r="105" spans="1:26" ht="25.5" customHeight="1" x14ac:dyDescent="0.2">
      <c r="A105" s="915"/>
      <c r="B105" s="916"/>
      <c r="C105" s="920"/>
      <c r="D105" s="1515" t="s">
        <v>79</v>
      </c>
      <c r="E105" s="764"/>
      <c r="F105" s="718"/>
      <c r="G105" s="81"/>
      <c r="H105" s="494"/>
      <c r="I105" s="766"/>
      <c r="J105" s="766"/>
      <c r="K105" s="942" t="s">
        <v>156</v>
      </c>
      <c r="L105" s="943">
        <v>18</v>
      </c>
      <c r="M105" s="943">
        <v>18</v>
      </c>
      <c r="N105" s="944">
        <v>18</v>
      </c>
      <c r="P105" s="9"/>
    </row>
    <row r="106" spans="1:26" ht="40.5" customHeight="1" x14ac:dyDescent="0.2">
      <c r="A106" s="915"/>
      <c r="B106" s="916"/>
      <c r="C106" s="920"/>
      <c r="D106" s="1507"/>
      <c r="E106" s="764"/>
      <c r="F106" s="718"/>
      <c r="G106" s="81"/>
      <c r="H106" s="494"/>
      <c r="I106" s="766"/>
      <c r="J106" s="766"/>
      <c r="K106" s="252"/>
      <c r="L106" s="38"/>
      <c r="M106" s="38"/>
      <c r="N106" s="68"/>
      <c r="P106" s="9"/>
    </row>
    <row r="107" spans="1:26" ht="12.75" customHeight="1" x14ac:dyDescent="0.2">
      <c r="A107" s="205"/>
      <c r="B107" s="191"/>
      <c r="C107" s="208"/>
      <c r="D107" s="1506" t="s">
        <v>55</v>
      </c>
      <c r="E107" s="764"/>
      <c r="F107" s="718"/>
      <c r="G107" s="81"/>
      <c r="H107" s="494"/>
      <c r="I107" s="766"/>
      <c r="J107" s="766"/>
      <c r="K107" s="251" t="s">
        <v>77</v>
      </c>
      <c r="L107" s="136">
        <v>2</v>
      </c>
      <c r="M107" s="136">
        <v>2</v>
      </c>
      <c r="N107" s="137">
        <v>2</v>
      </c>
      <c r="P107" s="9"/>
    </row>
    <row r="108" spans="1:26" x14ac:dyDescent="0.2">
      <c r="A108" s="205"/>
      <c r="B108" s="191"/>
      <c r="C108" s="208"/>
      <c r="D108" s="1507"/>
      <c r="E108" s="764"/>
      <c r="F108" s="718"/>
      <c r="G108" s="81"/>
      <c r="H108" s="494"/>
      <c r="I108" s="766"/>
      <c r="J108" s="766"/>
      <c r="K108" s="253" t="s">
        <v>157</v>
      </c>
      <c r="L108" s="38">
        <v>100</v>
      </c>
      <c r="M108" s="38"/>
      <c r="N108" s="68"/>
      <c r="P108" s="9"/>
    </row>
    <row r="109" spans="1:26" ht="24" customHeight="1" x14ac:dyDescent="0.2">
      <c r="A109" s="205"/>
      <c r="B109" s="191"/>
      <c r="C109" s="208"/>
      <c r="D109" s="246" t="s">
        <v>59</v>
      </c>
      <c r="E109" s="764"/>
      <c r="F109" s="718"/>
      <c r="G109" s="81"/>
      <c r="H109" s="475"/>
      <c r="I109" s="350"/>
      <c r="J109" s="350"/>
      <c r="K109" s="249" t="s">
        <v>60</v>
      </c>
      <c r="L109" s="60">
        <v>20</v>
      </c>
      <c r="M109" s="60">
        <v>20</v>
      </c>
      <c r="N109" s="61">
        <v>20</v>
      </c>
      <c r="P109" s="9"/>
    </row>
    <row r="110" spans="1:26" ht="21.75" customHeight="1" x14ac:dyDescent="0.2">
      <c r="A110" s="205"/>
      <c r="B110" s="191"/>
      <c r="C110" s="208"/>
      <c r="D110" s="247" t="s">
        <v>223</v>
      </c>
      <c r="E110" s="764"/>
      <c r="F110" s="765"/>
      <c r="G110" s="81"/>
      <c r="H110" s="475"/>
      <c r="I110" s="350"/>
      <c r="J110" s="350"/>
      <c r="K110" s="254" t="s">
        <v>239</v>
      </c>
      <c r="L110" s="60">
        <v>150</v>
      </c>
      <c r="M110" s="60">
        <v>150</v>
      </c>
      <c r="N110" s="61">
        <v>150</v>
      </c>
      <c r="P110" s="9"/>
      <c r="Q110" s="91"/>
      <c r="R110" s="91"/>
      <c r="S110" s="91"/>
      <c r="T110" s="91"/>
      <c r="U110" s="91"/>
      <c r="V110" s="91"/>
      <c r="W110" s="91"/>
      <c r="X110" s="91"/>
      <c r="Y110" s="91"/>
      <c r="Z110" s="91"/>
    </row>
    <row r="111" spans="1:26" ht="16.5" customHeight="1" x14ac:dyDescent="0.2">
      <c r="A111" s="231"/>
      <c r="B111" s="229"/>
      <c r="C111" s="230"/>
      <c r="D111" s="1571" t="s">
        <v>203</v>
      </c>
      <c r="E111" s="284"/>
      <c r="F111" s="286"/>
      <c r="G111" s="248"/>
      <c r="H111" s="457"/>
      <c r="I111" s="348"/>
      <c r="J111" s="348"/>
      <c r="K111" s="254" t="s">
        <v>167</v>
      </c>
      <c r="L111" s="60">
        <v>100</v>
      </c>
      <c r="M111" s="60"/>
      <c r="N111" s="61"/>
      <c r="P111" s="9"/>
      <c r="Q111" s="91"/>
      <c r="R111" s="91"/>
      <c r="S111" s="91"/>
      <c r="T111" s="91"/>
      <c r="U111" s="91"/>
      <c r="V111" s="91"/>
      <c r="W111" s="91"/>
      <c r="X111" s="91"/>
      <c r="Y111" s="91"/>
      <c r="Z111" s="91"/>
    </row>
    <row r="112" spans="1:26" ht="23.25" customHeight="1" thickBot="1" x14ac:dyDescent="0.25">
      <c r="A112" s="205"/>
      <c r="B112" s="191"/>
      <c r="C112" s="208"/>
      <c r="D112" s="1572"/>
      <c r="E112" s="285"/>
      <c r="F112" s="283"/>
      <c r="G112" s="255" t="s">
        <v>6</v>
      </c>
      <c r="H112" s="400">
        <f>H100+H101</f>
        <v>320787</v>
      </c>
      <c r="I112" s="400">
        <f>I100</f>
        <v>284117</v>
      </c>
      <c r="J112" s="400">
        <f>J100</f>
        <v>327560</v>
      </c>
      <c r="K112" s="253"/>
      <c r="L112" s="38"/>
      <c r="M112" s="38"/>
      <c r="N112" s="68"/>
      <c r="P112" s="9"/>
      <c r="Q112" s="91"/>
      <c r="R112" s="91"/>
      <c r="S112" s="91"/>
      <c r="T112" s="91"/>
      <c r="U112" s="91"/>
      <c r="V112" s="91"/>
      <c r="W112" s="91"/>
      <c r="X112" s="91"/>
      <c r="Y112" s="91"/>
      <c r="Z112" s="91"/>
    </row>
    <row r="113" spans="1:26" ht="13.5" thickBot="1" x14ac:dyDescent="0.25">
      <c r="A113" s="104" t="s">
        <v>5</v>
      </c>
      <c r="B113" s="7" t="s">
        <v>7</v>
      </c>
      <c r="C113" s="1508" t="s">
        <v>8</v>
      </c>
      <c r="D113" s="1508"/>
      <c r="E113" s="1535"/>
      <c r="F113" s="1535"/>
      <c r="G113" s="1509"/>
      <c r="H113" s="495">
        <f>H112</f>
        <v>320787</v>
      </c>
      <c r="I113" s="496">
        <f>I112</f>
        <v>284117</v>
      </c>
      <c r="J113" s="495">
        <f t="shared" ref="J113" si="4">J112</f>
        <v>327560</v>
      </c>
      <c r="K113" s="1526"/>
      <c r="L113" s="1527"/>
      <c r="M113" s="1527"/>
      <c r="N113" s="1528"/>
      <c r="O113" s="50"/>
      <c r="Q113" s="91"/>
      <c r="R113" s="91"/>
      <c r="S113" s="91"/>
      <c r="T113" s="91"/>
      <c r="U113" s="91"/>
      <c r="V113" s="91"/>
      <c r="W113" s="91"/>
      <c r="X113" s="91"/>
      <c r="Y113" s="91"/>
      <c r="Z113" s="91"/>
    </row>
    <row r="114" spans="1:26" ht="13.5" thickBot="1" x14ac:dyDescent="0.25">
      <c r="A114" s="103" t="s">
        <v>5</v>
      </c>
      <c r="B114" s="7" t="s">
        <v>29</v>
      </c>
      <c r="C114" s="1510" t="s">
        <v>53</v>
      </c>
      <c r="D114" s="1511"/>
      <c r="E114" s="1511"/>
      <c r="F114" s="1511"/>
      <c r="G114" s="1511"/>
      <c r="H114" s="1511"/>
      <c r="I114" s="1511"/>
      <c r="J114" s="1511"/>
      <c r="K114" s="1511"/>
      <c r="L114" s="1511"/>
      <c r="M114" s="1511"/>
      <c r="N114" s="1512"/>
      <c r="Q114" s="91"/>
      <c r="R114" s="91"/>
      <c r="S114" s="91"/>
      <c r="T114" s="91"/>
      <c r="U114" s="91"/>
      <c r="V114" s="91"/>
      <c r="W114" s="91"/>
      <c r="X114" s="91"/>
      <c r="Y114" s="91"/>
      <c r="Z114" s="91"/>
    </row>
    <row r="115" spans="1:26" ht="18" customHeight="1" x14ac:dyDescent="0.2">
      <c r="A115" s="1359" t="s">
        <v>5</v>
      </c>
      <c r="B115" s="1361" t="s">
        <v>29</v>
      </c>
      <c r="C115" s="1537" t="s">
        <v>5</v>
      </c>
      <c r="D115" s="1540" t="s">
        <v>61</v>
      </c>
      <c r="E115" s="1519"/>
      <c r="F115" s="1367" t="s">
        <v>30</v>
      </c>
      <c r="G115" s="563" t="s">
        <v>27</v>
      </c>
      <c r="H115" s="839">
        <f>(2297.3-102.7-48.2)/3.4528*1000</f>
        <v>621640</v>
      </c>
      <c r="I115" s="565">
        <f>2527.1/3.4528*1000</f>
        <v>731899</v>
      </c>
      <c r="J115" s="565">
        <f>2527.1/3.4528*1000</f>
        <v>731899</v>
      </c>
      <c r="K115" s="1533" t="s">
        <v>201</v>
      </c>
      <c r="L115" s="502">
        <v>3.7</v>
      </c>
      <c r="M115" s="502">
        <v>3.7</v>
      </c>
      <c r="N115" s="503">
        <v>3.7</v>
      </c>
      <c r="P115" s="9"/>
      <c r="Q115" s="91"/>
      <c r="R115" s="91"/>
      <c r="S115" s="91"/>
      <c r="T115" s="91"/>
      <c r="U115" s="91"/>
      <c r="V115" s="91"/>
      <c r="W115" s="91"/>
      <c r="X115" s="91"/>
      <c r="Y115" s="91"/>
      <c r="Z115" s="91"/>
    </row>
    <row r="116" spans="1:26" ht="15.75" customHeight="1" x14ac:dyDescent="0.2">
      <c r="A116" s="1360"/>
      <c r="B116" s="1362"/>
      <c r="C116" s="1538"/>
      <c r="D116" s="1541"/>
      <c r="E116" s="1543"/>
      <c r="F116" s="1368"/>
      <c r="G116" s="302"/>
      <c r="H116" s="562"/>
      <c r="I116" s="352"/>
      <c r="J116" s="386"/>
      <c r="K116" s="1349"/>
      <c r="L116" s="504"/>
      <c r="M116" s="24"/>
      <c r="N116" s="69"/>
      <c r="P116" s="9"/>
      <c r="Q116" s="91"/>
      <c r="R116" s="91"/>
      <c r="S116" s="91"/>
      <c r="T116" s="91"/>
      <c r="U116" s="91"/>
      <c r="V116" s="91"/>
      <c r="W116" s="91"/>
      <c r="X116" s="91"/>
      <c r="Y116" s="91"/>
      <c r="Z116" s="91"/>
    </row>
    <row r="117" spans="1:26" ht="18.75" customHeight="1" thickBot="1" x14ac:dyDescent="0.25">
      <c r="A117" s="1470"/>
      <c r="B117" s="1536"/>
      <c r="C117" s="1539"/>
      <c r="D117" s="1542"/>
      <c r="E117" s="1520"/>
      <c r="F117" s="1532"/>
      <c r="G117" s="397" t="s">
        <v>6</v>
      </c>
      <c r="H117" s="497">
        <f>H115</f>
        <v>621640</v>
      </c>
      <c r="I117" s="498">
        <f>SUM(I115:I116)</f>
        <v>731899</v>
      </c>
      <c r="J117" s="499">
        <f>SUM(J115:J116)</f>
        <v>731899</v>
      </c>
      <c r="K117" s="1534"/>
      <c r="L117" s="194"/>
      <c r="M117" s="194"/>
      <c r="N117" s="196"/>
      <c r="P117" s="9"/>
      <c r="Q117" s="91"/>
      <c r="R117" s="91"/>
      <c r="S117" s="91"/>
      <c r="T117" s="91"/>
      <c r="U117" s="91"/>
      <c r="V117" s="91"/>
      <c r="W117" s="91"/>
      <c r="X117" s="91"/>
      <c r="Y117" s="91"/>
      <c r="Z117" s="91"/>
    </row>
    <row r="118" spans="1:26" ht="18" customHeight="1" x14ac:dyDescent="0.2">
      <c r="A118" s="1359" t="s">
        <v>5</v>
      </c>
      <c r="B118" s="1361" t="s">
        <v>29</v>
      </c>
      <c r="C118" s="1537" t="s">
        <v>7</v>
      </c>
      <c r="D118" s="1540" t="s">
        <v>278</v>
      </c>
      <c r="E118" s="1519"/>
      <c r="F118" s="1367" t="s">
        <v>30</v>
      </c>
      <c r="G118" s="563" t="s">
        <v>70</v>
      </c>
      <c r="H118" s="564">
        <v>1880</v>
      </c>
      <c r="I118" s="565"/>
      <c r="J118" s="565"/>
      <c r="K118" s="1533" t="s">
        <v>279</v>
      </c>
      <c r="L118" s="816">
        <v>10</v>
      </c>
      <c r="M118" s="816"/>
      <c r="N118" s="818"/>
      <c r="P118" s="9"/>
      <c r="Q118" s="91"/>
      <c r="R118" s="91"/>
      <c r="S118" s="91"/>
      <c r="T118" s="91"/>
      <c r="U118" s="91"/>
      <c r="V118" s="91"/>
      <c r="W118" s="91"/>
      <c r="X118" s="91"/>
      <c r="Y118" s="91"/>
      <c r="Z118" s="91"/>
    </row>
    <row r="119" spans="1:26" ht="15.75" customHeight="1" x14ac:dyDescent="0.2">
      <c r="A119" s="1360"/>
      <c r="B119" s="1362"/>
      <c r="C119" s="1538"/>
      <c r="D119" s="1541"/>
      <c r="E119" s="1543"/>
      <c r="F119" s="1368"/>
      <c r="G119" s="302"/>
      <c r="H119" s="562"/>
      <c r="I119" s="352"/>
      <c r="J119" s="386"/>
      <c r="K119" s="1349"/>
      <c r="L119" s="504"/>
      <c r="M119" s="24"/>
      <c r="N119" s="69"/>
      <c r="P119" s="9"/>
      <c r="Q119" s="91"/>
      <c r="R119" s="91"/>
      <c r="S119" s="91"/>
      <c r="T119" s="91"/>
      <c r="U119" s="91"/>
      <c r="V119" s="91"/>
      <c r="W119" s="91"/>
      <c r="X119" s="91"/>
      <c r="Y119" s="91"/>
      <c r="Z119" s="91"/>
    </row>
    <row r="120" spans="1:26" ht="18.75" customHeight="1" thickBot="1" x14ac:dyDescent="0.25">
      <c r="A120" s="1470"/>
      <c r="B120" s="1536"/>
      <c r="C120" s="1539"/>
      <c r="D120" s="1542"/>
      <c r="E120" s="1520"/>
      <c r="F120" s="1532"/>
      <c r="G120" s="397" t="s">
        <v>6</v>
      </c>
      <c r="H120" s="497">
        <f>H118</f>
        <v>1880</v>
      </c>
      <c r="I120" s="498">
        <f>SUM(I118:I119)</f>
        <v>0</v>
      </c>
      <c r="J120" s="499">
        <f>SUM(J118:J119)</f>
        <v>0</v>
      </c>
      <c r="K120" s="1534"/>
      <c r="L120" s="817"/>
      <c r="M120" s="817"/>
      <c r="N120" s="819"/>
      <c r="P120" s="9"/>
      <c r="Q120" s="91"/>
      <c r="R120" s="91"/>
      <c r="S120" s="91"/>
      <c r="T120" s="91"/>
      <c r="U120" s="91"/>
      <c r="V120" s="91"/>
      <c r="W120" s="91"/>
      <c r="X120" s="91"/>
      <c r="Y120" s="91"/>
      <c r="Z120" s="91"/>
    </row>
    <row r="121" spans="1:26" ht="13.5" thickBot="1" x14ac:dyDescent="0.25">
      <c r="A121" s="104" t="s">
        <v>5</v>
      </c>
      <c r="B121" s="7" t="s">
        <v>29</v>
      </c>
      <c r="C121" s="1508" t="s">
        <v>8</v>
      </c>
      <c r="D121" s="1508"/>
      <c r="E121" s="1508"/>
      <c r="F121" s="1508"/>
      <c r="G121" s="1509"/>
      <c r="H121" s="500">
        <f>H117+H120</f>
        <v>623520</v>
      </c>
      <c r="I121" s="501">
        <f>I117</f>
        <v>731899</v>
      </c>
      <c r="J121" s="500">
        <f t="shared" ref="J121" si="5">J117</f>
        <v>731899</v>
      </c>
      <c r="K121" s="1526"/>
      <c r="L121" s="1527"/>
      <c r="M121" s="1527"/>
      <c r="N121" s="1528"/>
    </row>
    <row r="122" spans="1:26" ht="14.25" customHeight="1" thickBot="1" x14ac:dyDescent="0.25">
      <c r="A122" s="103" t="s">
        <v>5</v>
      </c>
      <c r="B122" s="7" t="s">
        <v>37</v>
      </c>
      <c r="C122" s="1529" t="s">
        <v>54</v>
      </c>
      <c r="D122" s="1530"/>
      <c r="E122" s="1530"/>
      <c r="F122" s="1530"/>
      <c r="G122" s="1530"/>
      <c r="H122" s="1530"/>
      <c r="I122" s="1530"/>
      <c r="J122" s="1530"/>
      <c r="K122" s="1530"/>
      <c r="L122" s="1530"/>
      <c r="M122" s="1530"/>
      <c r="N122" s="1531"/>
    </row>
    <row r="123" spans="1:26" ht="17.25" customHeight="1" x14ac:dyDescent="0.2">
      <c r="A123" s="204" t="s">
        <v>5</v>
      </c>
      <c r="B123" s="190" t="s">
        <v>37</v>
      </c>
      <c r="C123" s="176" t="s">
        <v>5</v>
      </c>
      <c r="D123" s="1564" t="s">
        <v>62</v>
      </c>
      <c r="E123" s="98"/>
      <c r="F123" s="184" t="s">
        <v>30</v>
      </c>
      <c r="G123" s="11" t="s">
        <v>27</v>
      </c>
      <c r="H123" s="467">
        <f>300/3.4528*1000</f>
        <v>86886</v>
      </c>
      <c r="I123" s="505">
        <f t="shared" ref="I123:J123" si="6">300/3.4528*1000</f>
        <v>86886</v>
      </c>
      <c r="J123" s="505">
        <f t="shared" si="6"/>
        <v>86886</v>
      </c>
      <c r="K123" s="1533" t="s">
        <v>63</v>
      </c>
      <c r="L123" s="48">
        <v>285</v>
      </c>
      <c r="M123" s="48">
        <v>285</v>
      </c>
      <c r="N123" s="430">
        <v>285</v>
      </c>
      <c r="O123" s="47"/>
      <c r="P123" s="9"/>
    </row>
    <row r="124" spans="1:26" ht="15.75" customHeight="1" thickBot="1" x14ac:dyDescent="0.25">
      <c r="A124" s="528"/>
      <c r="B124" s="517"/>
      <c r="C124" s="529"/>
      <c r="D124" s="1491"/>
      <c r="E124" s="520"/>
      <c r="F124" s="530"/>
      <c r="G124" s="78" t="s">
        <v>6</v>
      </c>
      <c r="H124" s="464">
        <f>H123</f>
        <v>86886</v>
      </c>
      <c r="I124" s="464">
        <f t="shared" ref="I124:J124" si="7">I123</f>
        <v>86886</v>
      </c>
      <c r="J124" s="464">
        <f t="shared" si="7"/>
        <v>86886</v>
      </c>
      <c r="K124" s="1556"/>
      <c r="L124" s="38"/>
      <c r="M124" s="38"/>
      <c r="N124" s="68"/>
      <c r="Q124" s="50"/>
      <c r="R124" s="50"/>
    </row>
    <row r="125" spans="1:26" ht="12.75" customHeight="1" x14ac:dyDescent="0.2">
      <c r="A125" s="1360" t="s">
        <v>5</v>
      </c>
      <c r="B125" s="1362" t="s">
        <v>37</v>
      </c>
      <c r="C125" s="1557" t="s">
        <v>7</v>
      </c>
      <c r="D125" s="1455" t="s">
        <v>92</v>
      </c>
      <c r="E125" s="1524"/>
      <c r="F125" s="1368" t="s">
        <v>30</v>
      </c>
      <c r="G125" s="83" t="s">
        <v>27</v>
      </c>
      <c r="H125" s="556">
        <f>20.3/3.4528*1000</f>
        <v>5879</v>
      </c>
      <c r="I125" s="384">
        <f>21/3.4528*1000</f>
        <v>6082</v>
      </c>
      <c r="J125" s="384">
        <f>21/3.4528*1000</f>
        <v>6082</v>
      </c>
      <c r="K125" s="186" t="s">
        <v>94</v>
      </c>
      <c r="L125" s="428">
        <v>44</v>
      </c>
      <c r="M125" s="428">
        <v>45</v>
      </c>
      <c r="N125" s="430">
        <v>45</v>
      </c>
      <c r="P125" s="9"/>
      <c r="Q125" s="50"/>
      <c r="R125" s="50"/>
    </row>
    <row r="126" spans="1:26" x14ac:dyDescent="0.2">
      <c r="A126" s="1360"/>
      <c r="B126" s="1362"/>
      <c r="C126" s="1557"/>
      <c r="D126" s="1455"/>
      <c r="E126" s="1524"/>
      <c r="F126" s="1368"/>
      <c r="G126" s="70"/>
      <c r="H126" s="449"/>
      <c r="I126" s="351"/>
      <c r="J126" s="537"/>
      <c r="K126" s="20" t="s">
        <v>93</v>
      </c>
      <c r="L126" s="24">
        <v>3</v>
      </c>
      <c r="M126" s="25">
        <v>4</v>
      </c>
      <c r="N126" s="69">
        <v>4</v>
      </c>
      <c r="P126" s="9"/>
      <c r="Q126" s="50"/>
      <c r="R126" s="50"/>
    </row>
    <row r="127" spans="1:26" ht="13.5" thickBot="1" x14ac:dyDescent="0.25">
      <c r="A127" s="1470"/>
      <c r="B127" s="1536"/>
      <c r="C127" s="1558"/>
      <c r="D127" s="1492"/>
      <c r="E127" s="1525"/>
      <c r="F127" s="1532"/>
      <c r="G127" s="78" t="s">
        <v>6</v>
      </c>
      <c r="H127" s="464">
        <f>H125</f>
        <v>5879</v>
      </c>
      <c r="I127" s="387">
        <f>I125</f>
        <v>6082</v>
      </c>
      <c r="J127" s="398">
        <f t="shared" ref="J127" si="8">J125</f>
        <v>6082</v>
      </c>
      <c r="K127" s="21" t="s">
        <v>137</v>
      </c>
      <c r="L127" s="429">
        <v>230</v>
      </c>
      <c r="M127" s="26">
        <v>240</v>
      </c>
      <c r="N127" s="431">
        <v>240</v>
      </c>
      <c r="P127" s="9"/>
      <c r="Q127" s="50"/>
      <c r="R127" s="50"/>
    </row>
    <row r="128" spans="1:26" ht="13.5" thickBot="1" x14ac:dyDescent="0.25">
      <c r="A128" s="206" t="s">
        <v>5</v>
      </c>
      <c r="B128" s="192" t="s">
        <v>37</v>
      </c>
      <c r="C128" s="1600" t="s">
        <v>8</v>
      </c>
      <c r="D128" s="1508"/>
      <c r="E128" s="1508"/>
      <c r="F128" s="1508"/>
      <c r="G128" s="1509"/>
      <c r="H128" s="506">
        <f>H127+H124</f>
        <v>92765</v>
      </c>
      <c r="I128" s="396">
        <f t="shared" ref="I128:J128" si="9">I127+I124</f>
        <v>92968</v>
      </c>
      <c r="J128" s="399">
        <f t="shared" si="9"/>
        <v>92968</v>
      </c>
      <c r="K128" s="138"/>
      <c r="L128" s="139"/>
      <c r="M128" s="140"/>
      <c r="N128" s="141"/>
    </row>
    <row r="129" spans="1:35" ht="13.5" thickBot="1" x14ac:dyDescent="0.25">
      <c r="A129" s="103" t="s">
        <v>5</v>
      </c>
      <c r="B129" s="7" t="s">
        <v>80</v>
      </c>
      <c r="C129" s="1529" t="s">
        <v>81</v>
      </c>
      <c r="D129" s="1530"/>
      <c r="E129" s="1530"/>
      <c r="F129" s="1530"/>
      <c r="G129" s="1530"/>
      <c r="H129" s="1530"/>
      <c r="I129" s="1530"/>
      <c r="J129" s="1530"/>
      <c r="K129" s="1530"/>
      <c r="L129" s="1530"/>
      <c r="M129" s="1530"/>
      <c r="N129" s="1531"/>
    </row>
    <row r="130" spans="1:35" ht="14.25" customHeight="1" x14ac:dyDescent="0.2">
      <c r="A130" s="212" t="s">
        <v>5</v>
      </c>
      <c r="B130" s="210" t="s">
        <v>38</v>
      </c>
      <c r="C130" s="211" t="s">
        <v>5</v>
      </c>
      <c r="D130" s="570" t="s">
        <v>86</v>
      </c>
      <c r="E130" s="1601"/>
      <c r="F130" s="1603">
        <v>6</v>
      </c>
      <c r="G130" s="86" t="s">
        <v>27</v>
      </c>
      <c r="H130" s="556">
        <f>12076.5/3.4528*1000</f>
        <v>3497596</v>
      </c>
      <c r="I130" s="455">
        <f>12076.5/3.4528*1000</f>
        <v>3497596</v>
      </c>
      <c r="J130" s="454">
        <f t="shared" ref="J130" si="10">12076.5/3.4528*1000</f>
        <v>3497596</v>
      </c>
      <c r="K130" s="209"/>
      <c r="L130" s="24"/>
      <c r="M130" s="24"/>
      <c r="N130" s="69"/>
    </row>
    <row r="131" spans="1:35" ht="12.75" customHeight="1" x14ac:dyDescent="0.2">
      <c r="A131" s="207"/>
      <c r="B131" s="187"/>
      <c r="C131" s="188"/>
      <c r="D131" s="59" t="s">
        <v>88</v>
      </c>
      <c r="E131" s="1601"/>
      <c r="F131" s="1604"/>
      <c r="G131" s="82"/>
      <c r="H131" s="438"/>
      <c r="I131" s="568"/>
      <c r="J131" s="569"/>
      <c r="K131" s="43" t="s">
        <v>224</v>
      </c>
      <c r="L131" s="60">
        <v>7</v>
      </c>
      <c r="M131" s="60">
        <v>7</v>
      </c>
      <c r="N131" s="61">
        <v>7</v>
      </c>
    </row>
    <row r="132" spans="1:35" x14ac:dyDescent="0.2">
      <c r="A132" s="207"/>
      <c r="B132" s="187"/>
      <c r="C132" s="188"/>
      <c r="D132" s="189" t="s">
        <v>89</v>
      </c>
      <c r="E132" s="1601"/>
      <c r="F132" s="1604"/>
      <c r="G132" s="82"/>
      <c r="H132" s="438"/>
      <c r="I132" s="568"/>
      <c r="J132" s="569"/>
      <c r="K132" s="43" t="s">
        <v>225</v>
      </c>
      <c r="L132" s="60">
        <v>6</v>
      </c>
      <c r="M132" s="60">
        <v>6</v>
      </c>
      <c r="N132" s="61">
        <v>6</v>
      </c>
    </row>
    <row r="133" spans="1:35" x14ac:dyDescent="0.2">
      <c r="A133" s="207"/>
      <c r="B133" s="187"/>
      <c r="C133" s="188"/>
      <c r="D133" s="59" t="s">
        <v>90</v>
      </c>
      <c r="E133" s="1601"/>
      <c r="F133" s="1604"/>
      <c r="G133" s="82"/>
      <c r="H133" s="438"/>
      <c r="I133" s="568"/>
      <c r="J133" s="569"/>
      <c r="K133" s="43" t="s">
        <v>225</v>
      </c>
      <c r="L133" s="60">
        <v>8</v>
      </c>
      <c r="M133" s="60">
        <v>8</v>
      </c>
      <c r="N133" s="61">
        <v>8</v>
      </c>
    </row>
    <row r="134" spans="1:35" s="32" customFormat="1" x14ac:dyDescent="0.2">
      <c r="A134" s="205"/>
      <c r="B134" s="191"/>
      <c r="C134" s="46"/>
      <c r="D134" s="59" t="s">
        <v>91</v>
      </c>
      <c r="E134" s="1601"/>
      <c r="F134" s="1604"/>
      <c r="G134" s="82"/>
      <c r="H134" s="438"/>
      <c r="I134" s="568"/>
      <c r="J134" s="569"/>
      <c r="K134" s="43" t="s">
        <v>225</v>
      </c>
      <c r="L134" s="34">
        <v>96</v>
      </c>
      <c r="M134" s="33">
        <v>96</v>
      </c>
      <c r="N134" s="73">
        <v>96</v>
      </c>
    </row>
    <row r="135" spans="1:35" x14ac:dyDescent="0.2">
      <c r="A135" s="1559"/>
      <c r="B135" s="1561"/>
      <c r="C135" s="1557"/>
      <c r="D135" s="1563" t="s">
        <v>87</v>
      </c>
      <c r="E135" s="1601"/>
      <c r="F135" s="1604"/>
      <c r="G135" s="85"/>
      <c r="H135" s="449"/>
      <c r="I135" s="566"/>
      <c r="J135" s="567"/>
      <c r="K135" s="202" t="s">
        <v>225</v>
      </c>
      <c r="L135" s="60">
        <v>1</v>
      </c>
      <c r="M135" s="60">
        <v>1</v>
      </c>
      <c r="N135" s="61">
        <v>1</v>
      </c>
    </row>
    <row r="136" spans="1:35" ht="13.5" thickBot="1" x14ac:dyDescent="0.25">
      <c r="A136" s="1560"/>
      <c r="B136" s="1562"/>
      <c r="C136" s="1558"/>
      <c r="D136" s="1518"/>
      <c r="E136" s="1602"/>
      <c r="F136" s="1605"/>
      <c r="G136" s="78" t="s">
        <v>6</v>
      </c>
      <c r="H136" s="464">
        <f>H130</f>
        <v>3497596</v>
      </c>
      <c r="I136" s="400">
        <f>SUM(I130:I135)</f>
        <v>3497596</v>
      </c>
      <c r="J136" s="401">
        <f>SUM(J130:J135)</f>
        <v>3497596</v>
      </c>
      <c r="K136" s="21"/>
      <c r="L136" s="429"/>
      <c r="M136" s="26"/>
      <c r="N136" s="431"/>
      <c r="O136" s="826"/>
      <c r="P136" s="9"/>
    </row>
    <row r="137" spans="1:35" ht="14.25" customHeight="1" thickBot="1" x14ac:dyDescent="0.25">
      <c r="A137" s="206" t="s">
        <v>5</v>
      </c>
      <c r="B137" s="192" t="s">
        <v>38</v>
      </c>
      <c r="C137" s="1570" t="s">
        <v>8</v>
      </c>
      <c r="D137" s="1535"/>
      <c r="E137" s="1535"/>
      <c r="F137" s="1535"/>
      <c r="G137" s="1509"/>
      <c r="H137" s="396">
        <f>H136</f>
        <v>3497596</v>
      </c>
      <c r="I137" s="396">
        <f>I136</f>
        <v>3497596</v>
      </c>
      <c r="J137" s="396">
        <f>J136</f>
        <v>3497596</v>
      </c>
      <c r="K137" s="1526"/>
      <c r="L137" s="1527"/>
      <c r="M137" s="1527"/>
      <c r="N137" s="1528"/>
      <c r="O137" s="826"/>
    </row>
    <row r="138" spans="1:35" ht="14.25" customHeight="1" thickBot="1" x14ac:dyDescent="0.25">
      <c r="A138" s="104" t="s">
        <v>5</v>
      </c>
      <c r="B138" s="1544" t="s">
        <v>9</v>
      </c>
      <c r="C138" s="1545"/>
      <c r="D138" s="1545"/>
      <c r="E138" s="1545"/>
      <c r="F138" s="1545"/>
      <c r="G138" s="1546"/>
      <c r="H138" s="507">
        <f>H137+H128+H121+H113+H98+1</f>
        <v>11091748</v>
      </c>
      <c r="I138" s="507">
        <f>I137+I128+I121+I113+I98+1</f>
        <v>10292897</v>
      </c>
      <c r="J138" s="507">
        <f>J137+J128+J121+J113+J98</f>
        <v>10053435</v>
      </c>
      <c r="K138" s="1547"/>
      <c r="L138" s="1548"/>
      <c r="M138" s="1548"/>
      <c r="N138" s="1549"/>
    </row>
    <row r="139" spans="1:35" ht="14.25" customHeight="1" thickBot="1" x14ac:dyDescent="0.25">
      <c r="A139" s="55" t="s">
        <v>39</v>
      </c>
      <c r="B139" s="1550" t="s">
        <v>95</v>
      </c>
      <c r="C139" s="1551"/>
      <c r="D139" s="1551"/>
      <c r="E139" s="1551"/>
      <c r="F139" s="1551"/>
      <c r="G139" s="1552"/>
      <c r="H139" s="508">
        <f>H138</f>
        <v>11091748</v>
      </c>
      <c r="I139" s="508">
        <f t="shared" ref="I139:J139" si="11">I138</f>
        <v>10292897</v>
      </c>
      <c r="J139" s="508">
        <f t="shared" si="11"/>
        <v>10053435</v>
      </c>
      <c r="K139" s="1553"/>
      <c r="L139" s="1554"/>
      <c r="M139" s="1554"/>
      <c r="N139" s="1555"/>
    </row>
    <row r="140" spans="1:35" s="17" customFormat="1" ht="14.25" customHeight="1" x14ac:dyDescent="0.2">
      <c r="A140" s="1594"/>
      <c r="B140" s="1594"/>
      <c r="C140" s="1594"/>
      <c r="D140" s="1594"/>
      <c r="E140" s="1594"/>
      <c r="F140" s="1594"/>
      <c r="G140" s="1594"/>
      <c r="H140" s="1594"/>
      <c r="I140" s="1594"/>
      <c r="J140" s="1594"/>
      <c r="K140" s="1594"/>
      <c r="L140" s="1594"/>
      <c r="M140" s="1594"/>
      <c r="N140" s="1594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s="17" customFormat="1" ht="14.25" customHeight="1" x14ac:dyDescent="0.2">
      <c r="A141" s="1595"/>
      <c r="B141" s="1595"/>
      <c r="C141" s="1595"/>
      <c r="D141" s="1595"/>
      <c r="E141" s="1595"/>
      <c r="F141" s="1595"/>
      <c r="G141" s="1595"/>
      <c r="H141" s="1595"/>
      <c r="I141" s="41"/>
      <c r="J141" s="41"/>
      <c r="K141" s="41"/>
      <c r="L141" s="41"/>
      <c r="M141" s="41"/>
      <c r="N141" s="41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35" s="17" customFormat="1" ht="14.25" customHeight="1" thickBot="1" x14ac:dyDescent="0.25">
      <c r="A142" s="1596" t="s">
        <v>13</v>
      </c>
      <c r="B142" s="1596"/>
      <c r="C142" s="1596"/>
      <c r="D142" s="1596"/>
      <c r="E142" s="1596"/>
      <c r="F142" s="1596"/>
      <c r="G142" s="1596"/>
      <c r="H142" s="1596"/>
      <c r="I142" s="2"/>
      <c r="J142" s="3"/>
      <c r="K142" s="4"/>
      <c r="L142" s="4"/>
      <c r="M142" s="4"/>
      <c r="N142" s="4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:35" ht="45" customHeight="1" thickBot="1" x14ac:dyDescent="0.25">
      <c r="A143" s="1597" t="s">
        <v>10</v>
      </c>
      <c r="B143" s="1598"/>
      <c r="C143" s="1598"/>
      <c r="D143" s="1598"/>
      <c r="E143" s="1598"/>
      <c r="F143" s="1598"/>
      <c r="G143" s="1599"/>
      <c r="H143" s="224" t="s">
        <v>138</v>
      </c>
      <c r="I143" s="22" t="s">
        <v>141</v>
      </c>
      <c r="J143" s="22" t="s">
        <v>142</v>
      </c>
    </row>
    <row r="144" spans="1:35" ht="14.25" customHeight="1" x14ac:dyDescent="0.2">
      <c r="A144" s="1588" t="s">
        <v>14</v>
      </c>
      <c r="B144" s="1589"/>
      <c r="C144" s="1589"/>
      <c r="D144" s="1589"/>
      <c r="E144" s="1589"/>
      <c r="F144" s="1589"/>
      <c r="G144" s="1590"/>
      <c r="H144" s="402">
        <f ca="1">H145+H152+H151</f>
        <v>10344082</v>
      </c>
      <c r="I144" s="402">
        <f t="shared" ref="I144:J144" si="12">I145+I152+I151</f>
        <v>10209283</v>
      </c>
      <c r="J144" s="402">
        <f t="shared" si="12"/>
        <v>9985375</v>
      </c>
      <c r="K144" s="35"/>
    </row>
    <row r="145" spans="1:16" ht="14.25" customHeight="1" x14ac:dyDescent="0.2">
      <c r="A145" s="1350" t="s">
        <v>327</v>
      </c>
      <c r="B145" s="1351"/>
      <c r="C145" s="1351"/>
      <c r="D145" s="1351"/>
      <c r="E145" s="1351"/>
      <c r="F145" s="1351"/>
      <c r="G145" s="1352"/>
      <c r="H145" s="889">
        <f ca="1">H146+H147+H148+H149+H150</f>
        <v>10169663</v>
      </c>
      <c r="I145" s="889">
        <f t="shared" ref="I145:J145" si="13">I146+I147+I148+I149+I150</f>
        <v>10209283</v>
      </c>
      <c r="J145" s="889">
        <f t="shared" si="13"/>
        <v>9985375</v>
      </c>
      <c r="K145" s="35"/>
    </row>
    <row r="146" spans="1:16" ht="14.25" customHeight="1" x14ac:dyDescent="0.2">
      <c r="A146" s="1591" t="s">
        <v>19</v>
      </c>
      <c r="B146" s="1592"/>
      <c r="C146" s="1592"/>
      <c r="D146" s="1592"/>
      <c r="E146" s="1592"/>
      <c r="F146" s="1592"/>
      <c r="G146" s="1593"/>
      <c r="H146" s="566">
        <f>SUMIF(G12:G139,"SB",H12:H139)+1</f>
        <v>10067568</v>
      </c>
      <c r="I146" s="403">
        <f>SUMIF(G12:G139,"SB",I12:I139)+1</f>
        <v>10171458</v>
      </c>
      <c r="J146" s="403">
        <f>SUMIF(G12:G139,"SB",J12:J139)</f>
        <v>9946479</v>
      </c>
      <c r="K146" s="49"/>
    </row>
    <row r="147" spans="1:16" ht="25.5" customHeight="1" x14ac:dyDescent="0.2">
      <c r="A147" s="1565" t="s">
        <v>20</v>
      </c>
      <c r="B147" s="1568"/>
      <c r="C147" s="1568"/>
      <c r="D147" s="1568"/>
      <c r="E147" s="1568"/>
      <c r="F147" s="1568"/>
      <c r="G147" s="1569"/>
      <c r="H147" s="566">
        <f>SUMIF(G13:G139,"SB(SP)",H13:H139)</f>
        <v>34523</v>
      </c>
      <c r="I147" s="403">
        <f>SUMIF(G13:G139,"SB(SP)",I13:I139)</f>
        <v>34552</v>
      </c>
      <c r="J147" s="403">
        <f>SUMIF(G13:G139,"SB(SP)",J13:J139)</f>
        <v>34552</v>
      </c>
    </row>
    <row r="148" spans="1:16" x14ac:dyDescent="0.2">
      <c r="A148" s="1565" t="s">
        <v>115</v>
      </c>
      <c r="B148" s="1566"/>
      <c r="C148" s="1566"/>
      <c r="D148" s="1566"/>
      <c r="E148" s="1566"/>
      <c r="F148" s="1566"/>
      <c r="G148" s="1567"/>
      <c r="H148" s="566">
        <f>SUMIF(G9:G135,"SB(VR)",H9:H135)</f>
        <v>59401</v>
      </c>
      <c r="I148" s="403">
        <f>SUMIF(G9:G135,"SB(VR)",I9:I135)</f>
        <v>0</v>
      </c>
      <c r="J148" s="403">
        <f>SUMIF(G9:G135,"SB(VR)",J9:J135)</f>
        <v>0</v>
      </c>
      <c r="K148" s="37"/>
      <c r="L148" s="1"/>
      <c r="M148" s="1"/>
      <c r="N148" s="1"/>
      <c r="O148" s="1"/>
      <c r="P148" s="1"/>
    </row>
    <row r="149" spans="1:16" x14ac:dyDescent="0.2">
      <c r="A149" s="1565" t="s">
        <v>21</v>
      </c>
      <c r="B149" s="1568"/>
      <c r="C149" s="1568"/>
      <c r="D149" s="1568"/>
      <c r="E149" s="1568"/>
      <c r="F149" s="1568"/>
      <c r="G149" s="1569"/>
      <c r="H149" s="566">
        <f>SUMIF(G10:G136,"SB(P)",H9:H136)</f>
        <v>0</v>
      </c>
      <c r="I149" s="403">
        <f>SUMIF(G9:G135,"SB(P)",I9:I135)</f>
        <v>3273</v>
      </c>
      <c r="J149" s="403">
        <f>SUMIF(G9:G135,"SB(P)",J9:J135)</f>
        <v>4344</v>
      </c>
    </row>
    <row r="150" spans="1:16" ht="14.25" customHeight="1" x14ac:dyDescent="0.2">
      <c r="A150" s="1585" t="s">
        <v>328</v>
      </c>
      <c r="B150" s="1586"/>
      <c r="C150" s="1586"/>
      <c r="D150" s="1586"/>
      <c r="E150" s="1586"/>
      <c r="F150" s="1586"/>
      <c r="G150" s="1587"/>
      <c r="H150" s="566">
        <f ca="1">SUMIF(G13:G139,"SB(L)",H13:H138)</f>
        <v>8171</v>
      </c>
      <c r="I150" s="566">
        <f>SUMIF(G12:G139,"SB(L)",I12:I139)</f>
        <v>0</v>
      </c>
      <c r="J150" s="566">
        <f>SUMIF(G12:G139,"SB(L)",J12:J139)</f>
        <v>0</v>
      </c>
      <c r="K150" s="37"/>
      <c r="L150" s="1"/>
      <c r="M150" s="1"/>
      <c r="N150" s="1"/>
      <c r="O150" s="1"/>
      <c r="P150" s="1"/>
    </row>
    <row r="151" spans="1:16" ht="14.25" customHeight="1" x14ac:dyDescent="0.2">
      <c r="A151" s="1346" t="s">
        <v>331</v>
      </c>
      <c r="B151" s="1347"/>
      <c r="C151" s="1347"/>
      <c r="D151" s="1347"/>
      <c r="E151" s="1347"/>
      <c r="F151" s="1347"/>
      <c r="G151" s="1348"/>
      <c r="H151" s="457">
        <f ca="1">SUMIF(G14:G140,"SB(Lap)",H14:H139)</f>
        <v>2164</v>
      </c>
      <c r="I151" s="457"/>
      <c r="J151" s="457"/>
      <c r="K151" s="37"/>
      <c r="L151" s="1"/>
      <c r="M151" s="1"/>
      <c r="N151" s="1"/>
      <c r="O151" s="1"/>
      <c r="P151" s="1"/>
    </row>
    <row r="152" spans="1:16" ht="14.25" customHeight="1" x14ac:dyDescent="0.2">
      <c r="A152" s="1346" t="s">
        <v>282</v>
      </c>
      <c r="B152" s="1353"/>
      <c r="C152" s="1353"/>
      <c r="D152" s="1353"/>
      <c r="E152" s="1353"/>
      <c r="F152" s="1353"/>
      <c r="G152" s="1354"/>
      <c r="H152" s="457">
        <f ca="1">SUMIF(G14:G140,"SB(VRL)",H14:H139)</f>
        <v>172255</v>
      </c>
      <c r="I152" s="457"/>
      <c r="J152" s="457"/>
      <c r="K152" s="37"/>
      <c r="L152" s="1"/>
      <c r="M152" s="1"/>
      <c r="N152" s="1"/>
      <c r="O152" s="1"/>
      <c r="P152" s="1"/>
    </row>
    <row r="153" spans="1:16" x14ac:dyDescent="0.2">
      <c r="A153" s="1582" t="s">
        <v>15</v>
      </c>
      <c r="B153" s="1583"/>
      <c r="C153" s="1583"/>
      <c r="D153" s="1583"/>
      <c r="E153" s="1583"/>
      <c r="F153" s="1583"/>
      <c r="G153" s="1584"/>
      <c r="H153" s="404">
        <f>SUM(H154:H157)</f>
        <v>747666</v>
      </c>
      <c r="I153" s="404">
        <f>SUM(I154:I157)</f>
        <v>83614</v>
      </c>
      <c r="J153" s="404">
        <f>SUM(J154:J157)</f>
        <v>68060</v>
      </c>
    </row>
    <row r="154" spans="1:16" x14ac:dyDescent="0.2">
      <c r="A154" s="1576" t="s">
        <v>22</v>
      </c>
      <c r="B154" s="1577"/>
      <c r="C154" s="1577"/>
      <c r="D154" s="1577"/>
      <c r="E154" s="1577"/>
      <c r="F154" s="1577"/>
      <c r="G154" s="1578"/>
      <c r="H154" s="566">
        <f>SUMIF(G13:G139,"ES",H13:H139)</f>
        <v>131782</v>
      </c>
      <c r="I154" s="403">
        <f>SUMIF(G13:G139,"ES",I13:I139)</f>
        <v>51379</v>
      </c>
      <c r="J154" s="403">
        <f>SUMIF(G13:G139,"ES",J13:J139)</f>
        <v>63716</v>
      </c>
    </row>
    <row r="155" spans="1:16" x14ac:dyDescent="0.2">
      <c r="A155" s="1579" t="s">
        <v>23</v>
      </c>
      <c r="B155" s="1580"/>
      <c r="C155" s="1580"/>
      <c r="D155" s="1580"/>
      <c r="E155" s="1580"/>
      <c r="F155" s="1580"/>
      <c r="G155" s="1581"/>
      <c r="H155" s="566">
        <f>SUMIF(G13:G139,"KPP",H13:H139)</f>
        <v>0</v>
      </c>
      <c r="I155" s="403">
        <f>SUMIF(G13:G139,"KPP",I13:I139)</f>
        <v>0</v>
      </c>
      <c r="J155" s="403">
        <f>SUMIF(G13:G139,"KPP",J13:J139)</f>
        <v>0</v>
      </c>
    </row>
    <row r="156" spans="1:16" x14ac:dyDescent="0.2">
      <c r="A156" s="1565" t="s">
        <v>24</v>
      </c>
      <c r="B156" s="1568"/>
      <c r="C156" s="1568"/>
      <c r="D156" s="1568"/>
      <c r="E156" s="1568"/>
      <c r="F156" s="1568"/>
      <c r="G156" s="1569"/>
      <c r="H156" s="566">
        <f>SUMIF(G13:G139,"LRVB",H13:H139)</f>
        <v>23758</v>
      </c>
      <c r="I156" s="403">
        <f>SUMIF(G13:G139,"LRVB",I13:I139)</f>
        <v>3273</v>
      </c>
      <c r="J156" s="403">
        <f>SUMIF(G13:G139,"LRVB",J13:J139)</f>
        <v>4344</v>
      </c>
    </row>
    <row r="157" spans="1:16" x14ac:dyDescent="0.2">
      <c r="A157" s="1565" t="s">
        <v>25</v>
      </c>
      <c r="B157" s="1568"/>
      <c r="C157" s="1568"/>
      <c r="D157" s="1568"/>
      <c r="E157" s="1568"/>
      <c r="F157" s="1568"/>
      <c r="G157" s="1569"/>
      <c r="H157" s="566">
        <f>SUMIF(G13:G139,"Kt",H13:H139)</f>
        <v>592126</v>
      </c>
      <c r="I157" s="403">
        <f>SUMIF(G13:G139,"Kt",I13:I139)</f>
        <v>28962</v>
      </c>
      <c r="J157" s="403">
        <f>SUMIF(G13:G139,"Kt",J13:J139)</f>
        <v>0</v>
      </c>
      <c r="L157" s="5"/>
      <c r="M157" s="5"/>
      <c r="N157" s="5"/>
    </row>
    <row r="158" spans="1:16" ht="13.5" thickBot="1" x14ac:dyDescent="0.25">
      <c r="A158" s="1573" t="s">
        <v>16</v>
      </c>
      <c r="B158" s="1574"/>
      <c r="C158" s="1574"/>
      <c r="D158" s="1574"/>
      <c r="E158" s="1574"/>
      <c r="F158" s="1574"/>
      <c r="G158" s="1575"/>
      <c r="H158" s="405">
        <f ca="1">SUM(H144,H153)</f>
        <v>11091748</v>
      </c>
      <c r="I158" s="405">
        <f>SUM(I144,I153)</f>
        <v>10292897</v>
      </c>
      <c r="J158" s="405">
        <f>SUM(J144,J153)</f>
        <v>10053435</v>
      </c>
      <c r="L158" s="5"/>
      <c r="M158" s="5"/>
      <c r="N158" s="5"/>
    </row>
    <row r="159" spans="1:16" x14ac:dyDescent="0.2">
      <c r="I159" s="49"/>
      <c r="K159" s="36"/>
      <c r="L159" s="5"/>
      <c r="M159" s="5"/>
      <c r="N159" s="5"/>
    </row>
    <row r="160" spans="1:16" x14ac:dyDescent="0.2">
      <c r="H160" s="223"/>
      <c r="I160" s="79"/>
      <c r="J160" s="79"/>
      <c r="K160" s="49"/>
      <c r="L160" s="5"/>
      <c r="M160" s="5"/>
      <c r="N160" s="5"/>
    </row>
    <row r="161" spans="8:14" x14ac:dyDescent="0.2">
      <c r="H161" s="515"/>
      <c r="L161" s="5"/>
      <c r="M161" s="5"/>
      <c r="N161" s="5"/>
    </row>
    <row r="162" spans="8:14" x14ac:dyDescent="0.2">
      <c r="L162" s="5"/>
      <c r="M162" s="5"/>
      <c r="N162" s="5"/>
    </row>
  </sheetData>
  <mergeCells count="194">
    <mergeCell ref="A148:G148"/>
    <mergeCell ref="A149:G149"/>
    <mergeCell ref="A147:G147"/>
    <mergeCell ref="C137:G137"/>
    <mergeCell ref="D111:D112"/>
    <mergeCell ref="A158:G158"/>
    <mergeCell ref="A156:G156"/>
    <mergeCell ref="A157:G157"/>
    <mergeCell ref="A154:G154"/>
    <mergeCell ref="A155:G155"/>
    <mergeCell ref="A153:G153"/>
    <mergeCell ref="A150:G150"/>
    <mergeCell ref="A144:G144"/>
    <mergeCell ref="A146:G146"/>
    <mergeCell ref="A140:N140"/>
    <mergeCell ref="A141:H141"/>
    <mergeCell ref="A142:H142"/>
    <mergeCell ref="A143:G143"/>
    <mergeCell ref="F125:F127"/>
    <mergeCell ref="C128:G128"/>
    <mergeCell ref="C129:N129"/>
    <mergeCell ref="E130:E136"/>
    <mergeCell ref="F130:F136"/>
    <mergeCell ref="K137:N137"/>
    <mergeCell ref="B138:G138"/>
    <mergeCell ref="K138:N138"/>
    <mergeCell ref="B139:G139"/>
    <mergeCell ref="K139:N139"/>
    <mergeCell ref="K123:K124"/>
    <mergeCell ref="C125:C127"/>
    <mergeCell ref="D125:D127"/>
    <mergeCell ref="E125:E127"/>
    <mergeCell ref="A135:A136"/>
    <mergeCell ref="B135:B136"/>
    <mergeCell ref="C135:C136"/>
    <mergeCell ref="D135:D136"/>
    <mergeCell ref="A125:A127"/>
    <mergeCell ref="B125:B127"/>
    <mergeCell ref="D123:D124"/>
    <mergeCell ref="C121:G121"/>
    <mergeCell ref="K121:N121"/>
    <mergeCell ref="C122:N122"/>
    <mergeCell ref="F115:F117"/>
    <mergeCell ref="K115:K117"/>
    <mergeCell ref="C113:G113"/>
    <mergeCell ref="K113:N113"/>
    <mergeCell ref="C114:N114"/>
    <mergeCell ref="A115:A117"/>
    <mergeCell ref="B115:B117"/>
    <mergeCell ref="C115:C117"/>
    <mergeCell ref="D115:D117"/>
    <mergeCell ref="E115:E117"/>
    <mergeCell ref="A118:A120"/>
    <mergeCell ref="B118:B120"/>
    <mergeCell ref="C118:C120"/>
    <mergeCell ref="D118:D120"/>
    <mergeCell ref="E118:E120"/>
    <mergeCell ref="F118:F120"/>
    <mergeCell ref="K118:K120"/>
    <mergeCell ref="F92:F93"/>
    <mergeCell ref="D107:D108"/>
    <mergeCell ref="C98:G98"/>
    <mergeCell ref="C99:N99"/>
    <mergeCell ref="D100:D101"/>
    <mergeCell ref="D102:D104"/>
    <mergeCell ref="D105:D106"/>
    <mergeCell ref="A96:A97"/>
    <mergeCell ref="B96:B97"/>
    <mergeCell ref="C96:C97"/>
    <mergeCell ref="D96:D97"/>
    <mergeCell ref="E96:E97"/>
    <mergeCell ref="C94:C95"/>
    <mergeCell ref="D94:D95"/>
    <mergeCell ref="A86:A93"/>
    <mergeCell ref="B86:B93"/>
    <mergeCell ref="C86:C93"/>
    <mergeCell ref="D92:D93"/>
    <mergeCell ref="E92:E93"/>
    <mergeCell ref="E70:E71"/>
    <mergeCell ref="D80:D81"/>
    <mergeCell ref="D77:D78"/>
    <mergeCell ref="K82:K83"/>
    <mergeCell ref="D86:D87"/>
    <mergeCell ref="K86:K87"/>
    <mergeCell ref="A82:A85"/>
    <mergeCell ref="B82:B85"/>
    <mergeCell ref="C82:C85"/>
    <mergeCell ref="D82:D85"/>
    <mergeCell ref="E82:E85"/>
    <mergeCell ref="F82:F85"/>
    <mergeCell ref="D70:D71"/>
    <mergeCell ref="C70:C71"/>
    <mergeCell ref="B70:B71"/>
    <mergeCell ref="L68:L69"/>
    <mergeCell ref="M68:M69"/>
    <mergeCell ref="N68:N69"/>
    <mergeCell ref="A68:A69"/>
    <mergeCell ref="B68:B69"/>
    <mergeCell ref="C68:C69"/>
    <mergeCell ref="D68:D69"/>
    <mergeCell ref="E68:E69"/>
    <mergeCell ref="A79:A81"/>
    <mergeCell ref="B79:B81"/>
    <mergeCell ref="C79:C81"/>
    <mergeCell ref="E79:E81"/>
    <mergeCell ref="F79:F81"/>
    <mergeCell ref="N70:N71"/>
    <mergeCell ref="A72:A73"/>
    <mergeCell ref="B72:B73"/>
    <mergeCell ref="C72:C73"/>
    <mergeCell ref="D72:D73"/>
    <mergeCell ref="E72:E73"/>
    <mergeCell ref="F72:F73"/>
    <mergeCell ref="F70:F71"/>
    <mergeCell ref="K70:K71"/>
    <mergeCell ref="L70:L71"/>
    <mergeCell ref="M70:M71"/>
    <mergeCell ref="E31:E32"/>
    <mergeCell ref="E33:E34"/>
    <mergeCell ref="D35:D37"/>
    <mergeCell ref="E35:E37"/>
    <mergeCell ref="F35:F37"/>
    <mergeCell ref="F31:F32"/>
    <mergeCell ref="F33:F34"/>
    <mergeCell ref="D59:D60"/>
    <mergeCell ref="F42:F44"/>
    <mergeCell ref="D42:D44"/>
    <mergeCell ref="E42:E44"/>
    <mergeCell ref="D47:D50"/>
    <mergeCell ref="D45:D46"/>
    <mergeCell ref="F51:F52"/>
    <mergeCell ref="D56:D57"/>
    <mergeCell ref="D51:D53"/>
    <mergeCell ref="E51:E53"/>
    <mergeCell ref="E28:E30"/>
    <mergeCell ref="E14:E16"/>
    <mergeCell ref="F14:F15"/>
    <mergeCell ref="A17:A24"/>
    <mergeCell ref="B17:B24"/>
    <mergeCell ref="C17:C24"/>
    <mergeCell ref="D17:D24"/>
    <mergeCell ref="E17:E24"/>
    <mergeCell ref="B14:B15"/>
    <mergeCell ref="C14:C15"/>
    <mergeCell ref="D14:D15"/>
    <mergeCell ref="A14:A15"/>
    <mergeCell ref="F17:F24"/>
    <mergeCell ref="D25:D30"/>
    <mergeCell ref="E25:E27"/>
    <mergeCell ref="C11:N11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  <mergeCell ref="A8:N8"/>
    <mergeCell ref="I5:I7"/>
    <mergeCell ref="J5:J7"/>
    <mergeCell ref="K5:N5"/>
    <mergeCell ref="F5:F7"/>
    <mergeCell ref="H5:H7"/>
    <mergeCell ref="G5:G7"/>
    <mergeCell ref="A9:N9"/>
    <mergeCell ref="B10:N10"/>
    <mergeCell ref="A151:G151"/>
    <mergeCell ref="K17:K18"/>
    <mergeCell ref="A145:G145"/>
    <mergeCell ref="A152:G152"/>
    <mergeCell ref="K35:K36"/>
    <mergeCell ref="D62:D63"/>
    <mergeCell ref="A39:A40"/>
    <mergeCell ref="B39:B40"/>
    <mergeCell ref="C39:C40"/>
    <mergeCell ref="E39:E40"/>
    <mergeCell ref="F39:F40"/>
    <mergeCell ref="D39:D41"/>
    <mergeCell ref="A45:A46"/>
    <mergeCell ref="B45:B46"/>
    <mergeCell ref="C45:C46"/>
    <mergeCell ref="A42:A44"/>
    <mergeCell ref="B42:B44"/>
    <mergeCell ref="C42:C44"/>
    <mergeCell ref="A51:A52"/>
    <mergeCell ref="B51:B52"/>
    <mergeCell ref="C51:C52"/>
    <mergeCell ref="F68:F69"/>
    <mergeCell ref="K68:K69"/>
    <mergeCell ref="A70:A71"/>
  </mergeCells>
  <pageMargins left="0.78740157480314965" right="0" top="0.19685039370078741" bottom="0.19685039370078741" header="0" footer="0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67"/>
  <sheetViews>
    <sheetView tabSelected="1" zoomScaleNormal="100" zoomScaleSheetLayoutView="100" workbookViewId="0">
      <selection activeCell="K3" sqref="K3:L3"/>
    </sheetView>
  </sheetViews>
  <sheetFormatPr defaultRowHeight="12.75" x14ac:dyDescent="0.2"/>
  <cols>
    <col min="1" max="4" width="2.7109375" style="6" customWidth="1"/>
    <col min="5" max="5" width="29.28515625" style="6" customWidth="1"/>
    <col min="6" max="6" width="2.7109375" style="31" customWidth="1"/>
    <col min="7" max="7" width="4.140625" style="6" customWidth="1"/>
    <col min="8" max="8" width="2.7109375" style="42" customWidth="1"/>
    <col min="9" max="9" width="12" style="42" customWidth="1"/>
    <col min="10" max="10" width="7.42578125" style="51" customWidth="1"/>
    <col min="11" max="11" width="10.28515625" style="6" customWidth="1"/>
    <col min="12" max="12" width="34.5703125" style="6" customWidth="1"/>
    <col min="13" max="13" width="6.7109375" style="6" customWidth="1"/>
    <col min="14" max="16384" width="9.140625" style="5"/>
  </cols>
  <sheetData>
    <row r="1" spans="1:16" ht="18.75" customHeight="1" x14ac:dyDescent="0.2">
      <c r="F1" s="6"/>
      <c r="H1" s="686"/>
      <c r="I1" s="686"/>
      <c r="J1" s="687"/>
      <c r="K1" s="1606" t="s">
        <v>346</v>
      </c>
      <c r="L1" s="1607"/>
      <c r="M1" s="1046"/>
    </row>
    <row r="2" spans="1:16" ht="22.5" customHeight="1" x14ac:dyDescent="0.2">
      <c r="F2" s="6"/>
      <c r="H2" s="686"/>
      <c r="I2" s="686"/>
      <c r="J2" s="687"/>
      <c r="K2" s="1607"/>
      <c r="L2" s="1607"/>
      <c r="M2" s="1046"/>
    </row>
    <row r="3" spans="1:16" ht="39.75" customHeight="1" x14ac:dyDescent="0.2">
      <c r="F3" s="6"/>
      <c r="H3" s="686"/>
      <c r="I3" s="686"/>
      <c r="J3" s="687"/>
      <c r="K3" s="1606" t="s">
        <v>358</v>
      </c>
      <c r="L3" s="1607"/>
      <c r="M3" s="1046"/>
      <c r="N3" s="1026"/>
    </row>
    <row r="4" spans="1:16" ht="13.5" customHeight="1" x14ac:dyDescent="0.2">
      <c r="F4" s="6"/>
      <c r="H4" s="686"/>
      <c r="I4" s="686"/>
      <c r="J4" s="687"/>
      <c r="K4" s="51"/>
      <c r="L4" s="946"/>
      <c r="M4" s="946"/>
    </row>
    <row r="5" spans="1:16" ht="13.5" customHeight="1" x14ac:dyDescent="0.2">
      <c r="F5" s="6"/>
      <c r="H5" s="686"/>
      <c r="I5" s="686"/>
      <c r="J5" s="687"/>
      <c r="K5" s="51"/>
      <c r="L5" s="946"/>
      <c r="M5" s="946"/>
    </row>
    <row r="6" spans="1:16" ht="15.75" x14ac:dyDescent="0.2">
      <c r="A6" s="1379" t="s">
        <v>268</v>
      </c>
      <c r="B6" s="1379"/>
      <c r="C6" s="1379"/>
      <c r="D6" s="1379"/>
      <c r="E6" s="1379"/>
      <c r="F6" s="1379"/>
      <c r="G6" s="1379"/>
      <c r="H6" s="1379"/>
      <c r="I6" s="1379"/>
      <c r="J6" s="1379"/>
      <c r="K6" s="1379"/>
      <c r="L6" s="1379"/>
      <c r="M6" s="1379"/>
    </row>
    <row r="7" spans="1:16" ht="15.75" x14ac:dyDescent="0.2">
      <c r="A7" s="1380" t="s">
        <v>28</v>
      </c>
      <c r="B7" s="1380"/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</row>
    <row r="8" spans="1:16" ht="15.75" x14ac:dyDescent="0.2">
      <c r="A8" s="1381" t="s">
        <v>17</v>
      </c>
      <c r="B8" s="1381"/>
      <c r="C8" s="1381"/>
      <c r="D8" s="1381"/>
      <c r="E8" s="1381"/>
      <c r="F8" s="1381"/>
      <c r="G8" s="1381"/>
      <c r="H8" s="1381"/>
      <c r="I8" s="1381"/>
      <c r="J8" s="1381"/>
      <c r="K8" s="1381"/>
      <c r="L8" s="1381"/>
      <c r="M8" s="1381"/>
      <c r="N8" s="1"/>
      <c r="O8" s="1"/>
      <c r="P8" s="1"/>
    </row>
    <row r="9" spans="1:16" ht="13.5" thickBot="1" x14ac:dyDescent="0.25">
      <c r="M9" s="633" t="s">
        <v>217</v>
      </c>
    </row>
    <row r="10" spans="1:16" ht="29.25" customHeight="1" x14ac:dyDescent="0.2">
      <c r="A10" s="1383" t="s">
        <v>18</v>
      </c>
      <c r="B10" s="1386" t="s">
        <v>0</v>
      </c>
      <c r="C10" s="1386" t="s">
        <v>1</v>
      </c>
      <c r="D10" s="1386" t="s">
        <v>126</v>
      </c>
      <c r="E10" s="1389" t="s">
        <v>12</v>
      </c>
      <c r="F10" s="1392" t="s">
        <v>2</v>
      </c>
      <c r="G10" s="1386" t="s">
        <v>267</v>
      </c>
      <c r="H10" s="1754" t="s">
        <v>3</v>
      </c>
      <c r="I10" s="1757" t="s">
        <v>127</v>
      </c>
      <c r="J10" s="1415" t="s">
        <v>4</v>
      </c>
      <c r="K10" s="1747" t="s">
        <v>271</v>
      </c>
      <c r="L10" s="1750" t="s">
        <v>272</v>
      </c>
      <c r="M10" s="1751"/>
    </row>
    <row r="11" spans="1:16" ht="18" customHeight="1" x14ac:dyDescent="0.2">
      <c r="A11" s="1384"/>
      <c r="B11" s="1387"/>
      <c r="C11" s="1387"/>
      <c r="D11" s="1387"/>
      <c r="E11" s="1390"/>
      <c r="F11" s="1393"/>
      <c r="G11" s="1752"/>
      <c r="H11" s="1755"/>
      <c r="I11" s="1758"/>
      <c r="J11" s="1416"/>
      <c r="K11" s="1748"/>
      <c r="L11" s="1395" t="s">
        <v>12</v>
      </c>
      <c r="M11" s="672" t="s">
        <v>218</v>
      </c>
    </row>
    <row r="12" spans="1:16" ht="66" customHeight="1" thickBot="1" x14ac:dyDescent="0.25">
      <c r="A12" s="1385"/>
      <c r="B12" s="1388"/>
      <c r="C12" s="1388"/>
      <c r="D12" s="1388"/>
      <c r="E12" s="1391"/>
      <c r="F12" s="1394"/>
      <c r="G12" s="1753"/>
      <c r="H12" s="1756"/>
      <c r="I12" s="1759"/>
      <c r="J12" s="1417"/>
      <c r="K12" s="1749"/>
      <c r="L12" s="1396"/>
      <c r="M12" s="716" t="s">
        <v>26</v>
      </c>
    </row>
    <row r="13" spans="1:16" s="23" customFormat="1" ht="13.5" customHeight="1" x14ac:dyDescent="0.2">
      <c r="A13" s="1400" t="s">
        <v>99</v>
      </c>
      <c r="B13" s="1401"/>
      <c r="C13" s="1401"/>
      <c r="D13" s="1401"/>
      <c r="E13" s="1401"/>
      <c r="F13" s="1401"/>
      <c r="G13" s="1401"/>
      <c r="H13" s="1401"/>
      <c r="I13" s="1401"/>
      <c r="J13" s="1401"/>
      <c r="K13" s="1401"/>
      <c r="L13" s="1401"/>
      <c r="M13" s="1402"/>
    </row>
    <row r="14" spans="1:16" s="23" customFormat="1" ht="15" customHeight="1" x14ac:dyDescent="0.2">
      <c r="A14" s="1418" t="s">
        <v>64</v>
      </c>
      <c r="B14" s="1419"/>
      <c r="C14" s="1419"/>
      <c r="D14" s="1419"/>
      <c r="E14" s="1419"/>
      <c r="F14" s="1419"/>
      <c r="G14" s="1419"/>
      <c r="H14" s="1419"/>
      <c r="I14" s="1419"/>
      <c r="J14" s="1419"/>
      <c r="K14" s="1419"/>
      <c r="L14" s="1419"/>
      <c r="M14" s="1420"/>
    </row>
    <row r="15" spans="1:16" ht="14.25" customHeight="1" x14ac:dyDescent="0.2">
      <c r="A15" s="100" t="s">
        <v>5</v>
      </c>
      <c r="B15" s="1421" t="s">
        <v>100</v>
      </c>
      <c r="C15" s="1422"/>
      <c r="D15" s="1422"/>
      <c r="E15" s="1422"/>
      <c r="F15" s="1422"/>
      <c r="G15" s="1422"/>
      <c r="H15" s="1422"/>
      <c r="I15" s="1422"/>
      <c r="J15" s="1422"/>
      <c r="K15" s="1422"/>
      <c r="L15" s="1422"/>
      <c r="M15" s="1423"/>
    </row>
    <row r="16" spans="1:16" ht="17.25" customHeight="1" x14ac:dyDescent="0.2">
      <c r="A16" s="636" t="s">
        <v>5</v>
      </c>
      <c r="B16" s="602" t="s">
        <v>5</v>
      </c>
      <c r="C16" s="1376" t="s">
        <v>51</v>
      </c>
      <c r="D16" s="1377"/>
      <c r="E16" s="1377"/>
      <c r="F16" s="1377"/>
      <c r="G16" s="1377"/>
      <c r="H16" s="1377"/>
      <c r="I16" s="1377"/>
      <c r="J16" s="1377"/>
      <c r="K16" s="1377"/>
      <c r="L16" s="1377"/>
      <c r="M16" s="1378"/>
    </row>
    <row r="17" spans="1:14" ht="38.25" customHeight="1" x14ac:dyDescent="0.2">
      <c r="A17" s="671" t="s">
        <v>5</v>
      </c>
      <c r="B17" s="662" t="s">
        <v>5</v>
      </c>
      <c r="C17" s="647" t="s">
        <v>5</v>
      </c>
      <c r="D17" s="651"/>
      <c r="E17" s="663" t="s">
        <v>82</v>
      </c>
      <c r="F17" s="640" t="s">
        <v>204</v>
      </c>
      <c r="G17" s="768"/>
      <c r="H17" s="612"/>
      <c r="I17" s="690"/>
      <c r="J17" s="290"/>
      <c r="K17" s="1269"/>
      <c r="L17" s="1198"/>
      <c r="M17" s="533"/>
    </row>
    <row r="18" spans="1:14" ht="43.5" x14ac:dyDescent="0.2">
      <c r="A18" s="636"/>
      <c r="B18" s="602"/>
      <c r="C18" s="647"/>
      <c r="D18" s="660" t="s">
        <v>5</v>
      </c>
      <c r="E18" s="289" t="s">
        <v>33</v>
      </c>
      <c r="F18" s="634"/>
      <c r="G18" s="768" t="s">
        <v>286</v>
      </c>
      <c r="H18" s="612" t="s">
        <v>30</v>
      </c>
      <c r="I18" s="280" t="s">
        <v>146</v>
      </c>
      <c r="J18" s="279" t="s">
        <v>27</v>
      </c>
      <c r="K18" s="1270">
        <f>260/3.4528*1000</f>
        <v>75301</v>
      </c>
      <c r="L18" s="688" t="s">
        <v>72</v>
      </c>
      <c r="M18" s="577">
        <v>3.38</v>
      </c>
    </row>
    <row r="19" spans="1:14" ht="14.25" customHeight="1" x14ac:dyDescent="0.2">
      <c r="A19" s="1360"/>
      <c r="B19" s="1362"/>
      <c r="C19" s="1649"/>
      <c r="D19" s="1691" t="s">
        <v>7</v>
      </c>
      <c r="E19" s="1563" t="s">
        <v>34</v>
      </c>
      <c r="F19" s="1732" t="s">
        <v>165</v>
      </c>
      <c r="G19" s="1737" t="s">
        <v>285</v>
      </c>
      <c r="H19" s="1450" t="s">
        <v>30</v>
      </c>
      <c r="I19" s="1734" t="s">
        <v>128</v>
      </c>
      <c r="J19" s="82" t="s">
        <v>27</v>
      </c>
      <c r="K19" s="1271">
        <f>57.6/3.4528*1000</f>
        <v>16682</v>
      </c>
      <c r="L19" s="1161" t="s">
        <v>36</v>
      </c>
      <c r="M19" s="173">
        <v>2</v>
      </c>
    </row>
    <row r="20" spans="1:14" ht="22.5" customHeight="1" x14ac:dyDescent="0.2">
      <c r="A20" s="1360"/>
      <c r="B20" s="1362"/>
      <c r="C20" s="1649"/>
      <c r="D20" s="1538"/>
      <c r="E20" s="1430"/>
      <c r="F20" s="1732"/>
      <c r="G20" s="1689"/>
      <c r="H20" s="1368"/>
      <c r="I20" s="1735"/>
      <c r="J20" s="82"/>
      <c r="K20" s="1272"/>
      <c r="L20" s="116" t="s">
        <v>248</v>
      </c>
      <c r="M20" s="118">
        <v>3</v>
      </c>
    </row>
    <row r="21" spans="1:14" ht="25.5" x14ac:dyDescent="0.2">
      <c r="A21" s="636"/>
      <c r="B21" s="602"/>
      <c r="C21" s="647"/>
      <c r="D21" s="1692"/>
      <c r="E21" s="1431"/>
      <c r="F21" s="1733"/>
      <c r="G21" s="1741"/>
      <c r="H21" s="612"/>
      <c r="I21" s="1736"/>
      <c r="J21" s="12"/>
      <c r="K21" s="1273"/>
      <c r="L21" s="1159" t="s">
        <v>249</v>
      </c>
      <c r="M21" s="1160">
        <v>1</v>
      </c>
    </row>
    <row r="22" spans="1:14" ht="14.25" customHeight="1" x14ac:dyDescent="0.2">
      <c r="A22" s="1360"/>
      <c r="B22" s="1362"/>
      <c r="C22" s="1649"/>
      <c r="D22" s="1742" t="s">
        <v>29</v>
      </c>
      <c r="E22" s="1577" t="s">
        <v>35</v>
      </c>
      <c r="F22" s="1743"/>
      <c r="G22" s="1737" t="s">
        <v>284</v>
      </c>
      <c r="H22" s="1434" t="s">
        <v>30</v>
      </c>
      <c r="I22" s="1727" t="s">
        <v>128</v>
      </c>
      <c r="J22" s="8" t="s">
        <v>27</v>
      </c>
      <c r="K22" s="1274">
        <f>91086+38379</f>
        <v>129465</v>
      </c>
      <c r="L22" s="1161" t="s">
        <v>353</v>
      </c>
      <c r="M22" s="173">
        <v>9</v>
      </c>
    </row>
    <row r="23" spans="1:14" ht="15" customHeight="1" x14ac:dyDescent="0.2">
      <c r="A23" s="1360"/>
      <c r="B23" s="1362"/>
      <c r="C23" s="1649"/>
      <c r="D23" s="1742"/>
      <c r="E23" s="1577"/>
      <c r="F23" s="1743"/>
      <c r="G23" s="1689"/>
      <c r="H23" s="1434"/>
      <c r="I23" s="1728"/>
      <c r="J23" s="12"/>
      <c r="K23" s="1275"/>
      <c r="L23" s="1159" t="s">
        <v>351</v>
      </c>
      <c r="M23" s="1160">
        <v>1</v>
      </c>
    </row>
    <row r="24" spans="1:14" ht="27" customHeight="1" x14ac:dyDescent="0.2">
      <c r="A24" s="1360"/>
      <c r="B24" s="1362"/>
      <c r="C24" s="1649"/>
      <c r="D24" s="1742"/>
      <c r="E24" s="1580"/>
      <c r="F24" s="1743"/>
      <c r="G24" s="1689"/>
      <c r="H24" s="1739"/>
      <c r="I24" s="1729"/>
      <c r="J24" s="82"/>
      <c r="K24" s="1275"/>
      <c r="L24" s="1159" t="s">
        <v>352</v>
      </c>
      <c r="M24" s="1160">
        <v>1</v>
      </c>
      <c r="N24" s="826"/>
    </row>
    <row r="25" spans="1:14" ht="30" customHeight="1" x14ac:dyDescent="0.2">
      <c r="A25" s="1360"/>
      <c r="B25" s="1362"/>
      <c r="C25" s="1649"/>
      <c r="D25" s="1742"/>
      <c r="E25" s="1580"/>
      <c r="F25" s="1743"/>
      <c r="G25" s="1689"/>
      <c r="H25" s="1739"/>
      <c r="I25" s="1729"/>
      <c r="J25" s="82"/>
      <c r="K25" s="1275"/>
      <c r="L25" s="1159" t="s">
        <v>250</v>
      </c>
      <c r="M25" s="1160">
        <v>111</v>
      </c>
    </row>
    <row r="26" spans="1:14" ht="27" customHeight="1" x14ac:dyDescent="0.2">
      <c r="A26" s="1360"/>
      <c r="B26" s="1362"/>
      <c r="C26" s="1649"/>
      <c r="D26" s="1742"/>
      <c r="E26" s="1580"/>
      <c r="F26" s="1743"/>
      <c r="G26" s="1689"/>
      <c r="H26" s="1739"/>
      <c r="I26" s="717"/>
      <c r="J26" s="82"/>
      <c r="K26" s="1275"/>
      <c r="L26" s="13" t="s">
        <v>335</v>
      </c>
      <c r="M26" s="1160">
        <v>1</v>
      </c>
    </row>
    <row r="27" spans="1:14" ht="16.5" customHeight="1" x14ac:dyDescent="0.2">
      <c r="A27" s="1360"/>
      <c r="B27" s="1362"/>
      <c r="C27" s="1649"/>
      <c r="D27" s="1742"/>
      <c r="E27" s="1580"/>
      <c r="F27" s="1743"/>
      <c r="G27" s="1689"/>
      <c r="H27" s="1739"/>
      <c r="I27" s="717"/>
      <c r="J27" s="82"/>
      <c r="K27" s="1275"/>
      <c r="L27" s="13" t="s">
        <v>177</v>
      </c>
      <c r="M27" s="1197" t="s">
        <v>178</v>
      </c>
    </row>
    <row r="28" spans="1:14" ht="16.5" customHeight="1" x14ac:dyDescent="0.2">
      <c r="A28" s="1360"/>
      <c r="B28" s="1362"/>
      <c r="C28" s="1649"/>
      <c r="D28" s="1742"/>
      <c r="E28" s="1580"/>
      <c r="F28" s="1743"/>
      <c r="G28" s="1689"/>
      <c r="H28" s="1739"/>
      <c r="I28" s="717"/>
      <c r="J28" s="82"/>
      <c r="K28" s="1275"/>
      <c r="L28" s="13" t="s">
        <v>173</v>
      </c>
      <c r="M28" s="1197" t="s">
        <v>169</v>
      </c>
    </row>
    <row r="29" spans="1:14" ht="14.25" customHeight="1" x14ac:dyDescent="0.2">
      <c r="A29" s="1360"/>
      <c r="B29" s="1362"/>
      <c r="C29" s="1649"/>
      <c r="D29" s="1742"/>
      <c r="E29" s="1580"/>
      <c r="F29" s="1743"/>
      <c r="G29" s="1689"/>
      <c r="H29" s="1739"/>
      <c r="I29" s="717"/>
      <c r="J29" s="82"/>
      <c r="K29" s="1275"/>
      <c r="L29" s="13" t="s">
        <v>172</v>
      </c>
      <c r="M29" s="1197" t="s">
        <v>171</v>
      </c>
    </row>
    <row r="30" spans="1:14" x14ac:dyDescent="0.2">
      <c r="A30" s="1360"/>
      <c r="B30" s="1362"/>
      <c r="C30" s="1649"/>
      <c r="D30" s="1691"/>
      <c r="E30" s="1580"/>
      <c r="F30" s="1743"/>
      <c r="G30" s="1738"/>
      <c r="H30" s="1450"/>
      <c r="I30" s="659"/>
      <c r="J30" s="12"/>
      <c r="K30" s="1276"/>
      <c r="L30" s="689" t="s">
        <v>251</v>
      </c>
      <c r="M30" s="482">
        <v>100</v>
      </c>
    </row>
    <row r="31" spans="1:14" ht="16.5" customHeight="1" x14ac:dyDescent="0.2">
      <c r="A31" s="636"/>
      <c r="B31" s="602"/>
      <c r="C31" s="155"/>
      <c r="D31" s="650" t="s">
        <v>37</v>
      </c>
      <c r="E31" s="1586" t="s">
        <v>143</v>
      </c>
      <c r="F31" s="1725" t="s">
        <v>67</v>
      </c>
      <c r="G31" s="1737" t="s">
        <v>283</v>
      </c>
      <c r="H31" s="630" t="s">
        <v>30</v>
      </c>
      <c r="I31" s="1727" t="s">
        <v>128</v>
      </c>
      <c r="J31" s="221" t="s">
        <v>27</v>
      </c>
      <c r="K31" s="1277">
        <f>936.2/3.4528*1000</f>
        <v>271142</v>
      </c>
      <c r="L31" s="183"/>
      <c r="M31" s="484"/>
    </row>
    <row r="32" spans="1:14" ht="12.75" customHeight="1" x14ac:dyDescent="0.2">
      <c r="A32" s="636"/>
      <c r="B32" s="602"/>
      <c r="C32" s="155"/>
      <c r="D32" s="610"/>
      <c r="E32" s="1586"/>
      <c r="F32" s="1725"/>
      <c r="G32" s="1740"/>
      <c r="H32" s="718"/>
      <c r="I32" s="1728"/>
      <c r="J32" s="84"/>
      <c r="K32" s="1272"/>
      <c r="L32" s="181" t="s">
        <v>145</v>
      </c>
      <c r="M32" s="673">
        <v>100</v>
      </c>
    </row>
    <row r="33" spans="1:16" ht="27.75" customHeight="1" x14ac:dyDescent="0.2">
      <c r="A33" s="636"/>
      <c r="B33" s="602"/>
      <c r="C33" s="155"/>
      <c r="D33" s="610"/>
      <c r="E33" s="1586"/>
      <c r="F33" s="1726"/>
      <c r="G33" s="1740"/>
      <c r="H33" s="718"/>
      <c r="I33" s="1729"/>
      <c r="J33" s="84"/>
      <c r="K33" s="1272"/>
      <c r="L33" s="144" t="s">
        <v>252</v>
      </c>
      <c r="M33" s="674">
        <v>100</v>
      </c>
    </row>
    <row r="34" spans="1:16" ht="30" customHeight="1" x14ac:dyDescent="0.2">
      <c r="A34" s="636"/>
      <c r="B34" s="602"/>
      <c r="C34" s="155"/>
      <c r="D34" s="610"/>
      <c r="E34" s="1586"/>
      <c r="F34" s="1730" t="s">
        <v>166</v>
      </c>
      <c r="G34" s="1740"/>
      <c r="H34" s="718"/>
      <c r="I34" s="1729"/>
      <c r="J34" s="84"/>
      <c r="K34" s="1272"/>
      <c r="L34" s="146" t="s">
        <v>253</v>
      </c>
      <c r="M34" s="675">
        <v>100</v>
      </c>
    </row>
    <row r="35" spans="1:16" ht="41.25" customHeight="1" x14ac:dyDescent="0.2">
      <c r="A35" s="636"/>
      <c r="B35" s="602"/>
      <c r="C35" s="155"/>
      <c r="D35" s="610"/>
      <c r="E35" s="1586"/>
      <c r="F35" s="1730"/>
      <c r="G35" s="1740"/>
      <c r="H35" s="718"/>
      <c r="I35" s="720"/>
      <c r="J35" s="264"/>
      <c r="K35" s="1278"/>
      <c r="L35" s="121" t="s">
        <v>254</v>
      </c>
      <c r="M35" s="676"/>
    </row>
    <row r="36" spans="1:16" ht="28.5" customHeight="1" x14ac:dyDescent="0.2">
      <c r="A36" s="636"/>
      <c r="B36" s="602"/>
      <c r="C36" s="155"/>
      <c r="D36" s="651"/>
      <c r="E36" s="1586"/>
      <c r="F36" s="1731"/>
      <c r="G36" s="1741"/>
      <c r="H36" s="719"/>
      <c r="I36" s="217"/>
      <c r="J36" s="219" t="s">
        <v>116</v>
      </c>
      <c r="K36" s="1279">
        <f>205.1/3.4528*1000</f>
        <v>59401</v>
      </c>
      <c r="L36" s="578" t="s">
        <v>336</v>
      </c>
      <c r="M36" s="698">
        <v>100</v>
      </c>
    </row>
    <row r="37" spans="1:16" ht="31.5" customHeight="1" x14ac:dyDescent="0.2">
      <c r="A37" s="636"/>
      <c r="B37" s="602"/>
      <c r="C37" s="647"/>
      <c r="D37" s="656" t="s">
        <v>38</v>
      </c>
      <c r="E37" s="657" t="s">
        <v>119</v>
      </c>
      <c r="F37" s="1440" t="s">
        <v>112</v>
      </c>
      <c r="G37" s="775" t="s">
        <v>287</v>
      </c>
      <c r="H37" s="658" t="s">
        <v>30</v>
      </c>
      <c r="I37" s="655" t="s">
        <v>135</v>
      </c>
      <c r="J37" s="220" t="s">
        <v>70</v>
      </c>
      <c r="K37" s="1280"/>
      <c r="L37" s="148" t="s">
        <v>255</v>
      </c>
      <c r="M37" s="677"/>
      <c r="N37" s="106"/>
    </row>
    <row r="38" spans="1:16" ht="29.25" customHeight="1" x14ac:dyDescent="0.2">
      <c r="A38" s="636"/>
      <c r="B38" s="602"/>
      <c r="C38" s="647"/>
      <c r="D38" s="656" t="s">
        <v>31</v>
      </c>
      <c r="E38" s="641" t="s">
        <v>202</v>
      </c>
      <c r="F38" s="1441"/>
      <c r="G38" s="775" t="s">
        <v>288</v>
      </c>
      <c r="H38" s="658" t="s">
        <v>30</v>
      </c>
      <c r="I38" s="655" t="s">
        <v>135</v>
      </c>
      <c r="J38" s="220" t="s">
        <v>27</v>
      </c>
      <c r="K38" s="1281">
        <f>118.2/3.4528*1000</f>
        <v>34233</v>
      </c>
      <c r="L38" s="300" t="s">
        <v>256</v>
      </c>
      <c r="M38" s="678">
        <v>1280</v>
      </c>
      <c r="N38" s="106"/>
    </row>
    <row r="39" spans="1:16" ht="42" customHeight="1" x14ac:dyDescent="0.2">
      <c r="A39" s="636"/>
      <c r="B39" s="602"/>
      <c r="C39" s="647"/>
      <c r="D39" s="656" t="s">
        <v>39</v>
      </c>
      <c r="E39" s="664" t="s">
        <v>183</v>
      </c>
      <c r="F39" s="702" t="s">
        <v>204</v>
      </c>
      <c r="G39" s="775" t="s">
        <v>289</v>
      </c>
      <c r="H39" s="665" t="s">
        <v>30</v>
      </c>
      <c r="I39" s="655" t="s">
        <v>135</v>
      </c>
      <c r="J39" s="220" t="s">
        <v>27</v>
      </c>
      <c r="K39" s="1282">
        <f>20/3.4528*1000</f>
        <v>5792</v>
      </c>
      <c r="L39" s="300" t="s">
        <v>184</v>
      </c>
      <c r="M39" s="699">
        <v>1</v>
      </c>
      <c r="N39" s="106"/>
      <c r="P39" s="50"/>
    </row>
    <row r="40" spans="1:16" ht="13.5" thickBot="1" x14ac:dyDescent="0.25">
      <c r="A40" s="637"/>
      <c r="B40" s="603"/>
      <c r="C40" s="700"/>
      <c r="D40" s="701"/>
      <c r="E40" s="109"/>
      <c r="F40" s="110"/>
      <c r="G40" s="111"/>
      <c r="H40" s="112"/>
      <c r="I40" s="1630" t="s">
        <v>129</v>
      </c>
      <c r="J40" s="1703"/>
      <c r="K40" s="1283">
        <f>SUM(K18:K39)</f>
        <v>592016</v>
      </c>
      <c r="L40" s="580"/>
      <c r="M40" s="680"/>
    </row>
    <row r="41" spans="1:16" ht="27.75" customHeight="1" x14ac:dyDescent="0.2">
      <c r="A41" s="949" t="s">
        <v>5</v>
      </c>
      <c r="B41" s="950" t="s">
        <v>5</v>
      </c>
      <c r="C41" s="958" t="s">
        <v>7</v>
      </c>
      <c r="D41" s="670"/>
      <c r="E41" s="959" t="s">
        <v>83</v>
      </c>
      <c r="F41" s="951"/>
      <c r="G41" s="957"/>
      <c r="H41" s="947"/>
      <c r="I41" s="52"/>
      <c r="J41" s="11"/>
      <c r="K41" s="1284"/>
      <c r="L41" s="87"/>
      <c r="M41" s="27"/>
      <c r="P41" s="50"/>
    </row>
    <row r="42" spans="1:16" ht="15" customHeight="1" x14ac:dyDescent="0.2">
      <c r="A42" s="1360"/>
      <c r="B42" s="1372"/>
      <c r="C42" s="1649"/>
      <c r="D42" s="1538" t="s">
        <v>5</v>
      </c>
      <c r="E42" s="1430" t="s">
        <v>120</v>
      </c>
      <c r="F42" s="1702"/>
      <c r="G42" s="1718" t="s">
        <v>290</v>
      </c>
      <c r="H42" s="1450" t="s">
        <v>30</v>
      </c>
      <c r="I42" s="1720" t="s">
        <v>130</v>
      </c>
      <c r="J42" s="8" t="s">
        <v>27</v>
      </c>
      <c r="K42" s="1285">
        <f>1964724-111832</f>
        <v>1852892</v>
      </c>
      <c r="L42" s="39" t="s">
        <v>105</v>
      </c>
      <c r="M42" s="952">
        <v>3.8</v>
      </c>
    </row>
    <row r="43" spans="1:16" ht="23.25" customHeight="1" x14ac:dyDescent="0.2">
      <c r="A43" s="1360"/>
      <c r="B43" s="1372"/>
      <c r="C43" s="1649"/>
      <c r="D43" s="1538"/>
      <c r="E43" s="1430"/>
      <c r="F43" s="1366"/>
      <c r="G43" s="1719"/>
      <c r="H43" s="1368"/>
      <c r="I43" s="1721"/>
      <c r="J43" s="114" t="s">
        <v>97</v>
      </c>
      <c r="K43" s="1286"/>
      <c r="L43" s="168" t="s">
        <v>131</v>
      </c>
      <c r="M43" s="625">
        <v>3.4</v>
      </c>
    </row>
    <row r="44" spans="1:16" ht="15.75" customHeight="1" x14ac:dyDescent="0.2">
      <c r="A44" s="1360"/>
      <c r="B44" s="1372"/>
      <c r="C44" s="1649"/>
      <c r="D44" s="1538"/>
      <c r="E44" s="1431"/>
      <c r="F44" s="1366"/>
      <c r="G44" s="1719"/>
      <c r="H44" s="1368"/>
      <c r="I44" s="1721"/>
      <c r="J44" s="70"/>
      <c r="K44" s="1287"/>
      <c r="L44" s="954" t="s">
        <v>73</v>
      </c>
      <c r="M44" s="711">
        <v>24</v>
      </c>
    </row>
    <row r="45" spans="1:16" ht="17.25" customHeight="1" x14ac:dyDescent="0.2">
      <c r="A45" s="1360"/>
      <c r="B45" s="1372"/>
      <c r="C45" s="1649"/>
      <c r="D45" s="1691" t="s">
        <v>7</v>
      </c>
      <c r="E45" s="1479" t="s">
        <v>40</v>
      </c>
      <c r="F45" s="723"/>
      <c r="G45" s="1718" t="s">
        <v>291</v>
      </c>
      <c r="H45" s="955" t="s">
        <v>30</v>
      </c>
      <c r="I45" s="1720" t="s">
        <v>130</v>
      </c>
      <c r="J45" s="115" t="s">
        <v>27</v>
      </c>
      <c r="K45" s="1288">
        <f>205/3.4528*1000</f>
        <v>59372</v>
      </c>
      <c r="L45" s="953" t="s">
        <v>42</v>
      </c>
      <c r="M45" s="173">
        <v>36</v>
      </c>
    </row>
    <row r="46" spans="1:16" ht="27.75" customHeight="1" thickBot="1" x14ac:dyDescent="0.25">
      <c r="A46" s="1470"/>
      <c r="B46" s="1471"/>
      <c r="C46" s="1722"/>
      <c r="D46" s="1539"/>
      <c r="E46" s="1491"/>
      <c r="F46" s="961"/>
      <c r="G46" s="1724"/>
      <c r="H46" s="149"/>
      <c r="I46" s="1723"/>
      <c r="J46" s="962" t="s">
        <v>44</v>
      </c>
      <c r="K46" s="1289">
        <v>869</v>
      </c>
      <c r="L46" s="948" t="s">
        <v>121</v>
      </c>
      <c r="M46" s="143">
        <v>895</v>
      </c>
    </row>
    <row r="47" spans="1:16" ht="15" customHeight="1" x14ac:dyDescent="0.2">
      <c r="A47" s="636"/>
      <c r="B47" s="613"/>
      <c r="C47" s="647"/>
      <c r="D47" s="1538" t="s">
        <v>29</v>
      </c>
      <c r="E47" s="1455" t="s">
        <v>247</v>
      </c>
      <c r="F47" s="724"/>
      <c r="G47" s="1689" t="s">
        <v>292</v>
      </c>
      <c r="H47" s="956" t="s">
        <v>30</v>
      </c>
      <c r="I47" s="1651" t="s">
        <v>130</v>
      </c>
      <c r="J47" s="303" t="s">
        <v>27</v>
      </c>
      <c r="K47" s="1290">
        <f>165.1009/3.4528*1000</f>
        <v>47817</v>
      </c>
      <c r="L47" s="168" t="s">
        <v>273</v>
      </c>
      <c r="M47" s="538" t="s">
        <v>205</v>
      </c>
    </row>
    <row r="48" spans="1:16" ht="14.25" customHeight="1" x14ac:dyDescent="0.2">
      <c r="A48" s="636"/>
      <c r="B48" s="613"/>
      <c r="C48" s="647"/>
      <c r="D48" s="1538"/>
      <c r="E48" s="1455"/>
      <c r="F48" s="724"/>
      <c r="G48" s="1711"/>
      <c r="H48" s="718"/>
      <c r="I48" s="1651"/>
      <c r="J48" s="82"/>
      <c r="K48" s="1291"/>
      <c r="L48" s="121" t="s">
        <v>274</v>
      </c>
      <c r="M48" s="329" t="s">
        <v>207</v>
      </c>
    </row>
    <row r="49" spans="1:15" ht="27" customHeight="1" x14ac:dyDescent="0.2">
      <c r="A49" s="636"/>
      <c r="B49" s="613"/>
      <c r="C49" s="647"/>
      <c r="D49" s="1538"/>
      <c r="E49" s="1455"/>
      <c r="F49" s="724"/>
      <c r="G49" s="1711"/>
      <c r="H49" s="718"/>
      <c r="I49" s="1651"/>
      <c r="J49" s="303"/>
      <c r="K49" s="1290"/>
      <c r="L49" s="121" t="s">
        <v>275</v>
      </c>
      <c r="M49" s="333" t="s">
        <v>206</v>
      </c>
    </row>
    <row r="50" spans="1:15" ht="26.25" customHeight="1" x14ac:dyDescent="0.2">
      <c r="A50" s="636"/>
      <c r="B50" s="613"/>
      <c r="C50" s="647"/>
      <c r="D50" s="1692"/>
      <c r="E50" s="1706"/>
      <c r="F50" s="629"/>
      <c r="G50" s="1712"/>
      <c r="H50" s="612"/>
      <c r="I50" s="1653"/>
      <c r="J50" s="70" t="s">
        <v>27</v>
      </c>
      <c r="K50" s="1287">
        <f>15/3.4528*1000</f>
        <v>4344</v>
      </c>
      <c r="L50" s="628" t="s">
        <v>75</v>
      </c>
      <c r="M50" s="679">
        <v>1</v>
      </c>
      <c r="N50" s="826"/>
    </row>
    <row r="51" spans="1:15" ht="13.5" thickBot="1" x14ac:dyDescent="0.25">
      <c r="A51" s="102"/>
      <c r="B51" s="619"/>
      <c r="C51" s="107"/>
      <c r="D51" s="108"/>
      <c r="E51" s="109"/>
      <c r="F51" s="110"/>
      <c r="G51" s="111"/>
      <c r="H51" s="112"/>
      <c r="I51" s="1630" t="s">
        <v>129</v>
      </c>
      <c r="J51" s="1631"/>
      <c r="K51" s="1292">
        <f t="shared" ref="K51" si="0">SUM(K42:K50)</f>
        <v>1965294</v>
      </c>
      <c r="L51" s="580"/>
      <c r="M51" s="680"/>
    </row>
    <row r="52" spans="1:15" ht="30.75" customHeight="1" x14ac:dyDescent="0.2">
      <c r="A52" s="638" t="s">
        <v>5</v>
      </c>
      <c r="B52" s="618" t="s">
        <v>5</v>
      </c>
      <c r="C52" s="646" t="s">
        <v>29</v>
      </c>
      <c r="D52" s="654"/>
      <c r="E52" s="627" t="s">
        <v>84</v>
      </c>
      <c r="F52" s="667" t="s">
        <v>269</v>
      </c>
      <c r="G52" s="622"/>
      <c r="H52" s="593"/>
      <c r="I52" s="99"/>
      <c r="J52" s="1162"/>
      <c r="K52" s="1293"/>
      <c r="L52" s="596"/>
      <c r="M52" s="27"/>
    </row>
    <row r="53" spans="1:15" ht="32.25" customHeight="1" x14ac:dyDescent="0.2">
      <c r="A53" s="636"/>
      <c r="B53" s="602"/>
      <c r="C53" s="155"/>
      <c r="D53" s="660" t="s">
        <v>5</v>
      </c>
      <c r="E53" s="301" t="s">
        <v>149</v>
      </c>
      <c r="F53" s="668" t="s">
        <v>270</v>
      </c>
      <c r="G53" s="858" t="s">
        <v>296</v>
      </c>
      <c r="H53" s="630" t="s">
        <v>30</v>
      </c>
      <c r="I53" s="645" t="s">
        <v>135</v>
      </c>
      <c r="J53" s="1163" t="s">
        <v>27</v>
      </c>
      <c r="K53" s="1294">
        <f>6951-4909</f>
        <v>2042</v>
      </c>
      <c r="L53" s="148" t="s">
        <v>228</v>
      </c>
      <c r="M53" s="681">
        <v>2</v>
      </c>
    </row>
    <row r="54" spans="1:15" ht="17.25" customHeight="1" x14ac:dyDescent="0.2">
      <c r="A54" s="1360"/>
      <c r="B54" s="1372"/>
      <c r="C54" s="1649"/>
      <c r="D54" s="1691" t="s">
        <v>7</v>
      </c>
      <c r="E54" s="1523" t="s">
        <v>43</v>
      </c>
      <c r="F54" s="1702"/>
      <c r="G54" s="1656" t="s">
        <v>294</v>
      </c>
      <c r="H54" s="1450" t="s">
        <v>30</v>
      </c>
      <c r="I54" s="1707" t="s">
        <v>337</v>
      </c>
      <c r="J54" s="1164" t="s">
        <v>27</v>
      </c>
      <c r="K54" s="1295">
        <v>8979</v>
      </c>
      <c r="L54" s="581" t="s">
        <v>229</v>
      </c>
      <c r="M54" s="582">
        <v>2</v>
      </c>
    </row>
    <row r="55" spans="1:15" ht="17.25" customHeight="1" x14ac:dyDescent="0.2">
      <c r="A55" s="1360"/>
      <c r="B55" s="1372"/>
      <c r="C55" s="1649"/>
      <c r="D55" s="1538"/>
      <c r="E55" s="1521"/>
      <c r="F55" s="1366"/>
      <c r="G55" s="1620"/>
      <c r="H55" s="1368"/>
      <c r="I55" s="1708"/>
      <c r="J55" s="1165" t="s">
        <v>332</v>
      </c>
      <c r="K55" s="1296">
        <v>289</v>
      </c>
      <c r="L55" s="146"/>
      <c r="M55" s="552"/>
    </row>
    <row r="56" spans="1:15" ht="23.25" customHeight="1" x14ac:dyDescent="0.2">
      <c r="A56" s="1360"/>
      <c r="B56" s="1372"/>
      <c r="C56" s="1649"/>
      <c r="D56" s="1692"/>
      <c r="E56" s="1701"/>
      <c r="F56" s="1432"/>
      <c r="G56" s="1682"/>
      <c r="H56" s="1434"/>
      <c r="I56" s="1708"/>
      <c r="J56" s="1166" t="s">
        <v>44</v>
      </c>
      <c r="K56" s="1297">
        <f>9/3.4528*1000</f>
        <v>2607</v>
      </c>
      <c r="L56" s="583" t="s">
        <v>230</v>
      </c>
      <c r="M56" s="579">
        <v>5</v>
      </c>
    </row>
    <row r="57" spans="1:15" ht="14.25" customHeight="1" x14ac:dyDescent="0.2">
      <c r="A57" s="636"/>
      <c r="B57" s="613"/>
      <c r="C57" s="647"/>
      <c r="D57" s="892" t="s">
        <v>29</v>
      </c>
      <c r="E57" s="1523" t="s">
        <v>103</v>
      </c>
      <c r="F57" s="885"/>
      <c r="G57" s="1643" t="s">
        <v>295</v>
      </c>
      <c r="H57" s="878" t="s">
        <v>30</v>
      </c>
      <c r="I57" s="1652"/>
      <c r="J57" s="1164" t="s">
        <v>44</v>
      </c>
      <c r="K57" s="1298">
        <v>24328</v>
      </c>
      <c r="L57" s="886" t="s">
        <v>122</v>
      </c>
      <c r="M57" s="173">
        <v>2</v>
      </c>
      <c r="N57" s="826"/>
    </row>
    <row r="58" spans="1:15" ht="17.25" customHeight="1" x14ac:dyDescent="0.2">
      <c r="A58" s="879"/>
      <c r="B58" s="883"/>
      <c r="C58" s="155"/>
      <c r="D58" s="881"/>
      <c r="E58" s="1706"/>
      <c r="F58" s="885"/>
      <c r="G58" s="1717"/>
      <c r="H58" s="878"/>
      <c r="I58" s="888"/>
      <c r="J58" s="67" t="s">
        <v>332</v>
      </c>
      <c r="K58" s="1299">
        <v>195</v>
      </c>
      <c r="L58" s="880"/>
      <c r="M58" s="884"/>
      <c r="N58" s="826"/>
    </row>
    <row r="59" spans="1:15" ht="18" customHeight="1" x14ac:dyDescent="0.2">
      <c r="A59" s="636"/>
      <c r="B59" s="613"/>
      <c r="C59" s="155"/>
      <c r="D59" s="721" t="s">
        <v>37</v>
      </c>
      <c r="E59" s="1709" t="s">
        <v>240</v>
      </c>
      <c r="F59" s="723"/>
      <c r="G59" s="859"/>
      <c r="H59" s="725" t="s">
        <v>30</v>
      </c>
      <c r="I59" s="1710" t="s">
        <v>337</v>
      </c>
      <c r="J59" s="1167" t="s">
        <v>27</v>
      </c>
      <c r="K59" s="1300">
        <f>1405.1/3.4528*1000</f>
        <v>406945</v>
      </c>
      <c r="L59" s="728" t="s">
        <v>46</v>
      </c>
      <c r="M59" s="729">
        <v>19.5</v>
      </c>
      <c r="N59" s="826"/>
      <c r="O59" s="826"/>
    </row>
    <row r="60" spans="1:15" ht="18" customHeight="1" x14ac:dyDescent="0.2">
      <c r="A60" s="879"/>
      <c r="B60" s="883"/>
      <c r="C60" s="155"/>
      <c r="D60" s="882"/>
      <c r="E60" s="1709"/>
      <c r="F60" s="724"/>
      <c r="G60" s="774"/>
      <c r="H60" s="887"/>
      <c r="I60" s="1667"/>
      <c r="J60" s="1168" t="s">
        <v>44</v>
      </c>
      <c r="K60" s="1301">
        <v>6719</v>
      </c>
      <c r="L60" s="257" t="s">
        <v>45</v>
      </c>
      <c r="M60" s="238">
        <v>108.8</v>
      </c>
      <c r="N60" s="826"/>
    </row>
    <row r="61" spans="1:15" ht="15.75" customHeight="1" x14ac:dyDescent="0.2">
      <c r="A61" s="1154"/>
      <c r="B61" s="1156"/>
      <c r="C61" s="155"/>
      <c r="D61" s="1155"/>
      <c r="E61" s="1709"/>
      <c r="F61" s="724"/>
      <c r="G61" s="1158"/>
      <c r="H61" s="1157"/>
      <c r="I61" s="1667"/>
      <c r="J61" s="1168" t="s">
        <v>332</v>
      </c>
      <c r="K61" s="1301">
        <v>1680</v>
      </c>
      <c r="L61" s="257"/>
      <c r="M61" s="238"/>
      <c r="N61" s="826"/>
    </row>
    <row r="62" spans="1:15" ht="27" customHeight="1" x14ac:dyDescent="0.2">
      <c r="A62" s="636"/>
      <c r="B62" s="613"/>
      <c r="C62" s="155"/>
      <c r="D62" s="722"/>
      <c r="E62" s="1709"/>
      <c r="F62" s="724"/>
      <c r="G62" s="1713" t="s">
        <v>293</v>
      </c>
      <c r="H62" s="718"/>
      <c r="I62" s="1667"/>
      <c r="J62" s="345" t="s">
        <v>27</v>
      </c>
      <c r="K62" s="1297">
        <f>10263+4066</f>
        <v>14329</v>
      </c>
      <c r="L62" s="1268" t="s">
        <v>356</v>
      </c>
      <c r="M62" s="1265">
        <v>7</v>
      </c>
      <c r="N62" s="826"/>
      <c r="O62" s="50"/>
    </row>
    <row r="63" spans="1:15" ht="29.25" customHeight="1" x14ac:dyDescent="0.2">
      <c r="A63" s="636"/>
      <c r="B63" s="613"/>
      <c r="C63" s="155"/>
      <c r="D63" s="722"/>
      <c r="E63" s="653" t="s">
        <v>108</v>
      </c>
      <c r="F63" s="724"/>
      <c r="G63" s="1714"/>
      <c r="H63" s="718"/>
      <c r="I63" s="1667"/>
      <c r="J63" s="1169" t="s">
        <v>27</v>
      </c>
      <c r="K63" s="1302">
        <f>10/3.4528*1000</f>
        <v>2896</v>
      </c>
      <c r="L63" s="153" t="s">
        <v>257</v>
      </c>
      <c r="M63" s="237">
        <v>1</v>
      </c>
      <c r="N63" s="826"/>
      <c r="O63" s="826"/>
    </row>
    <row r="64" spans="1:15" ht="19.5" customHeight="1" x14ac:dyDescent="0.2">
      <c r="A64" s="636"/>
      <c r="B64" s="602"/>
      <c r="C64" s="155"/>
      <c r="D64" s="722"/>
      <c r="E64" s="653" t="s">
        <v>106</v>
      </c>
      <c r="F64" s="724"/>
      <c r="G64" s="1714"/>
      <c r="H64" s="718"/>
      <c r="I64" s="1667"/>
      <c r="J64" s="1170" t="s">
        <v>27</v>
      </c>
      <c r="K64" s="1303">
        <f>217.8/3.4528*1000</f>
        <v>63079</v>
      </c>
      <c r="L64" s="116" t="s">
        <v>232</v>
      </c>
      <c r="M64" s="118">
        <v>1</v>
      </c>
      <c r="N64" s="826"/>
    </row>
    <row r="65" spans="1:15" ht="31.5" customHeight="1" x14ac:dyDescent="0.2">
      <c r="A65" s="101"/>
      <c r="B65" s="613"/>
      <c r="C65" s="155"/>
      <c r="D65" s="722"/>
      <c r="E65" s="169" t="s">
        <v>107</v>
      </c>
      <c r="F65" s="724"/>
      <c r="G65" s="1714"/>
      <c r="H65" s="718"/>
      <c r="I65" s="726"/>
      <c r="J65" s="1168" t="s">
        <v>27</v>
      </c>
      <c r="K65" s="1296">
        <f>250/3.4528*1000</f>
        <v>72405</v>
      </c>
      <c r="L65" s="146" t="s">
        <v>153</v>
      </c>
      <c r="M65" s="552">
        <v>60</v>
      </c>
      <c r="N65" s="826"/>
      <c r="O65" s="826"/>
    </row>
    <row r="66" spans="1:15" ht="18" customHeight="1" x14ac:dyDescent="0.2">
      <c r="A66" s="636"/>
      <c r="B66" s="602"/>
      <c r="C66" s="647"/>
      <c r="D66" s="709"/>
      <c r="E66" s="1715" t="s">
        <v>150</v>
      </c>
      <c r="F66" s="724"/>
      <c r="G66" s="1714"/>
      <c r="H66" s="718"/>
      <c r="I66" s="727"/>
      <c r="J66" s="67" t="s">
        <v>27</v>
      </c>
      <c r="K66" s="1302">
        <f>92.5/3.4528*1000</f>
        <v>26790</v>
      </c>
      <c r="L66" s="121" t="s">
        <v>230</v>
      </c>
      <c r="M66" s="624">
        <v>5</v>
      </c>
    </row>
    <row r="67" spans="1:15" ht="16.5" customHeight="1" x14ac:dyDescent="0.2">
      <c r="A67" s="636"/>
      <c r="B67" s="602"/>
      <c r="C67" s="647"/>
      <c r="D67" s="709"/>
      <c r="E67" s="1716"/>
      <c r="F67" s="724"/>
      <c r="G67" s="1714"/>
      <c r="H67" s="718"/>
      <c r="I67" s="727"/>
      <c r="J67" s="67"/>
      <c r="K67" s="1302"/>
      <c r="L67" s="153" t="s">
        <v>46</v>
      </c>
      <c r="M67" s="118">
        <v>1</v>
      </c>
      <c r="N67" s="50"/>
      <c r="O67" s="50"/>
    </row>
    <row r="68" spans="1:15" ht="17.25" customHeight="1" x14ac:dyDescent="0.2">
      <c r="A68" s="636"/>
      <c r="B68" s="602"/>
      <c r="C68" s="647"/>
      <c r="D68" s="709"/>
      <c r="E68" s="1716"/>
      <c r="F68" s="724"/>
      <c r="G68" s="771"/>
      <c r="H68" s="718"/>
      <c r="I68" s="727"/>
      <c r="J68" s="67"/>
      <c r="K68" s="1302"/>
      <c r="L68" s="257" t="s">
        <v>45</v>
      </c>
      <c r="M68" s="159">
        <v>1.8</v>
      </c>
      <c r="N68" s="156"/>
    </row>
    <row r="69" spans="1:15" ht="18" customHeight="1" x14ac:dyDescent="0.2">
      <c r="A69" s="636"/>
      <c r="B69" s="602"/>
      <c r="C69" s="647"/>
      <c r="D69" s="709"/>
      <c r="E69" s="169" t="s">
        <v>151</v>
      </c>
      <c r="F69" s="724"/>
      <c r="G69" s="771"/>
      <c r="H69" s="718"/>
      <c r="I69" s="727"/>
      <c r="J69" s="1168" t="s">
        <v>27</v>
      </c>
      <c r="K69" s="1303">
        <f>6/3.4528*1000</f>
        <v>1738</v>
      </c>
      <c r="L69" s="121" t="s">
        <v>258</v>
      </c>
      <c r="M69" s="118">
        <v>2</v>
      </c>
    </row>
    <row r="70" spans="1:15" ht="15.75" customHeight="1" x14ac:dyDescent="0.2">
      <c r="A70" s="636"/>
      <c r="B70" s="602"/>
      <c r="C70" s="647"/>
      <c r="D70" s="714"/>
      <c r="E70" s="715" t="s">
        <v>152</v>
      </c>
      <c r="F70" s="629"/>
      <c r="G70" s="767"/>
      <c r="H70" s="612"/>
      <c r="I70" s="177"/>
      <c r="J70" s="1166" t="s">
        <v>27</v>
      </c>
      <c r="K70" s="1304">
        <f>24/3.4528*1000</f>
        <v>6951</v>
      </c>
      <c r="L70" s="40" t="s">
        <v>235</v>
      </c>
      <c r="M70" s="631">
        <v>8</v>
      </c>
    </row>
    <row r="71" spans="1:15" ht="13.5" thickBot="1" x14ac:dyDescent="0.25">
      <c r="A71" s="102"/>
      <c r="B71" s="619"/>
      <c r="C71" s="107"/>
      <c r="D71" s="108"/>
      <c r="E71" s="109"/>
      <c r="F71" s="110"/>
      <c r="G71" s="111"/>
      <c r="H71" s="112"/>
      <c r="I71" s="1630" t="s">
        <v>129</v>
      </c>
      <c r="J71" s="1703"/>
      <c r="K71" s="1283">
        <f>SUM(K53:K70)</f>
        <v>641972</v>
      </c>
      <c r="L71" s="580"/>
      <c r="M71" s="680"/>
      <c r="N71" s="826"/>
    </row>
    <row r="72" spans="1:15" ht="26.25" customHeight="1" x14ac:dyDescent="0.2">
      <c r="A72" s="638" t="s">
        <v>5</v>
      </c>
      <c r="B72" s="618" t="s">
        <v>5</v>
      </c>
      <c r="C72" s="646" t="s">
        <v>37</v>
      </c>
      <c r="D72" s="649"/>
      <c r="E72" s="627" t="s">
        <v>85</v>
      </c>
      <c r="F72" s="669" t="s">
        <v>212</v>
      </c>
      <c r="G72" s="622"/>
      <c r="H72" s="593"/>
      <c r="I72" s="52"/>
      <c r="J72" s="11" t="s">
        <v>27</v>
      </c>
      <c r="K72" s="1305"/>
      <c r="L72" s="965"/>
      <c r="M72" s="623"/>
    </row>
    <row r="73" spans="1:15" x14ac:dyDescent="0.2">
      <c r="A73" s="1360"/>
      <c r="B73" s="1372"/>
      <c r="C73" s="1649"/>
      <c r="D73" s="1704" t="s">
        <v>5</v>
      </c>
      <c r="E73" s="1504" t="s">
        <v>48</v>
      </c>
      <c r="F73" s="1488"/>
      <c r="G73" s="1696" t="s">
        <v>297</v>
      </c>
      <c r="H73" s="1698" t="s">
        <v>30</v>
      </c>
      <c r="I73" s="1651" t="s">
        <v>128</v>
      </c>
      <c r="J73" s="734" t="s">
        <v>27</v>
      </c>
      <c r="K73" s="1306">
        <f>3957.5/3.4528*1000</f>
        <v>1146171</v>
      </c>
      <c r="L73" s="1484" t="s">
        <v>74</v>
      </c>
      <c r="M73" s="1477">
        <v>8.1</v>
      </c>
    </row>
    <row r="74" spans="1:15" ht="16.5" customHeight="1" x14ac:dyDescent="0.2">
      <c r="A74" s="1360"/>
      <c r="B74" s="1372"/>
      <c r="C74" s="1649"/>
      <c r="D74" s="1705"/>
      <c r="E74" s="1505"/>
      <c r="F74" s="1489"/>
      <c r="G74" s="1697"/>
      <c r="H74" s="1699"/>
      <c r="I74" s="1651"/>
      <c r="J74" s="733"/>
      <c r="K74" s="1287"/>
      <c r="L74" s="1485"/>
      <c r="M74" s="1478"/>
    </row>
    <row r="75" spans="1:15" ht="26.25" customHeight="1" x14ac:dyDescent="0.2">
      <c r="A75" s="1360"/>
      <c r="B75" s="1372"/>
      <c r="C75" s="1649"/>
      <c r="D75" s="1691" t="s">
        <v>7</v>
      </c>
      <c r="E75" s="1479" t="s">
        <v>47</v>
      </c>
      <c r="F75" s="1481" t="s">
        <v>118</v>
      </c>
      <c r="G75" s="1643" t="s">
        <v>298</v>
      </c>
      <c r="H75" s="1450" t="s">
        <v>30</v>
      </c>
      <c r="I75" s="1746"/>
      <c r="J75" s="734" t="s">
        <v>27</v>
      </c>
      <c r="K75" s="1285">
        <f>860577+73453</f>
        <v>934030</v>
      </c>
      <c r="L75" s="1267" t="s">
        <v>355</v>
      </c>
      <c r="M75" s="1221">
        <v>59</v>
      </c>
    </row>
    <row r="76" spans="1:15" ht="15.75" customHeight="1" x14ac:dyDescent="0.2">
      <c r="A76" s="1360"/>
      <c r="B76" s="1372"/>
      <c r="C76" s="1649"/>
      <c r="D76" s="1538"/>
      <c r="E76" s="1455"/>
      <c r="F76" s="1693"/>
      <c r="G76" s="1694"/>
      <c r="H76" s="1368"/>
      <c r="I76" s="1746"/>
      <c r="J76" s="82"/>
      <c r="K76" s="1291"/>
      <c r="L76" s="535" t="s">
        <v>123</v>
      </c>
      <c r="M76" s="1151">
        <v>15.5</v>
      </c>
    </row>
    <row r="77" spans="1:15" ht="14.25" customHeight="1" x14ac:dyDescent="0.2">
      <c r="A77" s="1360"/>
      <c r="B77" s="1372"/>
      <c r="C77" s="1649"/>
      <c r="D77" s="1692"/>
      <c r="E77" s="1480"/>
      <c r="F77" s="1482"/>
      <c r="G77" s="1695"/>
      <c r="H77" s="1434"/>
      <c r="I77" s="1746"/>
      <c r="J77" s="70"/>
      <c r="K77" s="1269"/>
      <c r="L77" s="121" t="s">
        <v>354</v>
      </c>
      <c r="M77" s="118">
        <v>150</v>
      </c>
    </row>
    <row r="78" spans="1:15" ht="28.5" customHeight="1" x14ac:dyDescent="0.2">
      <c r="A78" s="849"/>
      <c r="B78" s="167"/>
      <c r="C78" s="852"/>
      <c r="D78" s="974" t="s">
        <v>29</v>
      </c>
      <c r="E78" s="978" t="s">
        <v>280</v>
      </c>
      <c r="F78" s="968"/>
      <c r="G78" s="1643" t="s">
        <v>299</v>
      </c>
      <c r="H78" s="970" t="s">
        <v>30</v>
      </c>
      <c r="I78" s="854"/>
      <c r="J78" s="12" t="s">
        <v>281</v>
      </c>
      <c r="K78" s="1307">
        <v>172255</v>
      </c>
      <c r="L78" s="979" t="s">
        <v>339</v>
      </c>
      <c r="M78" s="980">
        <v>100</v>
      </c>
    </row>
    <row r="79" spans="1:15" ht="39.75" customHeight="1" x14ac:dyDescent="0.2">
      <c r="A79" s="966"/>
      <c r="B79" s="167"/>
      <c r="C79" s="973"/>
      <c r="D79" s="967"/>
      <c r="E79" s="261"/>
      <c r="F79" s="977"/>
      <c r="G79" s="1700"/>
      <c r="H79" s="964"/>
      <c r="I79" s="972"/>
      <c r="J79" s="12"/>
      <c r="K79" s="1307"/>
      <c r="L79" s="121" t="s">
        <v>340</v>
      </c>
      <c r="M79" s="981">
        <v>100</v>
      </c>
    </row>
    <row r="80" spans="1:15" ht="51" customHeight="1" x14ac:dyDescent="0.2">
      <c r="A80" s="994"/>
      <c r="B80" s="167"/>
      <c r="C80" s="1030"/>
      <c r="D80" s="1002"/>
      <c r="E80" s="261"/>
      <c r="F80" s="977"/>
      <c r="G80" s="1700"/>
      <c r="H80" s="985"/>
      <c r="I80" s="1029"/>
      <c r="J80" s="12"/>
      <c r="K80" s="1307"/>
      <c r="L80" s="1044" t="s">
        <v>345</v>
      </c>
      <c r="M80" s="981">
        <v>100</v>
      </c>
    </row>
    <row r="81" spans="1:17" ht="51.75" customHeight="1" x14ac:dyDescent="0.2">
      <c r="A81" s="994"/>
      <c r="B81" s="167"/>
      <c r="C81" s="1030"/>
      <c r="D81" s="1002"/>
      <c r="E81" s="261"/>
      <c r="F81" s="977"/>
      <c r="G81" s="1700"/>
      <c r="H81" s="985"/>
      <c r="I81" s="1029"/>
      <c r="J81" s="12"/>
      <c r="K81" s="1307"/>
      <c r="L81" s="1044" t="s">
        <v>344</v>
      </c>
      <c r="M81" s="981">
        <v>100</v>
      </c>
    </row>
    <row r="82" spans="1:17" ht="51" customHeight="1" x14ac:dyDescent="0.2">
      <c r="A82" s="966"/>
      <c r="B82" s="167"/>
      <c r="C82" s="973"/>
      <c r="D82" s="967"/>
      <c r="E82" s="261"/>
      <c r="F82" s="977"/>
      <c r="G82" s="1700"/>
      <c r="H82" s="964"/>
      <c r="I82" s="972"/>
      <c r="J82" s="12"/>
      <c r="K82" s="1307"/>
      <c r="L82" s="540" t="s">
        <v>343</v>
      </c>
      <c r="M82" s="981">
        <v>100</v>
      </c>
    </row>
    <row r="83" spans="1:17" ht="54" customHeight="1" x14ac:dyDescent="0.2">
      <c r="A83" s="966"/>
      <c r="B83" s="167"/>
      <c r="C83" s="973"/>
      <c r="D83" s="975"/>
      <c r="E83" s="984"/>
      <c r="F83" s="969"/>
      <c r="G83" s="976"/>
      <c r="H83" s="971"/>
      <c r="I83" s="972"/>
      <c r="J83" s="70"/>
      <c r="K83" s="1269"/>
      <c r="L83" s="982" t="s">
        <v>341</v>
      </c>
      <c r="M83" s="983">
        <v>100</v>
      </c>
    </row>
    <row r="84" spans="1:17" ht="38.25" customHeight="1" x14ac:dyDescent="0.2">
      <c r="A84" s="636"/>
      <c r="B84" s="167"/>
      <c r="C84" s="647"/>
      <c r="D84" s="610" t="s">
        <v>37</v>
      </c>
      <c r="E84" s="639" t="s">
        <v>154</v>
      </c>
      <c r="F84" s="621"/>
      <c r="G84" s="774" t="s">
        <v>300</v>
      </c>
      <c r="H84" s="594" t="s">
        <v>30</v>
      </c>
      <c r="I84" s="648"/>
      <c r="J84" s="70" t="s">
        <v>27</v>
      </c>
      <c r="K84" s="1287">
        <f>102.7/3.4528*1000</f>
        <v>29744</v>
      </c>
      <c r="L84" s="584" t="s">
        <v>155</v>
      </c>
      <c r="M84" s="486">
        <v>1</v>
      </c>
      <c r="O84" s="50"/>
      <c r="P84" s="50"/>
      <c r="Q84" s="875"/>
    </row>
    <row r="85" spans="1:17" ht="29.25" customHeight="1" x14ac:dyDescent="0.2">
      <c r="A85" s="636"/>
      <c r="B85" s="613"/>
      <c r="C85" s="647"/>
      <c r="D85" s="660" t="s">
        <v>38</v>
      </c>
      <c r="E85" s="57" t="s">
        <v>49</v>
      </c>
      <c r="F85" s="661"/>
      <c r="G85" s="775" t="s">
        <v>301</v>
      </c>
      <c r="H85" s="658" t="s">
        <v>30</v>
      </c>
      <c r="I85" s="177"/>
      <c r="J85" s="18" t="s">
        <v>70</v>
      </c>
      <c r="K85" s="1281">
        <f>2038/3.4528*1000</f>
        <v>590246</v>
      </c>
      <c r="L85" s="56" t="s">
        <v>50</v>
      </c>
      <c r="M85" s="45">
        <v>94</v>
      </c>
    </row>
    <row r="86" spans="1:17" ht="13.5" thickBot="1" x14ac:dyDescent="0.25">
      <c r="A86" s="102"/>
      <c r="B86" s="619"/>
      <c r="C86" s="107"/>
      <c r="D86" s="108"/>
      <c r="E86" s="109"/>
      <c r="F86" s="110"/>
      <c r="G86" s="772"/>
      <c r="H86" s="112"/>
      <c r="I86" s="1630" t="s">
        <v>129</v>
      </c>
      <c r="J86" s="1631"/>
      <c r="K86" s="1292">
        <f>SUM(K73:K85)</f>
        <v>2872446</v>
      </c>
      <c r="L86" s="1659"/>
      <c r="M86" s="1660"/>
    </row>
    <row r="87" spans="1:17" ht="26.25" customHeight="1" x14ac:dyDescent="0.2">
      <c r="A87" s="1359" t="s">
        <v>5</v>
      </c>
      <c r="B87" s="1373" t="s">
        <v>5</v>
      </c>
      <c r="C87" s="1363" t="s">
        <v>38</v>
      </c>
      <c r="D87" s="1684"/>
      <c r="E87" s="1687" t="s">
        <v>180</v>
      </c>
      <c r="F87" s="1365"/>
      <c r="G87" s="1669" t="s">
        <v>302</v>
      </c>
      <c r="H87" s="1474" t="s">
        <v>71</v>
      </c>
      <c r="I87" s="1675" t="s">
        <v>132</v>
      </c>
      <c r="J87" s="83" t="s">
        <v>27</v>
      </c>
      <c r="K87" s="1308">
        <f>704/3.4528*1000</f>
        <v>203892</v>
      </c>
      <c r="L87" s="605" t="s">
        <v>325</v>
      </c>
      <c r="M87" s="624">
        <v>65</v>
      </c>
      <c r="O87" s="50"/>
    </row>
    <row r="88" spans="1:17" ht="27" customHeight="1" x14ac:dyDescent="0.2">
      <c r="A88" s="1360"/>
      <c r="B88" s="1372"/>
      <c r="C88" s="1364"/>
      <c r="D88" s="1685"/>
      <c r="E88" s="1688"/>
      <c r="F88" s="1366"/>
      <c r="G88" s="1689"/>
      <c r="H88" s="1475"/>
      <c r="I88" s="1676"/>
      <c r="J88" s="82"/>
      <c r="K88" s="1309"/>
      <c r="L88" s="535"/>
      <c r="M88" s="175"/>
    </row>
    <row r="89" spans="1:17" ht="15.75" customHeight="1" x14ac:dyDescent="0.2">
      <c r="A89" s="1360"/>
      <c r="B89" s="1372"/>
      <c r="C89" s="1364"/>
      <c r="D89" s="1685"/>
      <c r="E89" s="1677" t="s">
        <v>181</v>
      </c>
      <c r="F89" s="1366"/>
      <c r="G89" s="1689"/>
      <c r="H89" s="1475"/>
      <c r="I89" s="1676"/>
      <c r="J89" s="733"/>
      <c r="K89" s="1310"/>
      <c r="L89" s="877" t="s">
        <v>182</v>
      </c>
      <c r="M89" s="624">
        <v>5</v>
      </c>
    </row>
    <row r="90" spans="1:17" ht="13.5" customHeight="1" thickBot="1" x14ac:dyDescent="0.25">
      <c r="A90" s="1470"/>
      <c r="B90" s="1471"/>
      <c r="C90" s="1472"/>
      <c r="D90" s="1686"/>
      <c r="E90" s="1491"/>
      <c r="F90" s="1473"/>
      <c r="G90" s="1690"/>
      <c r="H90" s="1476"/>
      <c r="I90" s="265"/>
      <c r="J90" s="732" t="s">
        <v>6</v>
      </c>
      <c r="K90" s="1292">
        <f t="shared" ref="K90" si="1">SUM(K87:K89)</f>
        <v>203892</v>
      </c>
      <c r="L90" s="14"/>
      <c r="M90" s="143"/>
    </row>
    <row r="91" spans="1:17" ht="21" customHeight="1" x14ac:dyDescent="0.2">
      <c r="A91" s="1359" t="s">
        <v>5</v>
      </c>
      <c r="B91" s="1373" t="s">
        <v>5</v>
      </c>
      <c r="C91" s="1363" t="s">
        <v>31</v>
      </c>
      <c r="D91" s="1639"/>
      <c r="E91" s="1495" t="s">
        <v>174</v>
      </c>
      <c r="F91" s="1501" t="s">
        <v>110</v>
      </c>
      <c r="G91" s="1679" t="s">
        <v>303</v>
      </c>
      <c r="H91" s="1367" t="s">
        <v>66</v>
      </c>
      <c r="I91" s="1665" t="s">
        <v>133</v>
      </c>
      <c r="J91" s="83" t="s">
        <v>68</v>
      </c>
      <c r="K91" s="1311">
        <v>116287</v>
      </c>
      <c r="L91" s="1493" t="s">
        <v>147</v>
      </c>
      <c r="M91" s="72">
        <v>100</v>
      </c>
    </row>
    <row r="92" spans="1:17" ht="18.75" customHeight="1" x14ac:dyDescent="0.2">
      <c r="A92" s="1360"/>
      <c r="B92" s="1372"/>
      <c r="C92" s="1364"/>
      <c r="D92" s="1678"/>
      <c r="E92" s="1499"/>
      <c r="F92" s="1502"/>
      <c r="G92" s="1680"/>
      <c r="H92" s="1368"/>
      <c r="I92" s="1651"/>
      <c r="J92" s="114" t="s">
        <v>27</v>
      </c>
      <c r="K92" s="1312">
        <f>0.1/3.4528*1000</f>
        <v>29</v>
      </c>
      <c r="L92" s="1494"/>
      <c r="M92" s="561"/>
    </row>
    <row r="93" spans="1:17" ht="13.5" customHeight="1" x14ac:dyDescent="0.2">
      <c r="A93" s="1360"/>
      <c r="B93" s="1372"/>
      <c r="C93" s="1364"/>
      <c r="D93" s="1678"/>
      <c r="E93" s="1499"/>
      <c r="F93" s="1502"/>
      <c r="G93" s="1680"/>
      <c r="H93" s="1368"/>
      <c r="I93" s="1683"/>
      <c r="J93" s="12" t="s">
        <v>69</v>
      </c>
      <c r="K93" s="1307">
        <v>23758</v>
      </c>
      <c r="L93" s="1744" t="s">
        <v>259</v>
      </c>
      <c r="M93" s="69">
        <v>100</v>
      </c>
    </row>
    <row r="94" spans="1:17" ht="13.5" thickBot="1" x14ac:dyDescent="0.25">
      <c r="A94" s="1470"/>
      <c r="B94" s="1471"/>
      <c r="C94" s="1472"/>
      <c r="D94" s="1640"/>
      <c r="E94" s="1500"/>
      <c r="F94" s="1503"/>
      <c r="G94" s="1681"/>
      <c r="H94" s="1532"/>
      <c r="I94" s="53"/>
      <c r="J94" s="730" t="s">
        <v>6</v>
      </c>
      <c r="K94" s="1313">
        <f>SUM(K91:K93)</f>
        <v>140074</v>
      </c>
      <c r="L94" s="1745"/>
      <c r="M94" s="585"/>
      <c r="N94" s="10"/>
      <c r="P94" s="9"/>
    </row>
    <row r="95" spans="1:17" ht="39.75" customHeight="1" x14ac:dyDescent="0.2">
      <c r="A95" s="1359" t="s">
        <v>5</v>
      </c>
      <c r="B95" s="1373" t="s">
        <v>5</v>
      </c>
      <c r="C95" s="1648" t="s">
        <v>39</v>
      </c>
      <c r="D95" s="735"/>
      <c r="E95" s="616" t="s">
        <v>114</v>
      </c>
      <c r="F95" s="620"/>
      <c r="G95" s="773"/>
      <c r="H95" s="739"/>
      <c r="I95" s="740"/>
      <c r="J95" s="89" t="s">
        <v>27</v>
      </c>
      <c r="K95" s="1314"/>
      <c r="L95" s="617" t="s">
        <v>260</v>
      </c>
      <c r="M95" s="321">
        <f>M96+M98</f>
        <v>2</v>
      </c>
    </row>
    <row r="96" spans="1:17" ht="22.5" customHeight="1" x14ac:dyDescent="0.2">
      <c r="A96" s="1360"/>
      <c r="B96" s="1372"/>
      <c r="C96" s="1649"/>
      <c r="D96" s="755" t="s">
        <v>5</v>
      </c>
      <c r="E96" s="1671" t="s">
        <v>113</v>
      </c>
      <c r="F96" s="1673" t="s">
        <v>211</v>
      </c>
      <c r="G96" s="1656" t="s">
        <v>305</v>
      </c>
      <c r="H96" s="783">
        <v>5</v>
      </c>
      <c r="I96" s="1667" t="s">
        <v>134</v>
      </c>
      <c r="J96" s="316" t="s">
        <v>27</v>
      </c>
      <c r="K96" s="1288">
        <f>22/3.4528*1000</f>
        <v>6372</v>
      </c>
      <c r="L96" s="586" t="s">
        <v>276</v>
      </c>
      <c r="M96" s="173">
        <v>1</v>
      </c>
    </row>
    <row r="97" spans="1:16" ht="18" customHeight="1" x14ac:dyDescent="0.2">
      <c r="A97" s="1360"/>
      <c r="B97" s="1372"/>
      <c r="C97" s="1649"/>
      <c r="D97" s="755"/>
      <c r="E97" s="1672"/>
      <c r="F97" s="1674"/>
      <c r="G97" s="1620"/>
      <c r="H97" s="738"/>
      <c r="I97" s="1668"/>
      <c r="J97" s="315" t="s">
        <v>68</v>
      </c>
      <c r="K97" s="1290">
        <f>53.5/3.4528*1000</f>
        <v>15495</v>
      </c>
      <c r="L97" s="587"/>
      <c r="M97" s="175"/>
    </row>
    <row r="98" spans="1:16" ht="43.5" customHeight="1" x14ac:dyDescent="0.2">
      <c r="A98" s="1360"/>
      <c r="B98" s="1372"/>
      <c r="C98" s="1649"/>
      <c r="D98" s="124"/>
      <c r="E98" s="266" t="s">
        <v>241</v>
      </c>
      <c r="F98" s="776" t="s">
        <v>117</v>
      </c>
      <c r="G98" s="1682"/>
      <c r="H98" s="777"/>
      <c r="I98" s="736"/>
      <c r="J98" s="427" t="s">
        <v>70</v>
      </c>
      <c r="K98" s="1315"/>
      <c r="L98" s="578" t="s">
        <v>276</v>
      </c>
      <c r="M98" s="314">
        <v>1</v>
      </c>
    </row>
    <row r="99" spans="1:16" ht="56.25" customHeight="1" x14ac:dyDescent="0.2">
      <c r="A99" s="101"/>
      <c r="B99" s="613"/>
      <c r="C99" s="155"/>
      <c r="D99" s="660" t="s">
        <v>7</v>
      </c>
      <c r="E99" s="269" t="s">
        <v>214</v>
      </c>
      <c r="F99" s="614"/>
      <c r="G99" s="769" t="s">
        <v>304</v>
      </c>
      <c r="H99" s="719"/>
      <c r="I99" s="737"/>
      <c r="J99" s="70"/>
      <c r="K99" s="1269"/>
      <c r="L99" s="274" t="s">
        <v>261</v>
      </c>
      <c r="M99" s="731" t="s">
        <v>262</v>
      </c>
    </row>
    <row r="100" spans="1:16" ht="13.5" thickBot="1" x14ac:dyDescent="0.25">
      <c r="A100" s="102"/>
      <c r="B100" s="603"/>
      <c r="C100" s="107"/>
      <c r="D100" s="108"/>
      <c r="E100" s="109"/>
      <c r="F100" s="110"/>
      <c r="G100" s="772"/>
      <c r="H100" s="112"/>
      <c r="I100" s="1630" t="s">
        <v>129</v>
      </c>
      <c r="J100" s="1631"/>
      <c r="K100" s="1292">
        <f>SUM(K96:K98)</f>
        <v>21867</v>
      </c>
      <c r="L100" s="1659"/>
      <c r="M100" s="1660"/>
    </row>
    <row r="101" spans="1:16" ht="30" customHeight="1" x14ac:dyDescent="0.2">
      <c r="A101" s="636" t="s">
        <v>5</v>
      </c>
      <c r="B101" s="602" t="s">
        <v>5</v>
      </c>
      <c r="C101" s="1363" t="s">
        <v>32</v>
      </c>
      <c r="D101" s="1639"/>
      <c r="E101" s="1661" t="s">
        <v>338</v>
      </c>
      <c r="F101" s="607"/>
      <c r="G101" s="1669" t="s">
        <v>306</v>
      </c>
      <c r="H101" s="593" t="s">
        <v>30</v>
      </c>
      <c r="I101" s="1632" t="s">
        <v>135</v>
      </c>
      <c r="J101" s="84" t="s">
        <v>27</v>
      </c>
      <c r="K101" s="1291">
        <f>145.2/3.4528*1000</f>
        <v>42053</v>
      </c>
      <c r="L101" s="611" t="s">
        <v>263</v>
      </c>
      <c r="M101" s="682">
        <v>210</v>
      </c>
    </row>
    <row r="102" spans="1:16" ht="13.5" thickBot="1" x14ac:dyDescent="0.25">
      <c r="A102" s="101"/>
      <c r="B102" s="613"/>
      <c r="C102" s="1472"/>
      <c r="D102" s="1640"/>
      <c r="E102" s="1522"/>
      <c r="F102" s="150"/>
      <c r="G102" s="1670"/>
      <c r="H102" s="149"/>
      <c r="I102" s="1662"/>
      <c r="J102" s="730" t="s">
        <v>6</v>
      </c>
      <c r="K102" s="1316">
        <f t="shared" ref="K102:K104" si="2">SUM(K101:K101)</f>
        <v>42053</v>
      </c>
      <c r="L102" s="14"/>
      <c r="M102" s="143"/>
    </row>
    <row r="103" spans="1:16" ht="29.25" customHeight="1" x14ac:dyDescent="0.2">
      <c r="A103" s="1359" t="s">
        <v>5</v>
      </c>
      <c r="B103" s="1373" t="s">
        <v>5</v>
      </c>
      <c r="C103" s="1363" t="s">
        <v>109</v>
      </c>
      <c r="D103" s="1639"/>
      <c r="E103" s="1517" t="s">
        <v>96</v>
      </c>
      <c r="F103" s="1519"/>
      <c r="G103" s="1663" t="s">
        <v>307</v>
      </c>
      <c r="H103" s="593" t="s">
        <v>30</v>
      </c>
      <c r="I103" s="1665" t="s">
        <v>146</v>
      </c>
      <c r="J103" s="11" t="s">
        <v>27</v>
      </c>
      <c r="K103" s="1317">
        <f>300/3.4528*1000</f>
        <v>86886</v>
      </c>
      <c r="L103" s="596" t="s">
        <v>41</v>
      </c>
      <c r="M103" s="486">
        <v>7</v>
      </c>
    </row>
    <row r="104" spans="1:16" ht="13.5" thickBot="1" x14ac:dyDescent="0.25">
      <c r="A104" s="1470"/>
      <c r="B104" s="1471"/>
      <c r="C104" s="1472"/>
      <c r="D104" s="1640"/>
      <c r="E104" s="1518"/>
      <c r="F104" s="1520"/>
      <c r="G104" s="1664"/>
      <c r="H104" s="595"/>
      <c r="I104" s="1666"/>
      <c r="J104" s="730" t="s">
        <v>6</v>
      </c>
      <c r="K104" s="1316">
        <f t="shared" si="2"/>
        <v>86886</v>
      </c>
      <c r="L104" s="14"/>
      <c r="M104" s="143"/>
    </row>
    <row r="105" spans="1:16" ht="13.5" thickBot="1" x14ac:dyDescent="0.25">
      <c r="A105" s="103" t="s">
        <v>5</v>
      </c>
      <c r="B105" s="7" t="s">
        <v>5</v>
      </c>
      <c r="C105" s="1508" t="s">
        <v>8</v>
      </c>
      <c r="D105" s="1508"/>
      <c r="E105" s="1508"/>
      <c r="F105" s="1508"/>
      <c r="G105" s="1508"/>
      <c r="H105" s="1508"/>
      <c r="I105" s="1508"/>
      <c r="J105" s="1509"/>
      <c r="K105" s="1318">
        <f>K104+K100+K94+K90+K86+K71+K51+K40+K102</f>
        <v>6566500</v>
      </c>
      <c r="L105" s="28"/>
      <c r="M105" s="30"/>
    </row>
    <row r="106" spans="1:16" ht="13.5" thickBot="1" x14ac:dyDescent="0.25">
      <c r="A106" s="103" t="s">
        <v>5</v>
      </c>
      <c r="B106" s="7" t="s">
        <v>7</v>
      </c>
      <c r="C106" s="1510" t="s">
        <v>52</v>
      </c>
      <c r="D106" s="1511"/>
      <c r="E106" s="1511"/>
      <c r="F106" s="1511"/>
      <c r="G106" s="1511"/>
      <c r="H106" s="1511"/>
      <c r="I106" s="1511"/>
      <c r="J106" s="1511"/>
      <c r="K106" s="1511"/>
      <c r="L106" s="1511"/>
      <c r="M106" s="1512"/>
    </row>
    <row r="107" spans="1:16" ht="25.5" customHeight="1" x14ac:dyDescent="0.2">
      <c r="A107" s="1359" t="s">
        <v>5</v>
      </c>
      <c r="B107" s="1361" t="s">
        <v>7</v>
      </c>
      <c r="C107" s="1648" t="s">
        <v>5</v>
      </c>
      <c r="D107" s="670"/>
      <c r="E107" s="694" t="s">
        <v>162</v>
      </c>
      <c r="F107" s="695"/>
      <c r="G107" s="696"/>
      <c r="H107" s="697" t="s">
        <v>30</v>
      </c>
      <c r="I107" s="741"/>
      <c r="J107" s="15" t="s">
        <v>27</v>
      </c>
      <c r="K107" s="815"/>
      <c r="L107" s="605"/>
      <c r="M107" s="608"/>
      <c r="P107" s="9"/>
    </row>
    <row r="108" spans="1:16" ht="16.5" customHeight="1" x14ac:dyDescent="0.2">
      <c r="A108" s="1360"/>
      <c r="B108" s="1362"/>
      <c r="C108" s="1649"/>
      <c r="D108" s="610" t="s">
        <v>5</v>
      </c>
      <c r="E108" s="1541" t="s">
        <v>76</v>
      </c>
      <c r="F108" s="764"/>
      <c r="G108" s="1656" t="s">
        <v>309</v>
      </c>
      <c r="H108" s="594"/>
      <c r="I108" s="1651" t="s">
        <v>148</v>
      </c>
      <c r="J108" s="242" t="s">
        <v>27</v>
      </c>
      <c r="K108" s="1274">
        <f>52132+3082</f>
        <v>55214</v>
      </c>
      <c r="L108" s="626" t="s">
        <v>56</v>
      </c>
      <c r="M108" s="61">
        <v>350</v>
      </c>
      <c r="P108" s="9"/>
    </row>
    <row r="109" spans="1:16" ht="36" customHeight="1" x14ac:dyDescent="0.2">
      <c r="A109" s="1360"/>
      <c r="B109" s="1362"/>
      <c r="C109" s="1649"/>
      <c r="D109" s="610"/>
      <c r="E109" s="1541"/>
      <c r="F109" s="764"/>
      <c r="G109" s="1657"/>
      <c r="H109" s="718" t="s">
        <v>30</v>
      </c>
      <c r="I109" s="1652"/>
      <c r="J109" s="742"/>
      <c r="K109" s="1319"/>
      <c r="L109" s="116" t="s">
        <v>57</v>
      </c>
      <c r="M109" s="130">
        <v>300</v>
      </c>
      <c r="P109" s="9"/>
    </row>
    <row r="110" spans="1:16" ht="36" customHeight="1" x14ac:dyDescent="0.2">
      <c r="A110" s="1360"/>
      <c r="B110" s="1362"/>
      <c r="C110" s="1649"/>
      <c r="D110" s="651"/>
      <c r="E110" s="1650"/>
      <c r="F110" s="164"/>
      <c r="G110" s="1658"/>
      <c r="H110" s="612"/>
      <c r="I110" s="1653"/>
      <c r="J110" s="128"/>
      <c r="K110" s="1320"/>
      <c r="L110" s="588" t="s">
        <v>238</v>
      </c>
      <c r="M110" s="133">
        <v>36</v>
      </c>
      <c r="P110" s="9"/>
    </row>
    <row r="111" spans="1:16" ht="33" customHeight="1" x14ac:dyDescent="0.2">
      <c r="A111" s="1360"/>
      <c r="B111" s="1362"/>
      <c r="C111" s="1649"/>
      <c r="D111" s="610" t="s">
        <v>7</v>
      </c>
      <c r="E111" s="1541" t="s">
        <v>79</v>
      </c>
      <c r="F111" s="764"/>
      <c r="G111" s="1643" t="s">
        <v>308</v>
      </c>
      <c r="H111" s="594" t="s">
        <v>30</v>
      </c>
      <c r="I111" s="1654" t="s">
        <v>148</v>
      </c>
      <c r="J111" s="829" t="s">
        <v>27</v>
      </c>
      <c r="K111" s="1321">
        <f>672.4/3.4528*1000</f>
        <v>194741</v>
      </c>
      <c r="L111" s="743" t="s">
        <v>277</v>
      </c>
      <c r="M111" s="744">
        <v>18</v>
      </c>
      <c r="P111" s="9"/>
    </row>
    <row r="112" spans="1:16" ht="31.5" customHeight="1" x14ac:dyDescent="0.2">
      <c r="A112" s="1360"/>
      <c r="B112" s="1362"/>
      <c r="C112" s="1649"/>
      <c r="D112" s="651"/>
      <c r="E112" s="1642"/>
      <c r="F112" s="778"/>
      <c r="G112" s="1644"/>
      <c r="H112" s="719"/>
      <c r="I112" s="1655"/>
      <c r="J112" s="90" t="s">
        <v>97</v>
      </c>
      <c r="K112" s="1322">
        <v>8171</v>
      </c>
      <c r="L112" s="710"/>
      <c r="M112" s="68"/>
      <c r="P112" s="9"/>
    </row>
    <row r="113" spans="1:18" ht="16.5" customHeight="1" x14ac:dyDescent="0.2">
      <c r="A113" s="636"/>
      <c r="B113" s="602"/>
      <c r="C113" s="647"/>
      <c r="D113" s="610" t="s">
        <v>29</v>
      </c>
      <c r="E113" s="1641" t="s">
        <v>55</v>
      </c>
      <c r="F113" s="779"/>
      <c r="G113" s="1643" t="s">
        <v>310</v>
      </c>
      <c r="H113" s="725" t="s">
        <v>30</v>
      </c>
      <c r="I113" s="1628"/>
      <c r="J113" s="242" t="s">
        <v>27</v>
      </c>
      <c r="K113" s="1323">
        <f>5/3.4528*1000</f>
        <v>1448</v>
      </c>
      <c r="L113" s="135" t="s">
        <v>77</v>
      </c>
      <c r="M113" s="137">
        <v>2</v>
      </c>
      <c r="P113" s="9"/>
    </row>
    <row r="114" spans="1:18" ht="14.25" customHeight="1" x14ac:dyDescent="0.2">
      <c r="A114" s="636"/>
      <c r="B114" s="602"/>
      <c r="C114" s="647"/>
      <c r="D114" s="651"/>
      <c r="E114" s="1642"/>
      <c r="F114" s="164"/>
      <c r="G114" s="1644"/>
      <c r="H114" s="612"/>
      <c r="I114" s="1647"/>
      <c r="J114" s="90"/>
      <c r="K114" s="1322"/>
      <c r="L114" s="40" t="s">
        <v>157</v>
      </c>
      <c r="M114" s="68">
        <v>100</v>
      </c>
      <c r="P114" s="9"/>
    </row>
    <row r="115" spans="1:18" ht="29.25" customHeight="1" x14ac:dyDescent="0.2">
      <c r="A115" s="636"/>
      <c r="B115" s="602"/>
      <c r="C115" s="647"/>
      <c r="D115" s="650" t="s">
        <v>37</v>
      </c>
      <c r="E115" s="644" t="s">
        <v>59</v>
      </c>
      <c r="F115" s="163"/>
      <c r="G115" s="780" t="s">
        <v>311</v>
      </c>
      <c r="H115" s="630"/>
      <c r="I115" s="131"/>
      <c r="J115" s="134" t="s">
        <v>27</v>
      </c>
      <c r="K115" s="1324">
        <f>6/3.4528*1000</f>
        <v>1738</v>
      </c>
      <c r="L115" s="626" t="s">
        <v>60</v>
      </c>
      <c r="M115" s="61">
        <v>20</v>
      </c>
      <c r="P115" s="9"/>
    </row>
    <row r="116" spans="1:18" ht="18" customHeight="1" x14ac:dyDescent="0.2">
      <c r="A116" s="636"/>
      <c r="B116" s="602"/>
      <c r="C116" s="647"/>
      <c r="D116" s="650" t="s">
        <v>38</v>
      </c>
      <c r="E116" s="162" t="s">
        <v>78</v>
      </c>
      <c r="F116" s="753"/>
      <c r="G116" s="1643" t="s">
        <v>312</v>
      </c>
      <c r="H116" s="754" t="s">
        <v>30</v>
      </c>
      <c r="I116" s="1720" t="s">
        <v>148</v>
      </c>
      <c r="J116" s="134" t="s">
        <v>27</v>
      </c>
      <c r="K116" s="1325">
        <f>10/3.4528*1000</f>
        <v>2896</v>
      </c>
      <c r="L116" s="39" t="s">
        <v>58</v>
      </c>
      <c r="M116" s="61">
        <v>150</v>
      </c>
      <c r="P116" s="9"/>
    </row>
    <row r="117" spans="1:18" ht="15.75" customHeight="1" x14ac:dyDescent="0.2">
      <c r="A117" s="636"/>
      <c r="B117" s="602"/>
      <c r="C117" s="647"/>
      <c r="D117" s="650" t="s">
        <v>31</v>
      </c>
      <c r="E117" s="652" t="s">
        <v>158</v>
      </c>
      <c r="F117" s="781"/>
      <c r="G117" s="1644"/>
      <c r="H117" s="782"/>
      <c r="I117" s="1652"/>
      <c r="J117" s="134" t="s">
        <v>27</v>
      </c>
      <c r="K117" s="1325">
        <f>80/3.4528*1000</f>
        <v>23170</v>
      </c>
      <c r="L117" s="39" t="s">
        <v>264</v>
      </c>
      <c r="M117" s="589">
        <v>1</v>
      </c>
      <c r="P117" s="9"/>
    </row>
    <row r="118" spans="1:18" ht="27" customHeight="1" x14ac:dyDescent="0.2">
      <c r="A118" s="636"/>
      <c r="B118" s="602"/>
      <c r="C118" s="647"/>
      <c r="D118" s="650" t="s">
        <v>39</v>
      </c>
      <c r="E118" s="652" t="s">
        <v>159</v>
      </c>
      <c r="F118" s="784"/>
      <c r="G118" s="1643" t="s">
        <v>313</v>
      </c>
      <c r="H118" s="785">
        <v>6</v>
      </c>
      <c r="I118" s="1652"/>
      <c r="J118" s="134" t="s">
        <v>27</v>
      </c>
      <c r="K118" s="1325">
        <f>5/3.4528*1000</f>
        <v>1448</v>
      </c>
      <c r="L118" s="39" t="s">
        <v>265</v>
      </c>
      <c r="M118" s="61">
        <v>3</v>
      </c>
      <c r="P118" s="9"/>
    </row>
    <row r="119" spans="1:18" ht="24.75" customHeight="1" x14ac:dyDescent="0.2">
      <c r="A119" s="636"/>
      <c r="B119" s="602"/>
      <c r="C119" s="647"/>
      <c r="D119" s="660" t="s">
        <v>32</v>
      </c>
      <c r="E119" s="269" t="s">
        <v>160</v>
      </c>
      <c r="F119" s="781"/>
      <c r="G119" s="1644"/>
      <c r="H119" s="782"/>
      <c r="I119" s="752"/>
      <c r="J119" s="691" t="s">
        <v>27</v>
      </c>
      <c r="K119" s="1282">
        <f>7.998/3.4528*1000</f>
        <v>2316</v>
      </c>
      <c r="L119" s="56" t="s">
        <v>329</v>
      </c>
      <c r="M119" s="590">
        <v>100</v>
      </c>
      <c r="P119" s="9"/>
    </row>
    <row r="120" spans="1:18" ht="39.75" customHeight="1" x14ac:dyDescent="0.2">
      <c r="A120" s="101"/>
      <c r="B120" s="613"/>
      <c r="C120" s="647"/>
      <c r="D120" s="714" t="s">
        <v>109</v>
      </c>
      <c r="E120" s="712" t="s">
        <v>203</v>
      </c>
      <c r="F120" s="713"/>
      <c r="G120" s="865" t="s">
        <v>314</v>
      </c>
      <c r="H120" s="690"/>
      <c r="I120" s="745"/>
      <c r="J120" s="219" t="s">
        <v>27</v>
      </c>
      <c r="K120" s="1326">
        <f>32727-2239</f>
        <v>30488</v>
      </c>
      <c r="L120" s="583" t="s">
        <v>266</v>
      </c>
      <c r="M120" s="683">
        <v>100</v>
      </c>
      <c r="O120" s="826"/>
    </row>
    <row r="121" spans="1:18" ht="13.5" thickBot="1" x14ac:dyDescent="0.25">
      <c r="A121" s="636"/>
      <c r="B121" s="602"/>
      <c r="C121" s="107"/>
      <c r="D121" s="108"/>
      <c r="E121" s="125"/>
      <c r="F121" s="110"/>
      <c r="G121" s="111"/>
      <c r="H121" s="126"/>
      <c r="I121" s="1630" t="s">
        <v>129</v>
      </c>
      <c r="J121" s="1631"/>
      <c r="K121" s="1327">
        <f>SUM(K108:K120)</f>
        <v>321630</v>
      </c>
      <c r="L121" s="591"/>
      <c r="M121" s="592"/>
      <c r="P121" s="9"/>
    </row>
    <row r="122" spans="1:18" ht="13.5" thickBot="1" x14ac:dyDescent="0.25">
      <c r="A122" s="104" t="s">
        <v>5</v>
      </c>
      <c r="B122" s="7" t="s">
        <v>7</v>
      </c>
      <c r="C122" s="1508" t="s">
        <v>8</v>
      </c>
      <c r="D122" s="1508"/>
      <c r="E122" s="1508"/>
      <c r="F122" s="1508"/>
      <c r="G122" s="1508"/>
      <c r="H122" s="1508"/>
      <c r="I122" s="1508"/>
      <c r="J122" s="1509"/>
      <c r="K122" s="1328">
        <f>K121</f>
        <v>321630</v>
      </c>
      <c r="L122" s="1526"/>
      <c r="M122" s="1528"/>
    </row>
    <row r="123" spans="1:18" ht="13.5" thickBot="1" x14ac:dyDescent="0.25">
      <c r="A123" s="103" t="s">
        <v>5</v>
      </c>
      <c r="B123" s="7" t="s">
        <v>29</v>
      </c>
      <c r="C123" s="1510" t="s">
        <v>53</v>
      </c>
      <c r="D123" s="1511"/>
      <c r="E123" s="1511"/>
      <c r="F123" s="1511"/>
      <c r="G123" s="1511"/>
      <c r="H123" s="1511"/>
      <c r="I123" s="1511"/>
      <c r="J123" s="1511"/>
      <c r="K123" s="1511"/>
      <c r="L123" s="1511"/>
      <c r="M123" s="1512"/>
    </row>
    <row r="124" spans="1:18" ht="26.25" customHeight="1" x14ac:dyDescent="0.2">
      <c r="A124" s="1359" t="s">
        <v>5</v>
      </c>
      <c r="B124" s="1361" t="s">
        <v>29</v>
      </c>
      <c r="C124" s="1537" t="s">
        <v>5</v>
      </c>
      <c r="D124" s="1537"/>
      <c r="E124" s="1540" t="s">
        <v>61</v>
      </c>
      <c r="F124" s="1519"/>
      <c r="G124" s="1619" t="s">
        <v>315</v>
      </c>
      <c r="H124" s="1474" t="s">
        <v>30</v>
      </c>
      <c r="I124" s="1632" t="s">
        <v>135</v>
      </c>
      <c r="J124" s="746" t="s">
        <v>27</v>
      </c>
      <c r="K124" s="1329">
        <f>2146.4/3.4528*1000</f>
        <v>621640</v>
      </c>
      <c r="L124" s="1533" t="s">
        <v>125</v>
      </c>
      <c r="M124" s="503">
        <v>3.7</v>
      </c>
      <c r="P124" s="9"/>
    </row>
    <row r="125" spans="1:18" ht="23.25" customHeight="1" x14ac:dyDescent="0.2">
      <c r="A125" s="1360"/>
      <c r="B125" s="1362"/>
      <c r="C125" s="1538"/>
      <c r="D125" s="1538"/>
      <c r="E125" s="1541"/>
      <c r="F125" s="1543"/>
      <c r="G125" s="1620"/>
      <c r="H125" s="1475"/>
      <c r="I125" s="1633"/>
      <c r="J125" s="302"/>
      <c r="K125" s="1310"/>
      <c r="L125" s="1349"/>
      <c r="M125" s="693"/>
      <c r="P125" s="9"/>
    </row>
    <row r="126" spans="1:18" ht="15.75" customHeight="1" thickBot="1" x14ac:dyDescent="0.25">
      <c r="A126" s="1470"/>
      <c r="B126" s="1536"/>
      <c r="C126" s="1539"/>
      <c r="D126" s="1539"/>
      <c r="E126" s="1542"/>
      <c r="F126" s="1520"/>
      <c r="G126" s="1621"/>
      <c r="H126" s="1476"/>
      <c r="I126" s="1634"/>
      <c r="J126" s="88" t="s">
        <v>6</v>
      </c>
      <c r="K126" s="1330">
        <f>SUM(K124:K125)</f>
        <v>621640</v>
      </c>
      <c r="L126" s="1534"/>
      <c r="M126" s="609"/>
      <c r="P126" s="9"/>
    </row>
    <row r="127" spans="1:18" ht="41.25" customHeight="1" x14ac:dyDescent="0.2">
      <c r="A127" s="1359" t="s">
        <v>5</v>
      </c>
      <c r="B127" s="1361" t="s">
        <v>29</v>
      </c>
      <c r="C127" s="1537" t="s">
        <v>7</v>
      </c>
      <c r="D127" s="1537"/>
      <c r="E127" s="1540" t="s">
        <v>278</v>
      </c>
      <c r="F127" s="1519"/>
      <c r="G127" s="1635" t="s">
        <v>316</v>
      </c>
      <c r="H127" s="1474" t="s">
        <v>30</v>
      </c>
      <c r="I127" s="1632" t="s">
        <v>136</v>
      </c>
      <c r="J127" s="820" t="s">
        <v>70</v>
      </c>
      <c r="K127" s="1329">
        <v>1880</v>
      </c>
      <c r="L127" s="1533" t="s">
        <v>279</v>
      </c>
      <c r="M127" s="825">
        <v>10</v>
      </c>
      <c r="P127" s="9"/>
      <c r="R127" s="826"/>
    </row>
    <row r="128" spans="1:18" ht="15.75" customHeight="1" thickBot="1" x14ac:dyDescent="0.25">
      <c r="A128" s="1470"/>
      <c r="B128" s="1536"/>
      <c r="C128" s="1539"/>
      <c r="D128" s="1539"/>
      <c r="E128" s="1542"/>
      <c r="F128" s="1520"/>
      <c r="G128" s="1636"/>
      <c r="H128" s="1476"/>
      <c r="I128" s="1634"/>
      <c r="J128" s="88" t="s">
        <v>6</v>
      </c>
      <c r="K128" s="1330">
        <f>SUM(K127:K127)</f>
        <v>1880</v>
      </c>
      <c r="L128" s="1534"/>
      <c r="M128" s="819"/>
      <c r="P128" s="9"/>
    </row>
    <row r="129" spans="1:16" ht="13.5" thickBot="1" x14ac:dyDescent="0.25">
      <c r="A129" s="104" t="s">
        <v>5</v>
      </c>
      <c r="B129" s="7" t="s">
        <v>29</v>
      </c>
      <c r="C129" s="1508" t="s">
        <v>8</v>
      </c>
      <c r="D129" s="1508"/>
      <c r="E129" s="1508"/>
      <c r="F129" s="1508"/>
      <c r="G129" s="1508"/>
      <c r="H129" s="1508"/>
      <c r="I129" s="1508"/>
      <c r="J129" s="1509"/>
      <c r="K129" s="1331">
        <f>K126+K128</f>
        <v>623520</v>
      </c>
      <c r="L129" s="1526"/>
      <c r="M129" s="1528"/>
    </row>
    <row r="130" spans="1:16" ht="14.25" customHeight="1" thickBot="1" x14ac:dyDescent="0.25">
      <c r="A130" s="103" t="s">
        <v>5</v>
      </c>
      <c r="B130" s="7" t="s">
        <v>37</v>
      </c>
      <c r="C130" s="1529" t="s">
        <v>54</v>
      </c>
      <c r="D130" s="1530"/>
      <c r="E130" s="1530"/>
      <c r="F130" s="1530"/>
      <c r="G130" s="1530"/>
      <c r="H130" s="1530"/>
      <c r="I130" s="1530"/>
      <c r="J130" s="1530"/>
      <c r="K130" s="1530"/>
      <c r="L130" s="1530"/>
      <c r="M130" s="1531"/>
    </row>
    <row r="131" spans="1:16" ht="23.25" customHeight="1" x14ac:dyDescent="0.2">
      <c r="A131" s="1559" t="s">
        <v>5</v>
      </c>
      <c r="B131" s="1561" t="s">
        <v>37</v>
      </c>
      <c r="C131" s="1624" t="s">
        <v>5</v>
      </c>
      <c r="D131" s="1645"/>
      <c r="E131" s="1563" t="s">
        <v>62</v>
      </c>
      <c r="F131" s="1543"/>
      <c r="G131" s="1637" t="s">
        <v>317</v>
      </c>
      <c r="H131" s="1615" t="s">
        <v>30</v>
      </c>
      <c r="I131" s="1627" t="s">
        <v>135</v>
      </c>
      <c r="J131" s="18" t="s">
        <v>27</v>
      </c>
      <c r="K131" s="1332">
        <f>300/3.4528*1000</f>
        <v>86886</v>
      </c>
      <c r="L131" s="845" t="s">
        <v>63</v>
      </c>
      <c r="M131" s="847">
        <v>285</v>
      </c>
    </row>
    <row r="132" spans="1:16" ht="17.25" customHeight="1" thickBot="1" x14ac:dyDescent="0.25">
      <c r="A132" s="1560"/>
      <c r="B132" s="1562"/>
      <c r="C132" s="1625"/>
      <c r="D132" s="1646"/>
      <c r="E132" s="1518"/>
      <c r="F132" s="1520"/>
      <c r="G132" s="1638"/>
      <c r="H132" s="1616"/>
      <c r="I132" s="1629"/>
      <c r="J132" s="78" t="s">
        <v>6</v>
      </c>
      <c r="K132" s="1333">
        <f>K131</f>
        <v>86886</v>
      </c>
      <c r="L132" s="846"/>
      <c r="M132" s="68"/>
    </row>
    <row r="133" spans="1:16" ht="13.5" customHeight="1" x14ac:dyDescent="0.2">
      <c r="A133" s="1360" t="s">
        <v>5</v>
      </c>
      <c r="B133" s="1362" t="s">
        <v>37</v>
      </c>
      <c r="C133" s="1557" t="s">
        <v>7</v>
      </c>
      <c r="D133" s="1617"/>
      <c r="E133" s="1455" t="s">
        <v>92</v>
      </c>
      <c r="F133" s="1524"/>
      <c r="G133" s="1619" t="s">
        <v>318</v>
      </c>
      <c r="H133" s="1368" t="s">
        <v>30</v>
      </c>
      <c r="I133" s="1627" t="s">
        <v>135</v>
      </c>
      <c r="J133" s="748" t="s">
        <v>27</v>
      </c>
      <c r="K133" s="1329">
        <f>20.3/3.4528*1000</f>
        <v>5879</v>
      </c>
      <c r="L133" s="596" t="s">
        <v>94</v>
      </c>
      <c r="M133" s="608">
        <v>44</v>
      </c>
      <c r="P133" s="9"/>
    </row>
    <row r="134" spans="1:16" ht="12.75" customHeight="1" x14ac:dyDescent="0.2">
      <c r="A134" s="1360"/>
      <c r="B134" s="1362"/>
      <c r="C134" s="1557"/>
      <c r="D134" s="1617"/>
      <c r="E134" s="1455"/>
      <c r="F134" s="1524"/>
      <c r="G134" s="1620"/>
      <c r="H134" s="1368"/>
      <c r="I134" s="1628"/>
      <c r="J134" s="70"/>
      <c r="K134" s="1334"/>
      <c r="L134" s="20" t="s">
        <v>93</v>
      </c>
      <c r="M134" s="69">
        <v>3</v>
      </c>
      <c r="P134" s="9"/>
    </row>
    <row r="135" spans="1:16" ht="18.75" customHeight="1" thickBot="1" x14ac:dyDescent="0.25">
      <c r="A135" s="1470"/>
      <c r="B135" s="1536"/>
      <c r="C135" s="1558"/>
      <c r="D135" s="1618"/>
      <c r="E135" s="1492"/>
      <c r="F135" s="1525"/>
      <c r="G135" s="1621"/>
      <c r="H135" s="1532"/>
      <c r="I135" s="1629"/>
      <c r="J135" s="78" t="s">
        <v>6</v>
      </c>
      <c r="K135" s="1330">
        <f>K133</f>
        <v>5879</v>
      </c>
      <c r="L135" s="21" t="s">
        <v>137</v>
      </c>
      <c r="M135" s="609">
        <v>230</v>
      </c>
      <c r="P135" s="9"/>
    </row>
    <row r="136" spans="1:16" ht="13.5" thickBot="1" x14ac:dyDescent="0.25">
      <c r="A136" s="637" t="s">
        <v>5</v>
      </c>
      <c r="B136" s="603" t="s">
        <v>37</v>
      </c>
      <c r="C136" s="1600" t="s">
        <v>8</v>
      </c>
      <c r="D136" s="1508"/>
      <c r="E136" s="1508"/>
      <c r="F136" s="1508"/>
      <c r="G136" s="1508"/>
      <c r="H136" s="1508"/>
      <c r="I136" s="1508"/>
      <c r="J136" s="1509"/>
      <c r="K136" s="1328">
        <f t="shared" ref="K136" si="3">K135+K132</f>
        <v>92765</v>
      </c>
      <c r="L136" s="138"/>
      <c r="M136" s="684"/>
    </row>
    <row r="137" spans="1:16" ht="13.5" thickBot="1" x14ac:dyDescent="0.25">
      <c r="A137" s="103" t="s">
        <v>5</v>
      </c>
      <c r="B137" s="7" t="s">
        <v>80</v>
      </c>
      <c r="C137" s="1529" t="s">
        <v>81</v>
      </c>
      <c r="D137" s="1530"/>
      <c r="E137" s="1530"/>
      <c r="F137" s="1530"/>
      <c r="G137" s="1530"/>
      <c r="H137" s="1530"/>
      <c r="I137" s="1530"/>
      <c r="J137" s="1530"/>
      <c r="K137" s="1626"/>
      <c r="L137" s="1530"/>
      <c r="M137" s="1531"/>
    </row>
    <row r="138" spans="1:16" ht="14.1" customHeight="1" x14ac:dyDescent="0.2">
      <c r="A138" s="105" t="s">
        <v>5</v>
      </c>
      <c r="B138" s="606" t="s">
        <v>38</v>
      </c>
      <c r="C138" s="604" t="s">
        <v>5</v>
      </c>
      <c r="D138" s="94"/>
      <c r="E138" s="58" t="s">
        <v>86</v>
      </c>
      <c r="F138" s="857"/>
      <c r="G138" s="874" t="s">
        <v>324</v>
      </c>
      <c r="H138" s="1611">
        <v>6</v>
      </c>
      <c r="I138" s="597"/>
      <c r="J138" s="92" t="s">
        <v>97</v>
      </c>
      <c r="K138" s="666"/>
      <c r="L138" s="821"/>
      <c r="M138" s="822"/>
    </row>
    <row r="139" spans="1:16" ht="15.75" customHeight="1" x14ac:dyDescent="0.2">
      <c r="A139" s="635"/>
      <c r="B139" s="599"/>
      <c r="C139" s="600"/>
      <c r="D139" s="95" t="s">
        <v>5</v>
      </c>
      <c r="E139" s="657" t="s">
        <v>88</v>
      </c>
      <c r="F139" s="868"/>
      <c r="G139" s="873" t="s">
        <v>319</v>
      </c>
      <c r="H139" s="1612"/>
      <c r="I139" s="1614" t="s">
        <v>136</v>
      </c>
      <c r="J139" s="92" t="s">
        <v>27</v>
      </c>
      <c r="K139" s="1323">
        <f>634/3.4528*1000</f>
        <v>183619</v>
      </c>
      <c r="L139" s="43" t="s">
        <v>225</v>
      </c>
      <c r="M139" s="61">
        <v>7</v>
      </c>
    </row>
    <row r="140" spans="1:16" ht="18.75" customHeight="1" x14ac:dyDescent="0.2">
      <c r="A140" s="635"/>
      <c r="B140" s="599"/>
      <c r="C140" s="600"/>
      <c r="D140" s="643" t="s">
        <v>7</v>
      </c>
      <c r="E140" s="601" t="s">
        <v>89</v>
      </c>
      <c r="F140" s="871"/>
      <c r="G140" s="872" t="s">
        <v>320</v>
      </c>
      <c r="H140" s="1612"/>
      <c r="I140" s="1614"/>
      <c r="J140" s="92" t="s">
        <v>27</v>
      </c>
      <c r="K140" s="1323">
        <f>705/3.4528*1000</f>
        <v>204182</v>
      </c>
      <c r="L140" s="43" t="s">
        <v>224</v>
      </c>
      <c r="M140" s="61">
        <v>6</v>
      </c>
    </row>
    <row r="141" spans="1:16" ht="14.1" customHeight="1" x14ac:dyDescent="0.2">
      <c r="A141" s="635"/>
      <c r="B141" s="599"/>
      <c r="C141" s="600"/>
      <c r="D141" s="95" t="s">
        <v>29</v>
      </c>
      <c r="E141" s="657" t="s">
        <v>90</v>
      </c>
      <c r="F141" s="871"/>
      <c r="G141" s="872" t="s">
        <v>322</v>
      </c>
      <c r="H141" s="1612"/>
      <c r="I141" s="1614"/>
      <c r="J141" s="92" t="s">
        <v>27</v>
      </c>
      <c r="K141" s="1323">
        <f>231/3.4528*1000</f>
        <v>66902</v>
      </c>
      <c r="L141" s="43" t="s">
        <v>225</v>
      </c>
      <c r="M141" s="61">
        <v>8</v>
      </c>
    </row>
    <row r="142" spans="1:16" s="32" customFormat="1" ht="14.1" customHeight="1" x14ac:dyDescent="0.2">
      <c r="A142" s="636"/>
      <c r="B142" s="602"/>
      <c r="C142" s="46"/>
      <c r="D142" s="96" t="s">
        <v>37</v>
      </c>
      <c r="E142" s="657" t="s">
        <v>91</v>
      </c>
      <c r="F142" s="869"/>
      <c r="G142" s="870" t="s">
        <v>321</v>
      </c>
      <c r="H142" s="1612"/>
      <c r="I142" s="1614"/>
      <c r="J142" s="18" t="s">
        <v>27</v>
      </c>
      <c r="K142" s="1285">
        <f>3040199-106990</f>
        <v>2933209</v>
      </c>
      <c r="L142" s="43" t="s">
        <v>225</v>
      </c>
      <c r="M142" s="685">
        <v>96</v>
      </c>
    </row>
    <row r="143" spans="1:16" ht="12.75" customHeight="1" x14ac:dyDescent="0.2">
      <c r="A143" s="1559"/>
      <c r="B143" s="1561"/>
      <c r="C143" s="1557"/>
      <c r="D143" s="1622" t="s">
        <v>38</v>
      </c>
      <c r="E143" s="1563" t="s">
        <v>87</v>
      </c>
      <c r="F143" s="855"/>
      <c r="G143" s="866" t="s">
        <v>323</v>
      </c>
      <c r="H143" s="1612"/>
      <c r="I143" s="597"/>
      <c r="J143" s="92" t="s">
        <v>27</v>
      </c>
      <c r="K143" s="1335">
        <f>9.301/3.4528*1000</f>
        <v>2694</v>
      </c>
      <c r="L143" s="824" t="s">
        <v>224</v>
      </c>
      <c r="M143" s="61">
        <v>1</v>
      </c>
    </row>
    <row r="144" spans="1:16" ht="14.25" customHeight="1" thickBot="1" x14ac:dyDescent="0.25">
      <c r="A144" s="1560"/>
      <c r="B144" s="1562"/>
      <c r="C144" s="1558"/>
      <c r="D144" s="1623"/>
      <c r="E144" s="1518"/>
      <c r="F144" s="856"/>
      <c r="G144" s="867"/>
      <c r="H144" s="1613"/>
      <c r="I144" s="598"/>
      <c r="J144" s="78" t="s">
        <v>6</v>
      </c>
      <c r="K144" s="1336">
        <f>SUM(K138:K143)</f>
        <v>3390606</v>
      </c>
      <c r="L144" s="21"/>
      <c r="M144" s="823"/>
      <c r="P144" s="9"/>
    </row>
    <row r="145" spans="1:33" ht="14.25" customHeight="1" thickBot="1" x14ac:dyDescent="0.25">
      <c r="A145" s="637" t="s">
        <v>5</v>
      </c>
      <c r="B145" s="603" t="s">
        <v>38</v>
      </c>
      <c r="C145" s="1570" t="s">
        <v>8</v>
      </c>
      <c r="D145" s="1535"/>
      <c r="E145" s="1535"/>
      <c r="F145" s="1535"/>
      <c r="G145" s="1535"/>
      <c r="H145" s="1535"/>
      <c r="I145" s="1535"/>
      <c r="J145" s="1509"/>
      <c r="K145" s="1331">
        <f>K144</f>
        <v>3390606</v>
      </c>
      <c r="L145" s="1526"/>
      <c r="M145" s="1528"/>
    </row>
    <row r="146" spans="1:33" ht="14.25" customHeight="1" thickBot="1" x14ac:dyDescent="0.25">
      <c r="A146" s="104" t="s">
        <v>5</v>
      </c>
      <c r="B146" s="1544" t="s">
        <v>9</v>
      </c>
      <c r="C146" s="1545"/>
      <c r="D146" s="1545"/>
      <c r="E146" s="1545"/>
      <c r="F146" s="1545"/>
      <c r="G146" s="1545"/>
      <c r="H146" s="1545"/>
      <c r="I146" s="1545"/>
      <c r="J146" s="1546"/>
      <c r="K146" s="1337">
        <f>SUM(K105,K122,K129,K136,K145)</f>
        <v>10995021</v>
      </c>
      <c r="L146" s="1547"/>
      <c r="M146" s="1549"/>
    </row>
    <row r="147" spans="1:33" ht="14.25" customHeight="1" thickBot="1" x14ac:dyDescent="0.25">
      <c r="A147" s="55" t="s">
        <v>39</v>
      </c>
      <c r="B147" s="1550" t="s">
        <v>95</v>
      </c>
      <c r="C147" s="1551"/>
      <c r="D147" s="1551"/>
      <c r="E147" s="1551"/>
      <c r="F147" s="1551"/>
      <c r="G147" s="1551"/>
      <c r="H147" s="1551"/>
      <c r="I147" s="1551"/>
      <c r="J147" s="1552"/>
      <c r="K147" s="1338">
        <f t="shared" ref="K147" si="4">SUM(K146)</f>
        <v>10995021</v>
      </c>
      <c r="L147" s="1553"/>
      <c r="M147" s="1555"/>
    </row>
    <row r="148" spans="1:33" s="17" customFormat="1" ht="14.25" customHeight="1" x14ac:dyDescent="0.2">
      <c r="A148" s="1608" t="s">
        <v>357</v>
      </c>
      <c r="B148" s="1608"/>
      <c r="C148" s="1608"/>
      <c r="D148" s="1608"/>
      <c r="E148" s="1608"/>
      <c r="F148" s="1608"/>
      <c r="G148" s="1608"/>
      <c r="H148" s="1608"/>
      <c r="I148" s="1608"/>
      <c r="J148" s="1608"/>
      <c r="K148" s="1608"/>
      <c r="L148" s="1608"/>
      <c r="M148" s="1608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</row>
    <row r="149" spans="1:33" s="17" customFormat="1" ht="14.25" customHeight="1" x14ac:dyDescent="0.2">
      <c r="A149" s="1595"/>
      <c r="B149" s="1595"/>
      <c r="C149" s="1595"/>
      <c r="D149" s="1595"/>
      <c r="E149" s="1595"/>
      <c r="F149" s="1595"/>
      <c r="G149" s="1595"/>
      <c r="H149" s="1595"/>
      <c r="I149" s="1595"/>
      <c r="J149" s="1595"/>
      <c r="K149" s="1595"/>
      <c r="L149" s="41"/>
      <c r="M149" s="41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33" s="17" customFormat="1" ht="14.25" customHeight="1" thickBot="1" x14ac:dyDescent="0.25">
      <c r="A150" s="1596" t="s">
        <v>13</v>
      </c>
      <c r="B150" s="1596"/>
      <c r="C150" s="1596"/>
      <c r="D150" s="1596"/>
      <c r="E150" s="1596"/>
      <c r="F150" s="1596"/>
      <c r="G150" s="1596"/>
      <c r="H150" s="1596"/>
      <c r="I150" s="1596"/>
      <c r="J150" s="1596"/>
      <c r="K150" s="1596"/>
      <c r="L150" s="4"/>
      <c r="M150" s="4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33" ht="49.5" customHeight="1" thickBot="1" x14ac:dyDescent="0.25">
      <c r="A151" s="1597" t="s">
        <v>10</v>
      </c>
      <c r="B151" s="1598"/>
      <c r="C151" s="1598"/>
      <c r="D151" s="1598"/>
      <c r="E151" s="1598"/>
      <c r="F151" s="1598"/>
      <c r="G151" s="1598"/>
      <c r="H151" s="1598"/>
      <c r="I151" s="1598"/>
      <c r="J151" s="1599"/>
      <c r="K151" s="692" t="s">
        <v>271</v>
      </c>
    </row>
    <row r="152" spans="1:33" ht="14.25" customHeight="1" x14ac:dyDescent="0.2">
      <c r="A152" s="1588" t="s">
        <v>14</v>
      </c>
      <c r="B152" s="1589"/>
      <c r="C152" s="1589"/>
      <c r="D152" s="1589"/>
      <c r="E152" s="1589"/>
      <c r="F152" s="1589"/>
      <c r="G152" s="1589"/>
      <c r="H152" s="1589"/>
      <c r="I152" s="1589"/>
      <c r="J152" s="1590"/>
      <c r="K152" s="1339">
        <f>K153+K160+K159</f>
        <v>10247355</v>
      </c>
      <c r="L152" s="35"/>
    </row>
    <row r="153" spans="1:33" ht="14.25" customHeight="1" x14ac:dyDescent="0.2">
      <c r="A153" s="1350" t="s">
        <v>327</v>
      </c>
      <c r="B153" s="1351"/>
      <c r="C153" s="1351"/>
      <c r="D153" s="1351"/>
      <c r="E153" s="1351"/>
      <c r="F153" s="1351"/>
      <c r="G153" s="1351"/>
      <c r="H153" s="1609"/>
      <c r="I153" s="1609"/>
      <c r="J153" s="1610"/>
      <c r="K153" s="1340">
        <f>K154+K155+K156+K157+K158</f>
        <v>10072936</v>
      </c>
      <c r="L153" s="35"/>
    </row>
    <row r="154" spans="1:33" ht="14.25" customHeight="1" x14ac:dyDescent="0.2">
      <c r="A154" s="1591" t="s">
        <v>19</v>
      </c>
      <c r="B154" s="1592"/>
      <c r="C154" s="1592"/>
      <c r="D154" s="1592"/>
      <c r="E154" s="1592"/>
      <c r="F154" s="1592"/>
      <c r="G154" s="1592"/>
      <c r="H154" s="1592"/>
      <c r="I154" s="1592"/>
      <c r="J154" s="1593"/>
      <c r="K154" s="1341">
        <f>SUMIF(J18:J147,"SB",K18:K147)</f>
        <v>9970841</v>
      </c>
      <c r="L154" s="49"/>
    </row>
    <row r="155" spans="1:33" x14ac:dyDescent="0.2">
      <c r="A155" s="1565" t="s">
        <v>333</v>
      </c>
      <c r="B155" s="1568"/>
      <c r="C155" s="1568"/>
      <c r="D155" s="1568"/>
      <c r="E155" s="1568"/>
      <c r="F155" s="1568"/>
      <c r="G155" s="1568"/>
      <c r="H155" s="1568"/>
      <c r="I155" s="1568"/>
      <c r="J155" s="1569"/>
      <c r="K155" s="1341">
        <f>SUMIF(J18:J147,"SB(SP)",K18:K147)</f>
        <v>34523</v>
      </c>
    </row>
    <row r="156" spans="1:33" x14ac:dyDescent="0.2">
      <c r="A156" s="1565" t="s">
        <v>115</v>
      </c>
      <c r="B156" s="1566"/>
      <c r="C156" s="1566"/>
      <c r="D156" s="1566"/>
      <c r="E156" s="1566"/>
      <c r="F156" s="1566"/>
      <c r="G156" s="1566"/>
      <c r="H156" s="1566"/>
      <c r="I156" s="1566"/>
      <c r="J156" s="1567"/>
      <c r="K156" s="1341">
        <f>SUMIF(J15:J144,"SB(VR)",K15:K144)</f>
        <v>59401</v>
      </c>
      <c r="L156" s="37"/>
      <c r="M156" s="1"/>
      <c r="N156" s="1"/>
      <c r="O156" s="1"/>
      <c r="P156" s="1"/>
    </row>
    <row r="157" spans="1:33" x14ac:dyDescent="0.2">
      <c r="A157" s="1565" t="s">
        <v>21</v>
      </c>
      <c r="B157" s="1568"/>
      <c r="C157" s="1568"/>
      <c r="D157" s="1568"/>
      <c r="E157" s="1568"/>
      <c r="F157" s="1568"/>
      <c r="G157" s="1568"/>
      <c r="H157" s="1568"/>
      <c r="I157" s="1568"/>
      <c r="J157" s="1569"/>
      <c r="K157" s="1341">
        <f>SUMIF(J15:J144,"SB(P)",K15:K144)</f>
        <v>0</v>
      </c>
    </row>
    <row r="158" spans="1:33" x14ac:dyDescent="0.2">
      <c r="A158" s="1565" t="s">
        <v>98</v>
      </c>
      <c r="B158" s="1568"/>
      <c r="C158" s="1568"/>
      <c r="D158" s="1568"/>
      <c r="E158" s="1568"/>
      <c r="F158" s="1568"/>
      <c r="G158" s="1568"/>
      <c r="H158" s="1568"/>
      <c r="I158" s="1568"/>
      <c r="J158" s="1569"/>
      <c r="K158" s="1341">
        <f>SUMIF(J17:J147,"SB(L)",K17:K147)</f>
        <v>8171</v>
      </c>
      <c r="L158" s="37"/>
      <c r="M158" s="1"/>
      <c r="N158" s="1"/>
      <c r="O158" s="1"/>
      <c r="P158" s="1"/>
    </row>
    <row r="159" spans="1:33" x14ac:dyDescent="0.2">
      <c r="A159" s="1346" t="s">
        <v>334</v>
      </c>
      <c r="B159" s="1347"/>
      <c r="C159" s="1347"/>
      <c r="D159" s="1347"/>
      <c r="E159" s="1347"/>
      <c r="F159" s="1347"/>
      <c r="G159" s="1347"/>
      <c r="H159" s="1347"/>
      <c r="I159" s="1347"/>
      <c r="J159" s="1348"/>
      <c r="K159" s="1342">
        <f>SUMIF(J18:J148,"SB(SPL)",K18:K148)</f>
        <v>2164</v>
      </c>
      <c r="L159" s="37"/>
      <c r="M159" s="1"/>
      <c r="N159" s="1"/>
      <c r="O159" s="1"/>
      <c r="P159" s="1"/>
    </row>
    <row r="160" spans="1:33" x14ac:dyDescent="0.2">
      <c r="A160" s="1346" t="s">
        <v>282</v>
      </c>
      <c r="B160" s="1353"/>
      <c r="C160" s="1353"/>
      <c r="D160" s="1353"/>
      <c r="E160" s="1353"/>
      <c r="F160" s="1353"/>
      <c r="G160" s="1353"/>
      <c r="H160" s="1353"/>
      <c r="I160" s="1353"/>
      <c r="J160" s="1354"/>
      <c r="K160" s="1342">
        <f>SUMIF(J18:J148,"SB(VRL)",K18:K148)</f>
        <v>172255</v>
      </c>
      <c r="L160" s="37"/>
      <c r="M160" s="1"/>
      <c r="N160" s="1"/>
      <c r="O160" s="1"/>
      <c r="P160" s="1"/>
    </row>
    <row r="161" spans="1:13" x14ac:dyDescent="0.2">
      <c r="A161" s="1582" t="s">
        <v>15</v>
      </c>
      <c r="B161" s="1583"/>
      <c r="C161" s="1583"/>
      <c r="D161" s="1583"/>
      <c r="E161" s="1583"/>
      <c r="F161" s="1583"/>
      <c r="G161" s="1583"/>
      <c r="H161" s="1583"/>
      <c r="I161" s="1583"/>
      <c r="J161" s="1584"/>
      <c r="K161" s="1343">
        <f ca="1">SUM(K162:K165)</f>
        <v>747666</v>
      </c>
    </row>
    <row r="162" spans="1:13" x14ac:dyDescent="0.2">
      <c r="A162" s="1576" t="s">
        <v>22</v>
      </c>
      <c r="B162" s="1577"/>
      <c r="C162" s="1577"/>
      <c r="D162" s="1577"/>
      <c r="E162" s="1577"/>
      <c r="F162" s="1577"/>
      <c r="G162" s="1577"/>
      <c r="H162" s="1577"/>
      <c r="I162" s="1577"/>
      <c r="J162" s="1578"/>
      <c r="K162" s="1341">
        <f>SUMIF(J18:J147,"ES",K18:K147)</f>
        <v>131782</v>
      </c>
    </row>
    <row r="163" spans="1:13" x14ac:dyDescent="0.2">
      <c r="A163" s="1579" t="s">
        <v>23</v>
      </c>
      <c r="B163" s="1580"/>
      <c r="C163" s="1580"/>
      <c r="D163" s="1580"/>
      <c r="E163" s="1580"/>
      <c r="F163" s="1580"/>
      <c r="G163" s="1580"/>
      <c r="H163" s="1580"/>
      <c r="I163" s="1580"/>
      <c r="J163" s="1581"/>
      <c r="K163" s="1341">
        <f ca="1">SUMIF(J15:J147,"KPP",K18:K147)</f>
        <v>0</v>
      </c>
    </row>
    <row r="164" spans="1:13" x14ac:dyDescent="0.2">
      <c r="A164" s="1565" t="s">
        <v>24</v>
      </c>
      <c r="B164" s="1568"/>
      <c r="C164" s="1568"/>
      <c r="D164" s="1568"/>
      <c r="E164" s="1568"/>
      <c r="F164" s="1568"/>
      <c r="G164" s="1568"/>
      <c r="H164" s="1568"/>
      <c r="I164" s="1568"/>
      <c r="J164" s="1569"/>
      <c r="K164" s="1341">
        <f>SUMIF(J18:J147,"LRVB",K18:K147)</f>
        <v>23758</v>
      </c>
    </row>
    <row r="165" spans="1:13" x14ac:dyDescent="0.2">
      <c r="A165" s="1565" t="s">
        <v>25</v>
      </c>
      <c r="B165" s="1568"/>
      <c r="C165" s="1568"/>
      <c r="D165" s="1568"/>
      <c r="E165" s="1568"/>
      <c r="F165" s="1568"/>
      <c r="G165" s="1568"/>
      <c r="H165" s="1568"/>
      <c r="I165" s="1568"/>
      <c r="J165" s="1569"/>
      <c r="K165" s="1341">
        <f>SUMIF(J18:J147,"Kt",K18:K147)</f>
        <v>592126</v>
      </c>
      <c r="M165" s="5"/>
    </row>
    <row r="166" spans="1:13" ht="13.5" thickBot="1" x14ac:dyDescent="0.25">
      <c r="A166" s="1573" t="s">
        <v>16</v>
      </c>
      <c r="B166" s="1574"/>
      <c r="C166" s="1574"/>
      <c r="D166" s="1574"/>
      <c r="E166" s="1574"/>
      <c r="F166" s="1574"/>
      <c r="G166" s="1574"/>
      <c r="H166" s="1574"/>
      <c r="I166" s="1574"/>
      <c r="J166" s="1575"/>
      <c r="K166" s="1344">
        <f ca="1">SUM(K152,K161)</f>
        <v>10995021</v>
      </c>
      <c r="M166" s="5"/>
    </row>
    <row r="167" spans="1:13" x14ac:dyDescent="0.2">
      <c r="K167" s="97"/>
      <c r="L167" s="642"/>
      <c r="M167" s="5"/>
    </row>
  </sheetData>
  <mergeCells count="245">
    <mergeCell ref="I116:I118"/>
    <mergeCell ref="G118:G119"/>
    <mergeCell ref="L93:L94"/>
    <mergeCell ref="I73:I77"/>
    <mergeCell ref="A6:M6"/>
    <mergeCell ref="A7:M7"/>
    <mergeCell ref="A8:M8"/>
    <mergeCell ref="A10:A12"/>
    <mergeCell ref="B10:B12"/>
    <mergeCell ref="C10:C12"/>
    <mergeCell ref="D10:D12"/>
    <mergeCell ref="E10:E12"/>
    <mergeCell ref="F10:F12"/>
    <mergeCell ref="K10:K12"/>
    <mergeCell ref="L11:L12"/>
    <mergeCell ref="A13:M13"/>
    <mergeCell ref="L10:M10"/>
    <mergeCell ref="G10:G12"/>
    <mergeCell ref="H10:H12"/>
    <mergeCell ref="I10:I12"/>
    <mergeCell ref="J10:J12"/>
    <mergeCell ref="A19:A20"/>
    <mergeCell ref="B19:B20"/>
    <mergeCell ref="C19:C20"/>
    <mergeCell ref="D19:D21"/>
    <mergeCell ref="E19:E21"/>
    <mergeCell ref="A14:M14"/>
    <mergeCell ref="B15:M15"/>
    <mergeCell ref="C16:M16"/>
    <mergeCell ref="A22:A30"/>
    <mergeCell ref="B22:B30"/>
    <mergeCell ref="C22:C30"/>
    <mergeCell ref="D22:D30"/>
    <mergeCell ref="E22:E30"/>
    <mergeCell ref="F22:F30"/>
    <mergeCell ref="G19:G21"/>
    <mergeCell ref="E31:E36"/>
    <mergeCell ref="F31:F33"/>
    <mergeCell ref="I31:I34"/>
    <mergeCell ref="F34:F36"/>
    <mergeCell ref="F19:F21"/>
    <mergeCell ref="H19:H20"/>
    <mergeCell ref="I19:I21"/>
    <mergeCell ref="F37:F38"/>
    <mergeCell ref="G22:G30"/>
    <mergeCell ref="H22:H30"/>
    <mergeCell ref="I22:I25"/>
    <mergeCell ref="G31:G36"/>
    <mergeCell ref="I40:J40"/>
    <mergeCell ref="G42:G44"/>
    <mergeCell ref="H42:H44"/>
    <mergeCell ref="I42:I44"/>
    <mergeCell ref="A45:A46"/>
    <mergeCell ref="B45:B46"/>
    <mergeCell ref="C45:C46"/>
    <mergeCell ref="D45:D46"/>
    <mergeCell ref="I45:I46"/>
    <mergeCell ref="A42:A44"/>
    <mergeCell ref="B42:B44"/>
    <mergeCell ref="C42:C44"/>
    <mergeCell ref="D42:D44"/>
    <mergeCell ref="E42:E44"/>
    <mergeCell ref="F42:F44"/>
    <mergeCell ref="G45:G46"/>
    <mergeCell ref="E45:E46"/>
    <mergeCell ref="D47:D50"/>
    <mergeCell ref="E47:E50"/>
    <mergeCell ref="I47:I50"/>
    <mergeCell ref="I51:J51"/>
    <mergeCell ref="G54:G56"/>
    <mergeCell ref="H54:H56"/>
    <mergeCell ref="I54:I57"/>
    <mergeCell ref="E59:E62"/>
    <mergeCell ref="I59:I64"/>
    <mergeCell ref="G47:G50"/>
    <mergeCell ref="G62:G67"/>
    <mergeCell ref="E66:E68"/>
    <mergeCell ref="E57:E58"/>
    <mergeCell ref="G57:G58"/>
    <mergeCell ref="A54:A56"/>
    <mergeCell ref="B54:B56"/>
    <mergeCell ref="C54:C56"/>
    <mergeCell ref="D54:D56"/>
    <mergeCell ref="E54:E56"/>
    <mergeCell ref="F54:F56"/>
    <mergeCell ref="I71:J71"/>
    <mergeCell ref="A73:A74"/>
    <mergeCell ref="B73:B74"/>
    <mergeCell ref="C73:C74"/>
    <mergeCell ref="D73:D74"/>
    <mergeCell ref="E73:E74"/>
    <mergeCell ref="L73:L74"/>
    <mergeCell ref="M73:M74"/>
    <mergeCell ref="I86:J86"/>
    <mergeCell ref="L86:M86"/>
    <mergeCell ref="A87:A90"/>
    <mergeCell ref="B87:B90"/>
    <mergeCell ref="C87:C90"/>
    <mergeCell ref="D87:D90"/>
    <mergeCell ref="E87:E88"/>
    <mergeCell ref="F87:F90"/>
    <mergeCell ref="G87:G90"/>
    <mergeCell ref="A75:A77"/>
    <mergeCell ref="B75:B77"/>
    <mergeCell ref="C75:C77"/>
    <mergeCell ref="D75:D77"/>
    <mergeCell ref="E75:E77"/>
    <mergeCell ref="F75:F77"/>
    <mergeCell ref="G75:G77"/>
    <mergeCell ref="H75:H77"/>
    <mergeCell ref="F73:F74"/>
    <mergeCell ref="G73:G74"/>
    <mergeCell ref="H73:H74"/>
    <mergeCell ref="G78:G82"/>
    <mergeCell ref="A95:A98"/>
    <mergeCell ref="B95:B98"/>
    <mergeCell ref="C95:C98"/>
    <mergeCell ref="E96:E97"/>
    <mergeCell ref="F96:F97"/>
    <mergeCell ref="H87:H90"/>
    <mergeCell ref="I87:I89"/>
    <mergeCell ref="E89:E90"/>
    <mergeCell ref="A91:A94"/>
    <mergeCell ref="B91:B94"/>
    <mergeCell ref="C91:C94"/>
    <mergeCell ref="D91:D94"/>
    <mergeCell ref="E91:E94"/>
    <mergeCell ref="F91:F94"/>
    <mergeCell ref="G91:G94"/>
    <mergeCell ref="G96:G98"/>
    <mergeCell ref="H91:H94"/>
    <mergeCell ref="I91:I93"/>
    <mergeCell ref="L91:L92"/>
    <mergeCell ref="I100:J100"/>
    <mergeCell ref="L100:M100"/>
    <mergeCell ref="C101:C102"/>
    <mergeCell ref="D101:D102"/>
    <mergeCell ref="E101:E102"/>
    <mergeCell ref="I101:I102"/>
    <mergeCell ref="G103:G104"/>
    <mergeCell ref="I103:I104"/>
    <mergeCell ref="I96:I97"/>
    <mergeCell ref="G101:G102"/>
    <mergeCell ref="B107:B112"/>
    <mergeCell ref="C107:C112"/>
    <mergeCell ref="E108:E110"/>
    <mergeCell ref="I108:I110"/>
    <mergeCell ref="E111:E112"/>
    <mergeCell ref="I111:I112"/>
    <mergeCell ref="G108:G110"/>
    <mergeCell ref="G111:G112"/>
    <mergeCell ref="G113:G114"/>
    <mergeCell ref="A127:A128"/>
    <mergeCell ref="B127:B128"/>
    <mergeCell ref="G131:G132"/>
    <mergeCell ref="A103:A104"/>
    <mergeCell ref="B103:B104"/>
    <mergeCell ref="C103:C104"/>
    <mergeCell ref="D103:D104"/>
    <mergeCell ref="E103:E104"/>
    <mergeCell ref="F103:F104"/>
    <mergeCell ref="E113:E114"/>
    <mergeCell ref="G116:G117"/>
    <mergeCell ref="A124:A126"/>
    <mergeCell ref="B124:B126"/>
    <mergeCell ref="C124:C126"/>
    <mergeCell ref="D124:D126"/>
    <mergeCell ref="E124:E126"/>
    <mergeCell ref="F124:F126"/>
    <mergeCell ref="C130:M130"/>
    <mergeCell ref="D131:D132"/>
    <mergeCell ref="I131:I132"/>
    <mergeCell ref="I113:I114"/>
    <mergeCell ref="C105:J105"/>
    <mergeCell ref="C106:M106"/>
    <mergeCell ref="A107:A112"/>
    <mergeCell ref="C136:J136"/>
    <mergeCell ref="C137:M137"/>
    <mergeCell ref="I133:I135"/>
    <mergeCell ref="I121:J121"/>
    <mergeCell ref="G124:G126"/>
    <mergeCell ref="H124:H126"/>
    <mergeCell ref="I124:I126"/>
    <mergeCell ref="L124:L126"/>
    <mergeCell ref="C129:J129"/>
    <mergeCell ref="L129:M129"/>
    <mergeCell ref="C122:J122"/>
    <mergeCell ref="L122:M122"/>
    <mergeCell ref="C123:M123"/>
    <mergeCell ref="C127:C128"/>
    <mergeCell ref="D127:D128"/>
    <mergeCell ref="E127:E128"/>
    <mergeCell ref="F127:F128"/>
    <mergeCell ref="G127:G128"/>
    <mergeCell ref="H127:H128"/>
    <mergeCell ref="I127:I128"/>
    <mergeCell ref="L127:L128"/>
    <mergeCell ref="A150:K150"/>
    <mergeCell ref="A151:J151"/>
    <mergeCell ref="A153:J153"/>
    <mergeCell ref="H138:H144"/>
    <mergeCell ref="I139:I142"/>
    <mergeCell ref="H131:H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A143:A144"/>
    <mergeCell ref="B143:B144"/>
    <mergeCell ref="C143:C144"/>
    <mergeCell ref="D143:D144"/>
    <mergeCell ref="E143:E144"/>
    <mergeCell ref="A131:A132"/>
    <mergeCell ref="B131:B132"/>
    <mergeCell ref="C131:C132"/>
    <mergeCell ref="E131:E132"/>
    <mergeCell ref="F131:F132"/>
    <mergeCell ref="K1:L2"/>
    <mergeCell ref="K3:L3"/>
    <mergeCell ref="A158:J158"/>
    <mergeCell ref="A155:J155"/>
    <mergeCell ref="A162:J162"/>
    <mergeCell ref="A163:J163"/>
    <mergeCell ref="A161:J161"/>
    <mergeCell ref="A166:J166"/>
    <mergeCell ref="A164:J164"/>
    <mergeCell ref="A165:J165"/>
    <mergeCell ref="A156:J156"/>
    <mergeCell ref="A157:J157"/>
    <mergeCell ref="A160:J160"/>
    <mergeCell ref="A159:J159"/>
    <mergeCell ref="C145:J145"/>
    <mergeCell ref="L145:M145"/>
    <mergeCell ref="B146:J146"/>
    <mergeCell ref="L146:M146"/>
    <mergeCell ref="B147:J147"/>
    <mergeCell ref="L147:M147"/>
    <mergeCell ref="A152:J152"/>
    <mergeCell ref="A154:J154"/>
    <mergeCell ref="A148:M148"/>
    <mergeCell ref="A149:K149"/>
  </mergeCells>
  <pageMargins left="0.78740157480314965" right="0" top="0.19685039370078741" bottom="0.19685039370078741" header="0" footer="0"/>
  <pageSetup paperSize="9" scale="78" orientation="portrait" r:id="rId1"/>
  <rowBreaks count="1" manualBreakCount="1">
    <brk id="46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60"/>
  <sheetViews>
    <sheetView zoomScaleNormal="100" zoomScaleSheetLayoutView="100" workbookViewId="0">
      <selection activeCell="AC5" sqref="AC5"/>
    </sheetView>
  </sheetViews>
  <sheetFormatPr defaultRowHeight="12.75" x14ac:dyDescent="0.2"/>
  <cols>
    <col min="1" max="4" width="2.7109375" style="6" customWidth="1"/>
    <col min="5" max="5" width="29.28515625" style="6" customWidth="1"/>
    <col min="6" max="6" width="2.7109375" style="31" customWidth="1"/>
    <col min="7" max="7" width="4.140625" style="6" customWidth="1"/>
    <col min="8" max="8" width="2.7109375" style="42" customWidth="1"/>
    <col min="9" max="9" width="12" style="42" customWidth="1"/>
    <col min="10" max="10" width="7.42578125" style="51" customWidth="1"/>
    <col min="11" max="13" width="10.28515625" style="6" customWidth="1"/>
    <col min="14" max="14" width="29.42578125" style="6" customWidth="1"/>
    <col min="15" max="15" width="6.140625" style="6" customWidth="1"/>
    <col min="16" max="16384" width="9.140625" style="5"/>
  </cols>
  <sheetData>
    <row r="1" spans="1:18" ht="19.5" customHeight="1" x14ac:dyDescent="0.2">
      <c r="F1" s="6"/>
      <c r="H1" s="686"/>
      <c r="I1" s="686"/>
      <c r="J1" s="687"/>
      <c r="K1" s="51"/>
      <c r="L1" s="51"/>
      <c r="M1" s="51"/>
      <c r="N1" s="1045" t="s">
        <v>342</v>
      </c>
      <c r="O1" s="1027"/>
    </row>
    <row r="2" spans="1:18" ht="13.5" customHeight="1" x14ac:dyDescent="0.2">
      <c r="F2" s="6"/>
      <c r="H2" s="686"/>
      <c r="I2" s="686"/>
      <c r="J2" s="687"/>
      <c r="K2" s="51"/>
      <c r="L2" s="51"/>
      <c r="M2" s="51"/>
      <c r="N2" s="1027"/>
      <c r="O2" s="1027"/>
    </row>
    <row r="3" spans="1:18" ht="15.75" x14ac:dyDescent="0.2">
      <c r="A3" s="1379" t="s">
        <v>268</v>
      </c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</row>
    <row r="4" spans="1:18" ht="15.75" x14ac:dyDescent="0.2">
      <c r="A4" s="1380" t="s">
        <v>28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</row>
    <row r="5" spans="1:18" ht="15.75" x14ac:dyDescent="0.2">
      <c r="A5" s="1381" t="s">
        <v>17</v>
      </c>
      <c r="B5" s="1381"/>
      <c r="C5" s="1381"/>
      <c r="D5" s="1381"/>
      <c r="E5" s="1381"/>
      <c r="F5" s="1381"/>
      <c r="G5" s="1381"/>
      <c r="H5" s="1381"/>
      <c r="I5" s="1381"/>
      <c r="J5" s="1381"/>
      <c r="K5" s="1381"/>
      <c r="L5" s="1381"/>
      <c r="M5" s="1381"/>
      <c r="N5" s="1381"/>
      <c r="O5" s="1381"/>
      <c r="P5" s="1"/>
      <c r="Q5" s="1"/>
      <c r="R5" s="1"/>
    </row>
    <row r="6" spans="1:18" ht="13.5" thickBot="1" x14ac:dyDescent="0.25">
      <c r="O6" s="633" t="s">
        <v>217</v>
      </c>
    </row>
    <row r="7" spans="1:18" ht="29.25" customHeight="1" x14ac:dyDescent="0.2">
      <c r="A7" s="1383" t="s">
        <v>18</v>
      </c>
      <c r="B7" s="1386" t="s">
        <v>0</v>
      </c>
      <c r="C7" s="1386" t="s">
        <v>1</v>
      </c>
      <c r="D7" s="1386" t="s">
        <v>126</v>
      </c>
      <c r="E7" s="1389" t="s">
        <v>12</v>
      </c>
      <c r="F7" s="1392" t="s">
        <v>2</v>
      </c>
      <c r="G7" s="1386" t="s">
        <v>267</v>
      </c>
      <c r="H7" s="1754" t="s">
        <v>3</v>
      </c>
      <c r="I7" s="1757" t="s">
        <v>127</v>
      </c>
      <c r="J7" s="1415" t="s">
        <v>4</v>
      </c>
      <c r="K7" s="1412" t="s">
        <v>348</v>
      </c>
      <c r="L7" s="1412" t="s">
        <v>348</v>
      </c>
      <c r="M7" s="1415" t="s">
        <v>349</v>
      </c>
      <c r="N7" s="1750" t="s">
        <v>272</v>
      </c>
      <c r="O7" s="1751"/>
    </row>
    <row r="8" spans="1:18" ht="18" customHeight="1" x14ac:dyDescent="0.2">
      <c r="A8" s="1384"/>
      <c r="B8" s="1387"/>
      <c r="C8" s="1387"/>
      <c r="D8" s="1387"/>
      <c r="E8" s="1390"/>
      <c r="F8" s="1393"/>
      <c r="G8" s="1752"/>
      <c r="H8" s="1755"/>
      <c r="I8" s="1758"/>
      <c r="J8" s="1416"/>
      <c r="K8" s="1413"/>
      <c r="L8" s="1413"/>
      <c r="M8" s="1416"/>
      <c r="N8" s="1395" t="s">
        <v>12</v>
      </c>
      <c r="O8" s="672" t="s">
        <v>218</v>
      </c>
    </row>
    <row r="9" spans="1:18" ht="66" customHeight="1" thickBot="1" x14ac:dyDescent="0.25">
      <c r="A9" s="1385"/>
      <c r="B9" s="1388"/>
      <c r="C9" s="1388"/>
      <c r="D9" s="1388"/>
      <c r="E9" s="1391"/>
      <c r="F9" s="1394"/>
      <c r="G9" s="1753"/>
      <c r="H9" s="1756"/>
      <c r="I9" s="1759"/>
      <c r="J9" s="1417"/>
      <c r="K9" s="1414"/>
      <c r="L9" s="1414"/>
      <c r="M9" s="1417"/>
      <c r="N9" s="1396"/>
      <c r="O9" s="716" t="s">
        <v>26</v>
      </c>
    </row>
    <row r="10" spans="1:18" s="23" customFormat="1" ht="13.5" customHeight="1" x14ac:dyDescent="0.2">
      <c r="A10" s="1400" t="s">
        <v>99</v>
      </c>
      <c r="B10" s="1401"/>
      <c r="C10" s="1401"/>
      <c r="D10" s="1401"/>
      <c r="E10" s="1401"/>
      <c r="F10" s="1401"/>
      <c r="G10" s="1401"/>
      <c r="H10" s="1401"/>
      <c r="I10" s="1401"/>
      <c r="J10" s="1401"/>
      <c r="K10" s="1401"/>
      <c r="L10" s="1401"/>
      <c r="M10" s="1401"/>
      <c r="N10" s="1401"/>
      <c r="O10" s="1402"/>
    </row>
    <row r="11" spans="1:18" s="23" customFormat="1" ht="15" customHeight="1" x14ac:dyDescent="0.2">
      <c r="A11" s="1418" t="s">
        <v>64</v>
      </c>
      <c r="B11" s="1419"/>
      <c r="C11" s="1419"/>
      <c r="D11" s="1419"/>
      <c r="E11" s="1419"/>
      <c r="F11" s="1419"/>
      <c r="G11" s="1419"/>
      <c r="H11" s="1419"/>
      <c r="I11" s="1419"/>
      <c r="J11" s="1419"/>
      <c r="K11" s="1419"/>
      <c r="L11" s="1419"/>
      <c r="M11" s="1419"/>
      <c r="N11" s="1419"/>
      <c r="O11" s="1420"/>
    </row>
    <row r="12" spans="1:18" ht="14.25" customHeight="1" x14ac:dyDescent="0.2">
      <c r="A12" s="100" t="s">
        <v>5</v>
      </c>
      <c r="B12" s="1421" t="s">
        <v>100</v>
      </c>
      <c r="C12" s="1422"/>
      <c r="D12" s="1422"/>
      <c r="E12" s="1422"/>
      <c r="F12" s="1422"/>
      <c r="G12" s="1422"/>
      <c r="H12" s="1422"/>
      <c r="I12" s="1422"/>
      <c r="J12" s="1422"/>
      <c r="K12" s="1422"/>
      <c r="L12" s="1422"/>
      <c r="M12" s="1422"/>
      <c r="N12" s="1422"/>
      <c r="O12" s="1423"/>
    </row>
    <row r="13" spans="1:18" ht="17.25" customHeight="1" x14ac:dyDescent="0.2">
      <c r="A13" s="1226" t="s">
        <v>5</v>
      </c>
      <c r="B13" s="1228" t="s">
        <v>5</v>
      </c>
      <c r="C13" s="1376" t="s">
        <v>51</v>
      </c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8"/>
    </row>
    <row r="14" spans="1:18" ht="38.25" customHeight="1" x14ac:dyDescent="0.2">
      <c r="A14" s="671" t="s">
        <v>5</v>
      </c>
      <c r="B14" s="662" t="s">
        <v>5</v>
      </c>
      <c r="C14" s="1250" t="s">
        <v>5</v>
      </c>
      <c r="D14" s="1252"/>
      <c r="E14" s="663" t="s">
        <v>82</v>
      </c>
      <c r="F14" s="1242" t="s">
        <v>204</v>
      </c>
      <c r="G14" s="1261"/>
      <c r="H14" s="1247"/>
      <c r="I14" s="690"/>
      <c r="J14" s="290"/>
      <c r="K14" s="786"/>
      <c r="L14" s="1123"/>
      <c r="M14" s="1095"/>
      <c r="N14" s="615"/>
      <c r="O14" s="632"/>
    </row>
    <row r="15" spans="1:18" ht="43.5" x14ac:dyDescent="0.2">
      <c r="A15" s="1226"/>
      <c r="B15" s="1228"/>
      <c r="C15" s="1250"/>
      <c r="D15" s="1253" t="s">
        <v>5</v>
      </c>
      <c r="E15" s="289" t="s">
        <v>33</v>
      </c>
      <c r="F15" s="634"/>
      <c r="G15" s="1261" t="s">
        <v>286</v>
      </c>
      <c r="H15" s="1247" t="s">
        <v>30</v>
      </c>
      <c r="I15" s="280" t="s">
        <v>146</v>
      </c>
      <c r="J15" s="279" t="s">
        <v>27</v>
      </c>
      <c r="K15" s="836">
        <f>260/3.4528*1000</f>
        <v>75301</v>
      </c>
      <c r="L15" s="1060">
        <f>260/3.4528*1000</f>
        <v>75301</v>
      </c>
      <c r="M15" s="1096"/>
      <c r="N15" s="688"/>
      <c r="O15" s="577"/>
    </row>
    <row r="16" spans="1:18" ht="14.25" customHeight="1" x14ac:dyDescent="0.2">
      <c r="A16" s="1360"/>
      <c r="B16" s="1362"/>
      <c r="C16" s="1649"/>
      <c r="D16" s="1691" t="s">
        <v>7</v>
      </c>
      <c r="E16" s="1563" t="s">
        <v>34</v>
      </c>
      <c r="F16" s="1732" t="s">
        <v>165</v>
      </c>
      <c r="G16" s="1737" t="s">
        <v>285</v>
      </c>
      <c r="H16" s="1450" t="s">
        <v>30</v>
      </c>
      <c r="I16" s="1734" t="s">
        <v>128</v>
      </c>
      <c r="J16" s="82" t="s">
        <v>27</v>
      </c>
      <c r="K16" s="837">
        <f>57.6/3.4528*1000</f>
        <v>16682</v>
      </c>
      <c r="L16" s="1061">
        <f>57.6/3.4528*1000</f>
        <v>16682</v>
      </c>
      <c r="M16" s="1097"/>
      <c r="N16" s="1241"/>
      <c r="O16" s="173"/>
    </row>
    <row r="17" spans="1:18" ht="22.5" customHeight="1" x14ac:dyDescent="0.2">
      <c r="A17" s="1360"/>
      <c r="B17" s="1362"/>
      <c r="C17" s="1649"/>
      <c r="D17" s="1538"/>
      <c r="E17" s="1430"/>
      <c r="F17" s="1732"/>
      <c r="G17" s="1689"/>
      <c r="H17" s="1368"/>
      <c r="I17" s="1735"/>
      <c r="J17" s="82"/>
      <c r="K17" s="1052"/>
      <c r="L17" s="788"/>
      <c r="M17" s="1053"/>
      <c r="N17" s="116"/>
      <c r="O17" s="118"/>
      <c r="Q17" s="1199"/>
    </row>
    <row r="18" spans="1:18" x14ac:dyDescent="0.2">
      <c r="A18" s="1226"/>
      <c r="B18" s="1228"/>
      <c r="C18" s="1250"/>
      <c r="D18" s="1692"/>
      <c r="E18" s="1431"/>
      <c r="F18" s="1733"/>
      <c r="G18" s="1741"/>
      <c r="H18" s="1247"/>
      <c r="I18" s="1736"/>
      <c r="J18" s="12"/>
      <c r="K18" s="838"/>
      <c r="L18" s="843"/>
      <c r="M18" s="1053"/>
      <c r="N18" s="1200"/>
      <c r="O18" s="314"/>
    </row>
    <row r="19" spans="1:18" x14ac:dyDescent="0.2">
      <c r="A19" s="1360"/>
      <c r="B19" s="1362"/>
      <c r="C19" s="1649"/>
      <c r="D19" s="1742" t="s">
        <v>29</v>
      </c>
      <c r="E19" s="1577" t="s">
        <v>35</v>
      </c>
      <c r="F19" s="1743"/>
      <c r="G19" s="1737" t="s">
        <v>284</v>
      </c>
      <c r="H19" s="1434" t="s">
        <v>30</v>
      </c>
      <c r="I19" s="1727" t="s">
        <v>128</v>
      </c>
      <c r="J19" s="8" t="s">
        <v>27</v>
      </c>
      <c r="K19" s="837">
        <f>314.501/3.4528*1000</f>
        <v>91086</v>
      </c>
      <c r="L19" s="1061">
        <f>91086+38379</f>
        <v>129465</v>
      </c>
      <c r="M19" s="1124">
        <f>L19-K19</f>
        <v>38379</v>
      </c>
      <c r="N19" s="1760" t="s">
        <v>350</v>
      </c>
      <c r="O19" s="1345">
        <v>25</v>
      </c>
    </row>
    <row r="20" spans="1:18" ht="24.75" customHeight="1" x14ac:dyDescent="0.2">
      <c r="A20" s="1360"/>
      <c r="B20" s="1362"/>
      <c r="C20" s="1649"/>
      <c r="D20" s="1742"/>
      <c r="E20" s="1580"/>
      <c r="F20" s="1743"/>
      <c r="G20" s="1689"/>
      <c r="H20" s="1739"/>
      <c r="I20" s="1729"/>
      <c r="J20" s="82"/>
      <c r="K20" s="1053"/>
      <c r="L20" s="788"/>
      <c r="M20" s="1053"/>
      <c r="N20" s="1760"/>
      <c r="O20" s="1196">
        <v>9</v>
      </c>
      <c r="P20" s="826"/>
    </row>
    <row r="21" spans="1:18" ht="17.25" customHeight="1" x14ac:dyDescent="0.2">
      <c r="A21" s="1360"/>
      <c r="B21" s="1362"/>
      <c r="C21" s="1649"/>
      <c r="D21" s="1742"/>
      <c r="E21" s="1580"/>
      <c r="F21" s="1743"/>
      <c r="G21" s="1689"/>
      <c r="H21" s="1739"/>
      <c r="I21" s="1729"/>
      <c r="J21" s="82"/>
      <c r="K21" s="1053"/>
      <c r="L21" s="788"/>
      <c r="M21" s="1053"/>
      <c r="N21" s="1264" t="s">
        <v>351</v>
      </c>
      <c r="O21" s="1196">
        <v>1</v>
      </c>
    </row>
    <row r="22" spans="1:18" ht="31.5" customHeight="1" x14ac:dyDescent="0.2">
      <c r="A22" s="1360"/>
      <c r="B22" s="1362"/>
      <c r="C22" s="1649"/>
      <c r="D22" s="1742"/>
      <c r="E22" s="1580"/>
      <c r="F22" s="1743"/>
      <c r="G22" s="1689"/>
      <c r="H22" s="1739"/>
      <c r="I22" s="717"/>
      <c r="J22" s="82"/>
      <c r="K22" s="1053"/>
      <c r="L22" s="788"/>
      <c r="M22" s="1053"/>
      <c r="N22" s="1264" t="s">
        <v>352</v>
      </c>
      <c r="O22" s="1196">
        <v>1</v>
      </c>
    </row>
    <row r="23" spans="1:18" x14ac:dyDescent="0.2">
      <c r="A23" s="1360"/>
      <c r="B23" s="1362"/>
      <c r="C23" s="1649"/>
      <c r="D23" s="1691"/>
      <c r="E23" s="1580"/>
      <c r="F23" s="1743"/>
      <c r="G23" s="1738"/>
      <c r="H23" s="1450"/>
      <c r="I23" s="1254"/>
      <c r="J23" s="12"/>
      <c r="K23" s="787"/>
      <c r="L23" s="1062"/>
      <c r="M23" s="1098"/>
      <c r="N23" s="689"/>
      <c r="O23" s="482"/>
    </row>
    <row r="24" spans="1:18" ht="16.5" customHeight="1" x14ac:dyDescent="0.2">
      <c r="A24" s="1226"/>
      <c r="B24" s="1228"/>
      <c r="C24" s="155"/>
      <c r="D24" s="1251" t="s">
        <v>37</v>
      </c>
      <c r="E24" s="1586" t="s">
        <v>143</v>
      </c>
      <c r="F24" s="1725" t="s">
        <v>67</v>
      </c>
      <c r="G24" s="1737" t="s">
        <v>283</v>
      </c>
      <c r="H24" s="1244" t="s">
        <v>30</v>
      </c>
      <c r="I24" s="1727" t="s">
        <v>128</v>
      </c>
      <c r="J24" s="221" t="s">
        <v>27</v>
      </c>
      <c r="K24" s="789">
        <f>936.2/3.4528*1000</f>
        <v>271142</v>
      </c>
      <c r="L24" s="1063">
        <f>936.2/3.4528*1000</f>
        <v>271142</v>
      </c>
      <c r="M24" s="1099"/>
      <c r="N24" s="183"/>
      <c r="O24" s="484"/>
    </row>
    <row r="25" spans="1:18" ht="12.75" customHeight="1" x14ac:dyDescent="0.2">
      <c r="A25" s="1226"/>
      <c r="B25" s="1228"/>
      <c r="C25" s="155"/>
      <c r="D25" s="1233"/>
      <c r="E25" s="1586"/>
      <c r="F25" s="1725"/>
      <c r="G25" s="1740"/>
      <c r="H25" s="1245"/>
      <c r="I25" s="1728"/>
      <c r="J25" s="84"/>
      <c r="K25" s="1052"/>
      <c r="L25" s="788"/>
      <c r="M25" s="1053"/>
      <c r="N25" s="181"/>
      <c r="O25" s="673"/>
    </row>
    <row r="26" spans="1:18" ht="27.75" customHeight="1" x14ac:dyDescent="0.2">
      <c r="A26" s="1226"/>
      <c r="B26" s="1228"/>
      <c r="C26" s="155"/>
      <c r="D26" s="1233"/>
      <c r="E26" s="1586"/>
      <c r="F26" s="1726"/>
      <c r="G26" s="1740"/>
      <c r="H26" s="1245"/>
      <c r="I26" s="1729"/>
      <c r="J26" s="84"/>
      <c r="K26" s="1052"/>
      <c r="L26" s="788"/>
      <c r="M26" s="1053"/>
      <c r="N26" s="144"/>
      <c r="O26" s="674"/>
    </row>
    <row r="27" spans="1:18" ht="30" customHeight="1" x14ac:dyDescent="0.2">
      <c r="A27" s="1226"/>
      <c r="B27" s="1228"/>
      <c r="C27" s="155"/>
      <c r="D27" s="1233"/>
      <c r="E27" s="1586"/>
      <c r="F27" s="1730" t="s">
        <v>166</v>
      </c>
      <c r="G27" s="1740"/>
      <c r="H27" s="1245"/>
      <c r="I27" s="1729"/>
      <c r="J27" s="84"/>
      <c r="K27" s="1052"/>
      <c r="L27" s="788"/>
      <c r="M27" s="1053"/>
      <c r="N27" s="146"/>
      <c r="O27" s="675"/>
    </row>
    <row r="28" spans="1:18" ht="41.25" customHeight="1" x14ac:dyDescent="0.2">
      <c r="A28" s="1226"/>
      <c r="B28" s="1228"/>
      <c r="C28" s="155"/>
      <c r="D28" s="1233"/>
      <c r="E28" s="1586"/>
      <c r="F28" s="1730"/>
      <c r="G28" s="1740"/>
      <c r="H28" s="1245"/>
      <c r="I28" s="720"/>
      <c r="J28" s="264"/>
      <c r="K28" s="790"/>
      <c r="L28" s="1064"/>
      <c r="M28" s="1100"/>
      <c r="N28" s="121"/>
      <c r="O28" s="676"/>
    </row>
    <row r="29" spans="1:18" ht="28.5" customHeight="1" x14ac:dyDescent="0.2">
      <c r="A29" s="1226"/>
      <c r="B29" s="1228"/>
      <c r="C29" s="155"/>
      <c r="D29" s="1252"/>
      <c r="E29" s="1586"/>
      <c r="F29" s="1731"/>
      <c r="G29" s="1741"/>
      <c r="H29" s="719"/>
      <c r="I29" s="217"/>
      <c r="J29" s="219" t="s">
        <v>116</v>
      </c>
      <c r="K29" s="791">
        <f>205.1/3.4528*1000</f>
        <v>59401</v>
      </c>
      <c r="L29" s="1065">
        <f>205.1/3.4528*1000</f>
        <v>59401</v>
      </c>
      <c r="M29" s="1101"/>
      <c r="N29" s="578"/>
      <c r="O29" s="698"/>
    </row>
    <row r="30" spans="1:18" ht="31.5" customHeight="1" x14ac:dyDescent="0.2">
      <c r="A30" s="1226"/>
      <c r="B30" s="1228"/>
      <c r="C30" s="1250"/>
      <c r="D30" s="656" t="s">
        <v>38</v>
      </c>
      <c r="E30" s="657" t="s">
        <v>119</v>
      </c>
      <c r="F30" s="1440" t="s">
        <v>112</v>
      </c>
      <c r="G30" s="775" t="s">
        <v>287</v>
      </c>
      <c r="H30" s="1255" t="s">
        <v>30</v>
      </c>
      <c r="I30" s="655" t="s">
        <v>135</v>
      </c>
      <c r="J30" s="220" t="s">
        <v>70</v>
      </c>
      <c r="K30" s="792"/>
      <c r="L30" s="1066"/>
      <c r="M30" s="1102"/>
      <c r="N30" s="148"/>
      <c r="O30" s="677"/>
      <c r="P30" s="106"/>
    </row>
    <row r="31" spans="1:18" ht="29.25" customHeight="1" x14ac:dyDescent="0.2">
      <c r="A31" s="1226"/>
      <c r="B31" s="1228"/>
      <c r="C31" s="1250"/>
      <c r="D31" s="656" t="s">
        <v>31</v>
      </c>
      <c r="E31" s="1243" t="s">
        <v>202</v>
      </c>
      <c r="F31" s="1441"/>
      <c r="G31" s="775" t="s">
        <v>288</v>
      </c>
      <c r="H31" s="1255" t="s">
        <v>30</v>
      </c>
      <c r="I31" s="655" t="s">
        <v>135</v>
      </c>
      <c r="J31" s="220" t="s">
        <v>27</v>
      </c>
      <c r="K31" s="793">
        <f>118.2/3.4528*1000</f>
        <v>34233</v>
      </c>
      <c r="L31" s="842">
        <f>118.2/3.4528*1000</f>
        <v>34233</v>
      </c>
      <c r="M31" s="794"/>
      <c r="N31" s="300"/>
      <c r="O31" s="678"/>
      <c r="P31" s="106"/>
    </row>
    <row r="32" spans="1:18" ht="42" customHeight="1" x14ac:dyDescent="0.2">
      <c r="A32" s="1226"/>
      <c r="B32" s="1228"/>
      <c r="C32" s="1250"/>
      <c r="D32" s="656" t="s">
        <v>39</v>
      </c>
      <c r="E32" s="1243" t="s">
        <v>183</v>
      </c>
      <c r="F32" s="702" t="s">
        <v>204</v>
      </c>
      <c r="G32" s="775" t="s">
        <v>289</v>
      </c>
      <c r="H32" s="1255" t="s">
        <v>30</v>
      </c>
      <c r="I32" s="655" t="s">
        <v>135</v>
      </c>
      <c r="J32" s="220" t="s">
        <v>27</v>
      </c>
      <c r="K32" s="794">
        <f>20/3.4528*1000</f>
        <v>5792</v>
      </c>
      <c r="L32" s="842">
        <f>20/3.4528*1000</f>
        <v>5792</v>
      </c>
      <c r="M32" s="794"/>
      <c r="N32" s="300"/>
      <c r="O32" s="699"/>
      <c r="P32" s="106"/>
      <c r="R32" s="50"/>
    </row>
    <row r="33" spans="1:18" ht="13.5" thickBot="1" x14ac:dyDescent="0.25">
      <c r="A33" s="1227"/>
      <c r="B33" s="1229"/>
      <c r="C33" s="700"/>
      <c r="D33" s="701"/>
      <c r="E33" s="109"/>
      <c r="F33" s="110"/>
      <c r="G33" s="111"/>
      <c r="H33" s="112"/>
      <c r="I33" s="1630" t="s">
        <v>129</v>
      </c>
      <c r="J33" s="1703"/>
      <c r="K33" s="795">
        <f>SUM(K15:K32)</f>
        <v>553637</v>
      </c>
      <c r="L33" s="1067">
        <f>SUM(L15:L32)</f>
        <v>592016</v>
      </c>
      <c r="M33" s="1125">
        <f>SUM(M15:M32)</f>
        <v>38379</v>
      </c>
      <c r="N33" s="580"/>
      <c r="O33" s="680"/>
    </row>
    <row r="34" spans="1:18" ht="27.75" customHeight="1" x14ac:dyDescent="0.2">
      <c r="A34" s="1001" t="s">
        <v>5</v>
      </c>
      <c r="B34" s="1004" t="s">
        <v>5</v>
      </c>
      <c r="C34" s="1038" t="s">
        <v>7</v>
      </c>
      <c r="D34" s="670"/>
      <c r="E34" s="959" t="s">
        <v>83</v>
      </c>
      <c r="F34" s="1011"/>
      <c r="G34" s="1036"/>
      <c r="H34" s="998"/>
      <c r="I34" s="52"/>
      <c r="J34" s="11"/>
      <c r="K34" s="960"/>
      <c r="L34" s="1068"/>
      <c r="M34" s="1103"/>
      <c r="N34" s="87"/>
      <c r="O34" s="27"/>
      <c r="R34" s="50"/>
    </row>
    <row r="35" spans="1:18" ht="15" customHeight="1" x14ac:dyDescent="0.2">
      <c r="A35" s="1360"/>
      <c r="B35" s="1372"/>
      <c r="C35" s="1649"/>
      <c r="D35" s="1538" t="s">
        <v>5</v>
      </c>
      <c r="E35" s="1430" t="s">
        <v>120</v>
      </c>
      <c r="F35" s="1702"/>
      <c r="G35" s="1718" t="s">
        <v>290</v>
      </c>
      <c r="H35" s="1450" t="s">
        <v>30</v>
      </c>
      <c r="I35" s="1720" t="s">
        <v>130</v>
      </c>
      <c r="J35" s="8" t="s">
        <v>27</v>
      </c>
      <c r="K35" s="796">
        <f>6783.8/3.4528*1000</f>
        <v>1964724</v>
      </c>
      <c r="L35" s="1069">
        <f>1964724-111832</f>
        <v>1852892</v>
      </c>
      <c r="M35" s="1124">
        <f>L35-K35</f>
        <v>-111832</v>
      </c>
      <c r="N35" s="39"/>
      <c r="O35" s="1013"/>
    </row>
    <row r="36" spans="1:18" ht="23.25" customHeight="1" x14ac:dyDescent="0.2">
      <c r="A36" s="1360"/>
      <c r="B36" s="1372"/>
      <c r="C36" s="1649"/>
      <c r="D36" s="1538"/>
      <c r="E36" s="1430"/>
      <c r="F36" s="1366"/>
      <c r="G36" s="1719"/>
      <c r="H36" s="1368"/>
      <c r="I36" s="1721"/>
      <c r="J36" s="114" t="s">
        <v>97</v>
      </c>
      <c r="K36" s="797"/>
      <c r="L36" s="1070"/>
      <c r="M36" s="1070"/>
      <c r="N36" s="168"/>
      <c r="O36" s="625"/>
    </row>
    <row r="37" spans="1:18" ht="15.75" customHeight="1" x14ac:dyDescent="0.2">
      <c r="A37" s="1360"/>
      <c r="B37" s="1372"/>
      <c r="C37" s="1649"/>
      <c r="D37" s="1538"/>
      <c r="E37" s="1431"/>
      <c r="F37" s="1366"/>
      <c r="G37" s="1719"/>
      <c r="H37" s="1368"/>
      <c r="I37" s="1721"/>
      <c r="J37" s="70"/>
      <c r="K37" s="798"/>
      <c r="L37" s="1071"/>
      <c r="M37" s="1106"/>
      <c r="N37" s="1017"/>
      <c r="O37" s="711"/>
    </row>
    <row r="38" spans="1:18" ht="17.25" customHeight="1" x14ac:dyDescent="0.2">
      <c r="A38" s="1360"/>
      <c r="B38" s="1372"/>
      <c r="C38" s="1649"/>
      <c r="D38" s="1691" t="s">
        <v>7</v>
      </c>
      <c r="E38" s="1479" t="s">
        <v>40</v>
      </c>
      <c r="F38" s="723"/>
      <c r="G38" s="1718" t="s">
        <v>291</v>
      </c>
      <c r="H38" s="1018" t="s">
        <v>30</v>
      </c>
      <c r="I38" s="1720" t="s">
        <v>130</v>
      </c>
      <c r="J38" s="115" t="s">
        <v>27</v>
      </c>
      <c r="K38" s="799">
        <f>205/3.4528*1000</f>
        <v>59372</v>
      </c>
      <c r="L38" s="1072">
        <f>205/3.4528*1000</f>
        <v>59372</v>
      </c>
      <c r="M38" s="1072"/>
      <c r="N38" s="1016"/>
      <c r="O38" s="173"/>
    </row>
    <row r="39" spans="1:18" ht="27.75" customHeight="1" thickBot="1" x14ac:dyDescent="0.25">
      <c r="A39" s="1470"/>
      <c r="B39" s="1471"/>
      <c r="C39" s="1722"/>
      <c r="D39" s="1539"/>
      <c r="E39" s="1491"/>
      <c r="F39" s="961"/>
      <c r="G39" s="1724"/>
      <c r="H39" s="149"/>
      <c r="I39" s="1723"/>
      <c r="J39" s="962" t="s">
        <v>44</v>
      </c>
      <c r="K39" s="963">
        <v>869</v>
      </c>
      <c r="L39" s="1073">
        <v>869</v>
      </c>
      <c r="M39" s="1107"/>
      <c r="N39" s="1000"/>
      <c r="O39" s="143"/>
    </row>
    <row r="40" spans="1:18" ht="15" customHeight="1" x14ac:dyDescent="0.2">
      <c r="A40" s="994"/>
      <c r="B40" s="1007"/>
      <c r="C40" s="1030"/>
      <c r="D40" s="1538" t="s">
        <v>29</v>
      </c>
      <c r="E40" s="1455" t="s">
        <v>247</v>
      </c>
      <c r="F40" s="724"/>
      <c r="G40" s="1689" t="s">
        <v>292</v>
      </c>
      <c r="H40" s="1021" t="s">
        <v>30</v>
      </c>
      <c r="I40" s="1651" t="s">
        <v>130</v>
      </c>
      <c r="J40" s="303" t="s">
        <v>27</v>
      </c>
      <c r="K40" s="801">
        <f>165.1009/3.4528*1000</f>
        <v>47817</v>
      </c>
      <c r="L40" s="1074">
        <f>165.1009/3.4528*1000</f>
        <v>47817</v>
      </c>
      <c r="M40" s="1074"/>
      <c r="N40" s="168"/>
      <c r="O40" s="538"/>
    </row>
    <row r="41" spans="1:18" ht="14.25" customHeight="1" x14ac:dyDescent="0.2">
      <c r="A41" s="994"/>
      <c r="B41" s="1007"/>
      <c r="C41" s="1030"/>
      <c r="D41" s="1538"/>
      <c r="E41" s="1455"/>
      <c r="F41" s="724"/>
      <c r="G41" s="1711"/>
      <c r="H41" s="1021"/>
      <c r="I41" s="1651"/>
      <c r="J41" s="82"/>
      <c r="K41" s="800"/>
      <c r="L41" s="1075"/>
      <c r="M41" s="1105"/>
      <c r="N41" s="121"/>
      <c r="O41" s="329"/>
    </row>
    <row r="42" spans="1:18" ht="27" customHeight="1" x14ac:dyDescent="0.2">
      <c r="A42" s="994"/>
      <c r="B42" s="1007"/>
      <c r="C42" s="1030"/>
      <c r="D42" s="1538"/>
      <c r="E42" s="1455"/>
      <c r="F42" s="724"/>
      <c r="G42" s="1711"/>
      <c r="H42" s="1021"/>
      <c r="I42" s="1651"/>
      <c r="J42" s="303"/>
      <c r="K42" s="801"/>
      <c r="L42" s="1074"/>
      <c r="M42" s="1108"/>
      <c r="N42" s="121"/>
      <c r="O42" s="333"/>
    </row>
    <row r="43" spans="1:18" ht="26.25" customHeight="1" x14ac:dyDescent="0.2">
      <c r="A43" s="994"/>
      <c r="B43" s="1007"/>
      <c r="C43" s="1030"/>
      <c r="D43" s="1692"/>
      <c r="E43" s="1706"/>
      <c r="F43" s="1022"/>
      <c r="G43" s="1712"/>
      <c r="H43" s="1023"/>
      <c r="I43" s="1653"/>
      <c r="J43" s="70" t="s">
        <v>27</v>
      </c>
      <c r="K43" s="798">
        <f>15/3.4528*1000</f>
        <v>4344</v>
      </c>
      <c r="L43" s="1071">
        <f>15/3.4528*1000</f>
        <v>4344</v>
      </c>
      <c r="M43" s="1106"/>
      <c r="N43" s="1017"/>
      <c r="O43" s="679"/>
      <c r="P43" s="826"/>
    </row>
    <row r="44" spans="1:18" ht="13.5" thickBot="1" x14ac:dyDescent="0.25">
      <c r="A44" s="102"/>
      <c r="B44" s="1005"/>
      <c r="C44" s="107"/>
      <c r="D44" s="108"/>
      <c r="E44" s="109"/>
      <c r="F44" s="110"/>
      <c r="G44" s="111"/>
      <c r="H44" s="112"/>
      <c r="I44" s="1630" t="s">
        <v>129</v>
      </c>
      <c r="J44" s="1631"/>
      <c r="K44" s="802">
        <f t="shared" ref="K44:M44" si="0">SUM(K35:K43)</f>
        <v>2077126</v>
      </c>
      <c r="L44" s="1067">
        <f t="shared" si="0"/>
        <v>1965294</v>
      </c>
      <c r="M44" s="1067">
        <f t="shared" si="0"/>
        <v>-111832</v>
      </c>
      <c r="N44" s="580"/>
      <c r="O44" s="680"/>
    </row>
    <row r="45" spans="1:18" ht="30.75" customHeight="1" x14ac:dyDescent="0.2">
      <c r="A45" s="1232" t="s">
        <v>5</v>
      </c>
      <c r="B45" s="1235" t="s">
        <v>5</v>
      </c>
      <c r="C45" s="1262" t="s">
        <v>29</v>
      </c>
      <c r="D45" s="654"/>
      <c r="E45" s="627" t="s">
        <v>84</v>
      </c>
      <c r="F45" s="667" t="s">
        <v>269</v>
      </c>
      <c r="G45" s="622"/>
      <c r="H45" s="1230"/>
      <c r="I45" s="99"/>
      <c r="J45" s="1162"/>
      <c r="K45" s="1076"/>
      <c r="L45" s="1171"/>
      <c r="M45" s="1186"/>
      <c r="N45" s="1187"/>
      <c r="O45" s="27"/>
    </row>
    <row r="46" spans="1:18" ht="32.25" customHeight="1" x14ac:dyDescent="0.2">
      <c r="A46" s="1226"/>
      <c r="B46" s="1228"/>
      <c r="C46" s="155"/>
      <c r="D46" s="1253" t="s">
        <v>5</v>
      </c>
      <c r="E46" s="1224" t="s">
        <v>149</v>
      </c>
      <c r="F46" s="668" t="s">
        <v>270</v>
      </c>
      <c r="G46" s="1256" t="s">
        <v>296</v>
      </c>
      <c r="H46" s="1244" t="s">
        <v>30</v>
      </c>
      <c r="I46" s="1263" t="s">
        <v>135</v>
      </c>
      <c r="J46" s="1163" t="s">
        <v>27</v>
      </c>
      <c r="K46" s="1071">
        <f>24/3.4528*1000</f>
        <v>6951</v>
      </c>
      <c r="L46" s="804">
        <f>6951-4909</f>
        <v>2042</v>
      </c>
      <c r="M46" s="1203">
        <f>L46-K46</f>
        <v>-4909</v>
      </c>
      <c r="N46" s="1185"/>
      <c r="O46" s="681"/>
    </row>
    <row r="47" spans="1:18" ht="17.25" customHeight="1" x14ac:dyDescent="0.2">
      <c r="A47" s="1360"/>
      <c r="B47" s="1372"/>
      <c r="C47" s="1649"/>
      <c r="D47" s="1691" t="s">
        <v>7</v>
      </c>
      <c r="E47" s="1523" t="s">
        <v>43</v>
      </c>
      <c r="F47" s="1702"/>
      <c r="G47" s="1656" t="s">
        <v>294</v>
      </c>
      <c r="H47" s="1450" t="s">
        <v>30</v>
      </c>
      <c r="I47" s="1707" t="s">
        <v>337</v>
      </c>
      <c r="J47" s="1164" t="s">
        <v>27</v>
      </c>
      <c r="K47" s="1077">
        <v>8979</v>
      </c>
      <c r="L47" s="1172">
        <v>8979</v>
      </c>
      <c r="M47" s="1109"/>
      <c r="N47" s="581"/>
      <c r="O47" s="582"/>
    </row>
    <row r="48" spans="1:18" ht="17.25" customHeight="1" x14ac:dyDescent="0.2">
      <c r="A48" s="1360"/>
      <c r="B48" s="1372"/>
      <c r="C48" s="1649"/>
      <c r="D48" s="1538"/>
      <c r="E48" s="1521"/>
      <c r="F48" s="1366"/>
      <c r="G48" s="1620"/>
      <c r="H48" s="1368"/>
      <c r="I48" s="1708"/>
      <c r="J48" s="1165" t="s">
        <v>332</v>
      </c>
      <c r="K48" s="1070">
        <v>289</v>
      </c>
      <c r="L48" s="1173">
        <v>289</v>
      </c>
      <c r="M48" s="1110"/>
      <c r="N48" s="146"/>
      <c r="O48" s="552"/>
    </row>
    <row r="49" spans="1:17" ht="23.25" customHeight="1" x14ac:dyDescent="0.2">
      <c r="A49" s="1360"/>
      <c r="B49" s="1372"/>
      <c r="C49" s="1649"/>
      <c r="D49" s="1692"/>
      <c r="E49" s="1701"/>
      <c r="F49" s="1432"/>
      <c r="G49" s="1682"/>
      <c r="H49" s="1434"/>
      <c r="I49" s="1708"/>
      <c r="J49" s="1166" t="s">
        <v>44</v>
      </c>
      <c r="K49" s="1078">
        <f>9/3.4528*1000</f>
        <v>2607</v>
      </c>
      <c r="L49" s="1174">
        <f>9/3.4528*1000</f>
        <v>2607</v>
      </c>
      <c r="M49" s="1111"/>
      <c r="N49" s="583"/>
      <c r="O49" s="579"/>
    </row>
    <row r="50" spans="1:17" ht="14.25" customHeight="1" x14ac:dyDescent="0.2">
      <c r="A50" s="1226"/>
      <c r="B50" s="1238"/>
      <c r="C50" s="1250"/>
      <c r="D50" s="892" t="s">
        <v>29</v>
      </c>
      <c r="E50" s="1523" t="s">
        <v>103</v>
      </c>
      <c r="F50" s="1240"/>
      <c r="G50" s="1643" t="s">
        <v>295</v>
      </c>
      <c r="H50" s="1225" t="s">
        <v>30</v>
      </c>
      <c r="I50" s="1652"/>
      <c r="J50" s="1164" t="s">
        <v>44</v>
      </c>
      <c r="K50" s="1072">
        <v>24328</v>
      </c>
      <c r="L50" s="840">
        <v>24328</v>
      </c>
      <c r="M50" s="1104"/>
      <c r="N50" s="1241"/>
      <c r="O50" s="173"/>
      <c r="P50" s="826"/>
    </row>
    <row r="51" spans="1:17" ht="17.25" customHeight="1" x14ac:dyDescent="0.2">
      <c r="A51" s="1226"/>
      <c r="B51" s="1238"/>
      <c r="C51" s="155"/>
      <c r="D51" s="1234"/>
      <c r="E51" s="1706"/>
      <c r="F51" s="1240"/>
      <c r="G51" s="1717"/>
      <c r="H51" s="1225"/>
      <c r="I51" s="1248"/>
      <c r="J51" s="67" t="s">
        <v>332</v>
      </c>
      <c r="K51" s="1075">
        <v>195</v>
      </c>
      <c r="L51" s="806">
        <v>195</v>
      </c>
      <c r="M51" s="1105"/>
      <c r="N51" s="1231"/>
      <c r="O51" s="1239"/>
      <c r="P51" s="826"/>
    </row>
    <row r="52" spans="1:17" ht="18" customHeight="1" x14ac:dyDescent="0.2">
      <c r="A52" s="1226"/>
      <c r="B52" s="1238"/>
      <c r="C52" s="155"/>
      <c r="D52" s="721" t="s">
        <v>37</v>
      </c>
      <c r="E52" s="1709" t="s">
        <v>240</v>
      </c>
      <c r="F52" s="723"/>
      <c r="G52" s="1249"/>
      <c r="H52" s="725" t="s">
        <v>30</v>
      </c>
      <c r="I52" s="1710" t="s">
        <v>337</v>
      </c>
      <c r="J52" s="1167" t="s">
        <v>27</v>
      </c>
      <c r="K52" s="1079">
        <f>1405.1/3.4528*1000</f>
        <v>406945</v>
      </c>
      <c r="L52" s="1175">
        <f>1405.1/3.4528*1000</f>
        <v>406945</v>
      </c>
      <c r="M52" s="1112"/>
      <c r="N52" s="728"/>
      <c r="O52" s="729"/>
      <c r="P52" s="826"/>
    </row>
    <row r="53" spans="1:17" ht="18" customHeight="1" x14ac:dyDescent="0.2">
      <c r="A53" s="1226"/>
      <c r="B53" s="1238"/>
      <c r="C53" s="155"/>
      <c r="D53" s="1237"/>
      <c r="E53" s="1709"/>
      <c r="F53" s="724"/>
      <c r="G53" s="1260"/>
      <c r="H53" s="1245"/>
      <c r="I53" s="1667"/>
      <c r="J53" s="1168" t="s">
        <v>44</v>
      </c>
      <c r="K53" s="1080">
        <v>6719</v>
      </c>
      <c r="L53" s="1176">
        <v>6719</v>
      </c>
      <c r="M53" s="1113"/>
      <c r="N53" s="257"/>
      <c r="O53" s="238"/>
      <c r="P53" s="826"/>
    </row>
    <row r="54" spans="1:17" ht="18" customHeight="1" x14ac:dyDescent="0.2">
      <c r="A54" s="1226"/>
      <c r="B54" s="1238"/>
      <c r="C54" s="155"/>
      <c r="D54" s="1237"/>
      <c r="E54" s="1709"/>
      <c r="F54" s="724"/>
      <c r="G54" s="1260"/>
      <c r="H54" s="1245"/>
      <c r="I54" s="1667"/>
      <c r="J54" s="1168" t="s">
        <v>332</v>
      </c>
      <c r="K54" s="1080">
        <v>1680</v>
      </c>
      <c r="L54" s="1176">
        <v>1680</v>
      </c>
      <c r="M54" s="1113"/>
      <c r="N54" s="257"/>
      <c r="O54" s="238"/>
      <c r="P54" s="826"/>
    </row>
    <row r="55" spans="1:17" ht="27" customHeight="1" x14ac:dyDescent="0.2">
      <c r="A55" s="1226"/>
      <c r="B55" s="1238"/>
      <c r="C55" s="155"/>
      <c r="D55" s="722"/>
      <c r="E55" s="1709"/>
      <c r="F55" s="724"/>
      <c r="G55" s="1713" t="s">
        <v>293</v>
      </c>
      <c r="H55" s="1245"/>
      <c r="I55" s="1667"/>
      <c r="J55" s="345" t="s">
        <v>27</v>
      </c>
      <c r="K55" s="290"/>
      <c r="L55" s="1184">
        <f>10263+4066</f>
        <v>14329</v>
      </c>
      <c r="M55" s="1181">
        <f>L55-K55</f>
        <v>14329</v>
      </c>
      <c r="N55" s="1266" t="s">
        <v>356</v>
      </c>
      <c r="O55" s="1183">
        <v>7</v>
      </c>
      <c r="P55" s="826"/>
      <c r="Q55" s="50"/>
    </row>
    <row r="56" spans="1:17" ht="29.25" customHeight="1" x14ac:dyDescent="0.2">
      <c r="A56" s="1226"/>
      <c r="B56" s="1238"/>
      <c r="C56" s="155"/>
      <c r="D56" s="722"/>
      <c r="E56" s="1258" t="s">
        <v>108</v>
      </c>
      <c r="F56" s="724"/>
      <c r="G56" s="1714"/>
      <c r="H56" s="1245"/>
      <c r="I56" s="1667"/>
      <c r="J56" s="1169" t="s">
        <v>27</v>
      </c>
      <c r="K56" s="1081">
        <f>10/3.4528*1000</f>
        <v>2896</v>
      </c>
      <c r="L56" s="1177">
        <f>10/3.4528*1000</f>
        <v>2896</v>
      </c>
      <c r="M56" s="1114"/>
      <c r="N56" s="153"/>
      <c r="O56" s="237"/>
      <c r="P56" s="826"/>
      <c r="Q56" s="826"/>
    </row>
    <row r="57" spans="1:17" ht="19.5" customHeight="1" x14ac:dyDescent="0.2">
      <c r="A57" s="1226"/>
      <c r="B57" s="1228"/>
      <c r="C57" s="155"/>
      <c r="D57" s="722"/>
      <c r="E57" s="1258" t="s">
        <v>106</v>
      </c>
      <c r="F57" s="724"/>
      <c r="G57" s="1714"/>
      <c r="H57" s="1245"/>
      <c r="I57" s="1667"/>
      <c r="J57" s="1170" t="s">
        <v>27</v>
      </c>
      <c r="K57" s="1082">
        <f>217.8/3.4528*1000</f>
        <v>63079</v>
      </c>
      <c r="L57" s="1178">
        <f>217.8/3.4528*1000</f>
        <v>63079</v>
      </c>
      <c r="M57" s="1115"/>
      <c r="N57" s="116"/>
      <c r="O57" s="118"/>
      <c r="P57" s="826"/>
    </row>
    <row r="58" spans="1:17" ht="31.5" customHeight="1" x14ac:dyDescent="0.2">
      <c r="A58" s="101"/>
      <c r="B58" s="1238"/>
      <c r="C58" s="155"/>
      <c r="D58" s="722"/>
      <c r="E58" s="169" t="s">
        <v>107</v>
      </c>
      <c r="F58" s="724"/>
      <c r="G58" s="1714"/>
      <c r="H58" s="1245"/>
      <c r="I58" s="726"/>
      <c r="J58" s="1168" t="s">
        <v>27</v>
      </c>
      <c r="K58" s="1070">
        <f>250/3.4528*1000</f>
        <v>72405</v>
      </c>
      <c r="L58" s="1173">
        <f>250/3.4528*1000</f>
        <v>72405</v>
      </c>
      <c r="M58" s="1110"/>
      <c r="N58" s="146"/>
      <c r="O58" s="552"/>
      <c r="P58" s="826"/>
      <c r="Q58" s="826"/>
    </row>
    <row r="59" spans="1:17" ht="18" customHeight="1" x14ac:dyDescent="0.2">
      <c r="A59" s="1226"/>
      <c r="B59" s="1228"/>
      <c r="C59" s="1250"/>
      <c r="D59" s="1237"/>
      <c r="E59" s="1715" t="s">
        <v>150</v>
      </c>
      <c r="F59" s="724"/>
      <c r="G59" s="1714"/>
      <c r="H59" s="1245"/>
      <c r="I59" s="1257"/>
      <c r="J59" s="67" t="s">
        <v>27</v>
      </c>
      <c r="K59" s="1081">
        <f>92.5/3.4528*1000</f>
        <v>26790</v>
      </c>
      <c r="L59" s="1177">
        <f>92.5/3.4528*1000</f>
        <v>26790</v>
      </c>
      <c r="M59" s="1114"/>
      <c r="N59" s="121"/>
      <c r="O59" s="1239"/>
    </row>
    <row r="60" spans="1:17" ht="16.5" customHeight="1" x14ac:dyDescent="0.2">
      <c r="A60" s="1226"/>
      <c r="B60" s="1228"/>
      <c r="C60" s="1250"/>
      <c r="D60" s="1237"/>
      <c r="E60" s="1716"/>
      <c r="F60" s="724"/>
      <c r="G60" s="1714"/>
      <c r="H60" s="1245"/>
      <c r="I60" s="1257"/>
      <c r="J60" s="67"/>
      <c r="K60" s="1081"/>
      <c r="L60" s="1177"/>
      <c r="M60" s="1114"/>
      <c r="N60" s="153"/>
      <c r="O60" s="118"/>
      <c r="P60" s="50"/>
      <c r="Q60" s="50"/>
    </row>
    <row r="61" spans="1:17" ht="17.25" customHeight="1" x14ac:dyDescent="0.2">
      <c r="A61" s="1226"/>
      <c r="B61" s="1228"/>
      <c r="C61" s="1250"/>
      <c r="D61" s="1237"/>
      <c r="E61" s="1716"/>
      <c r="F61" s="724"/>
      <c r="G61" s="771"/>
      <c r="H61" s="1245"/>
      <c r="I61" s="1257"/>
      <c r="J61" s="67"/>
      <c r="K61" s="1081"/>
      <c r="L61" s="1177"/>
      <c r="M61" s="1114"/>
      <c r="N61" s="257"/>
      <c r="O61" s="159"/>
      <c r="P61" s="156"/>
    </row>
    <row r="62" spans="1:17" ht="18" customHeight="1" x14ac:dyDescent="0.2">
      <c r="A62" s="1226"/>
      <c r="B62" s="1228"/>
      <c r="C62" s="1250"/>
      <c r="D62" s="1237"/>
      <c r="E62" s="169" t="s">
        <v>151</v>
      </c>
      <c r="F62" s="724"/>
      <c r="G62" s="771"/>
      <c r="H62" s="1245"/>
      <c r="I62" s="1257"/>
      <c r="J62" s="1168" t="s">
        <v>27</v>
      </c>
      <c r="K62" s="1082">
        <f>6/3.4528*1000</f>
        <v>1738</v>
      </c>
      <c r="L62" s="1178">
        <f>6/3.4528*1000</f>
        <v>1738</v>
      </c>
      <c r="M62" s="1115"/>
      <c r="N62" s="121"/>
      <c r="O62" s="118"/>
    </row>
    <row r="63" spans="1:17" ht="15.75" customHeight="1" x14ac:dyDescent="0.2">
      <c r="A63" s="1226"/>
      <c r="B63" s="1228"/>
      <c r="C63" s="1250"/>
      <c r="D63" s="1252"/>
      <c r="E63" s="1259" t="s">
        <v>152</v>
      </c>
      <c r="F63" s="1246"/>
      <c r="G63" s="767"/>
      <c r="H63" s="1247"/>
      <c r="I63" s="177"/>
      <c r="J63" s="1166" t="s">
        <v>27</v>
      </c>
      <c r="K63" s="1083">
        <f>24/3.4528*1000</f>
        <v>6951</v>
      </c>
      <c r="L63" s="1179">
        <f>24/3.4528*1000</f>
        <v>6951</v>
      </c>
      <c r="M63" s="1116"/>
      <c r="N63" s="40"/>
      <c r="O63" s="711"/>
    </row>
    <row r="64" spans="1:17" ht="13.5" thickBot="1" x14ac:dyDescent="0.25">
      <c r="A64" s="102"/>
      <c r="B64" s="1236"/>
      <c r="C64" s="107"/>
      <c r="D64" s="108"/>
      <c r="E64" s="109"/>
      <c r="F64" s="110"/>
      <c r="G64" s="111"/>
      <c r="H64" s="112"/>
      <c r="I64" s="1630" t="s">
        <v>129</v>
      </c>
      <c r="J64" s="1703"/>
      <c r="K64" s="1067">
        <f>SUM(K46:K63)</f>
        <v>632552</v>
      </c>
      <c r="L64" s="1180">
        <f>SUM(L46:L63)</f>
        <v>641972</v>
      </c>
      <c r="M64" s="1182">
        <f>SUM(M46:M63)</f>
        <v>9420</v>
      </c>
      <c r="N64" s="580"/>
      <c r="O64" s="680"/>
    </row>
    <row r="65" spans="1:19" ht="26.25" customHeight="1" x14ac:dyDescent="0.2">
      <c r="A65" s="1001" t="s">
        <v>5</v>
      </c>
      <c r="B65" s="1004" t="s">
        <v>5</v>
      </c>
      <c r="C65" s="1038" t="s">
        <v>37</v>
      </c>
      <c r="D65" s="1039"/>
      <c r="E65" s="627" t="s">
        <v>85</v>
      </c>
      <c r="F65" s="669" t="s">
        <v>212</v>
      </c>
      <c r="G65" s="622"/>
      <c r="H65" s="998"/>
      <c r="I65" s="52"/>
      <c r="J65" s="11" t="s">
        <v>27</v>
      </c>
      <c r="K65" s="803"/>
      <c r="L65" s="1085"/>
      <c r="M65" s="1117"/>
      <c r="N65" s="1049"/>
      <c r="O65" s="623"/>
    </row>
    <row r="66" spans="1:19" x14ac:dyDescent="0.2">
      <c r="A66" s="1360"/>
      <c r="B66" s="1372"/>
      <c r="C66" s="1649"/>
      <c r="D66" s="1704" t="s">
        <v>5</v>
      </c>
      <c r="E66" s="1504" t="s">
        <v>48</v>
      </c>
      <c r="F66" s="1488"/>
      <c r="G66" s="1696" t="s">
        <v>297</v>
      </c>
      <c r="H66" s="1698" t="s">
        <v>30</v>
      </c>
      <c r="I66" s="1651" t="s">
        <v>128</v>
      </c>
      <c r="J66" s="734" t="s">
        <v>27</v>
      </c>
      <c r="K66" s="796">
        <f>3957.5/3.4528*1000</f>
        <v>1146171</v>
      </c>
      <c r="L66" s="1069">
        <f>3957.5/3.4528*1000</f>
        <v>1146171</v>
      </c>
      <c r="M66" s="1104"/>
      <c r="N66" s="1484"/>
      <c r="O66" s="1477"/>
    </row>
    <row r="67" spans="1:19" ht="16.5" customHeight="1" x14ac:dyDescent="0.2">
      <c r="A67" s="1360"/>
      <c r="B67" s="1372"/>
      <c r="C67" s="1649"/>
      <c r="D67" s="1705"/>
      <c r="E67" s="1505"/>
      <c r="F67" s="1489"/>
      <c r="G67" s="1697"/>
      <c r="H67" s="1699"/>
      <c r="I67" s="1651"/>
      <c r="J67" s="733"/>
      <c r="K67" s="798"/>
      <c r="L67" s="1071"/>
      <c r="M67" s="1106"/>
      <c r="N67" s="1485"/>
      <c r="O67" s="1478"/>
    </row>
    <row r="68" spans="1:19" ht="26.25" customHeight="1" x14ac:dyDescent="0.2">
      <c r="A68" s="1360"/>
      <c r="B68" s="1372"/>
      <c r="C68" s="1649"/>
      <c r="D68" s="1691" t="s">
        <v>7</v>
      </c>
      <c r="E68" s="1479" t="s">
        <v>47</v>
      </c>
      <c r="F68" s="1481" t="s">
        <v>118</v>
      </c>
      <c r="G68" s="1643" t="s">
        <v>298</v>
      </c>
      <c r="H68" s="1450" t="s">
        <v>30</v>
      </c>
      <c r="I68" s="1746"/>
      <c r="J68" s="734" t="s">
        <v>27</v>
      </c>
      <c r="K68" s="796">
        <f>2971.4/3.4528*1000</f>
        <v>860577</v>
      </c>
      <c r="L68" s="1069">
        <f>860577+73453</f>
        <v>934030</v>
      </c>
      <c r="M68" s="1124">
        <f>L68-K68</f>
        <v>73453</v>
      </c>
      <c r="N68" s="1222" t="s">
        <v>355</v>
      </c>
      <c r="O68" s="1223">
        <v>59</v>
      </c>
    </row>
    <row r="69" spans="1:19" ht="25.5" customHeight="1" x14ac:dyDescent="0.2">
      <c r="A69" s="1360"/>
      <c r="B69" s="1372"/>
      <c r="C69" s="1649"/>
      <c r="D69" s="1538"/>
      <c r="E69" s="1455"/>
      <c r="F69" s="1693"/>
      <c r="G69" s="1694"/>
      <c r="H69" s="1368"/>
      <c r="I69" s="1746"/>
      <c r="J69" s="82"/>
      <c r="K69" s="800"/>
      <c r="L69" s="1149"/>
      <c r="M69" s="1150"/>
      <c r="N69" s="1220"/>
      <c r="O69" s="1219"/>
    </row>
    <row r="70" spans="1:19" ht="27" customHeight="1" x14ac:dyDescent="0.2">
      <c r="A70" s="1360"/>
      <c r="B70" s="1372"/>
      <c r="C70" s="1649"/>
      <c r="D70" s="1692"/>
      <c r="E70" s="1480"/>
      <c r="F70" s="1482"/>
      <c r="G70" s="1695"/>
      <c r="H70" s="1434"/>
      <c r="I70" s="1746"/>
      <c r="J70" s="70"/>
      <c r="K70" s="747"/>
      <c r="L70" s="1078"/>
      <c r="M70" s="1111"/>
      <c r="N70" s="1202"/>
      <c r="O70" s="1201"/>
    </row>
    <row r="71" spans="1:19" ht="28.5" customHeight="1" x14ac:dyDescent="0.2">
      <c r="A71" s="994"/>
      <c r="B71" s="167"/>
      <c r="C71" s="1030"/>
      <c r="D71" s="1031" t="s">
        <v>29</v>
      </c>
      <c r="E71" s="978" t="s">
        <v>280</v>
      </c>
      <c r="F71" s="1014"/>
      <c r="G71" s="1643" t="s">
        <v>299</v>
      </c>
      <c r="H71" s="1018" t="s">
        <v>30</v>
      </c>
      <c r="I71" s="1029"/>
      <c r="J71" s="12" t="s">
        <v>281</v>
      </c>
      <c r="K71" s="808">
        <v>172255</v>
      </c>
      <c r="L71" s="1086">
        <v>172255</v>
      </c>
      <c r="M71" s="1118"/>
      <c r="N71" s="1152"/>
      <c r="O71" s="1153"/>
    </row>
    <row r="72" spans="1:19" ht="39.75" customHeight="1" x14ac:dyDescent="0.2">
      <c r="A72" s="994"/>
      <c r="B72" s="167"/>
      <c r="C72" s="1030"/>
      <c r="D72" s="1002"/>
      <c r="E72" s="261"/>
      <c r="F72" s="977"/>
      <c r="G72" s="1700"/>
      <c r="H72" s="985"/>
      <c r="I72" s="1029"/>
      <c r="J72" s="12"/>
      <c r="K72" s="808"/>
      <c r="L72" s="1086"/>
      <c r="M72" s="1118"/>
      <c r="N72" s="310"/>
      <c r="O72" s="1050"/>
    </row>
    <row r="73" spans="1:19" ht="54" customHeight="1" x14ac:dyDescent="0.2">
      <c r="A73" s="994"/>
      <c r="B73" s="167"/>
      <c r="C73" s="1030"/>
      <c r="D73" s="1002"/>
      <c r="E73" s="261"/>
      <c r="F73" s="977"/>
      <c r="G73" s="1700"/>
      <c r="H73" s="985"/>
      <c r="I73" s="1029"/>
      <c r="J73" s="12"/>
      <c r="K73" s="808"/>
      <c r="L73" s="1086"/>
      <c r="M73" s="1118"/>
      <c r="N73" s="1044"/>
      <c r="O73" s="981"/>
    </row>
    <row r="74" spans="1:19" ht="53.25" customHeight="1" x14ac:dyDescent="0.2">
      <c r="A74" s="994"/>
      <c r="B74" s="167"/>
      <c r="C74" s="1030"/>
      <c r="D74" s="1002"/>
      <c r="E74" s="261"/>
      <c r="F74" s="977"/>
      <c r="G74" s="1700"/>
      <c r="H74" s="985"/>
      <c r="I74" s="1029"/>
      <c r="J74" s="12"/>
      <c r="K74" s="808"/>
      <c r="L74" s="1086"/>
      <c r="M74" s="1118"/>
      <c r="N74" s="1044"/>
      <c r="O74" s="981"/>
    </row>
    <row r="75" spans="1:19" ht="51" customHeight="1" x14ac:dyDescent="0.2">
      <c r="A75" s="994"/>
      <c r="B75" s="167"/>
      <c r="C75" s="1030"/>
      <c r="D75" s="1002"/>
      <c r="E75" s="261"/>
      <c r="F75" s="977"/>
      <c r="G75" s="1700"/>
      <c r="H75" s="985"/>
      <c r="I75" s="1029"/>
      <c r="J75" s="12"/>
      <c r="K75" s="808"/>
      <c r="L75" s="1086"/>
      <c r="M75" s="1118"/>
      <c r="N75" s="540"/>
      <c r="O75" s="1051"/>
    </row>
    <row r="76" spans="1:19" ht="54" customHeight="1" x14ac:dyDescent="0.2">
      <c r="A76" s="994"/>
      <c r="B76" s="167"/>
      <c r="C76" s="1030"/>
      <c r="D76" s="1032"/>
      <c r="E76" s="984"/>
      <c r="F76" s="1015"/>
      <c r="G76" s="1037"/>
      <c r="H76" s="1023"/>
      <c r="I76" s="1029"/>
      <c r="J76" s="70"/>
      <c r="K76" s="747"/>
      <c r="L76" s="1078"/>
      <c r="M76" s="1111"/>
      <c r="N76" s="982"/>
      <c r="O76" s="983"/>
    </row>
    <row r="77" spans="1:19" ht="38.25" customHeight="1" x14ac:dyDescent="0.2">
      <c r="A77" s="994"/>
      <c r="B77" s="167"/>
      <c r="C77" s="1030"/>
      <c r="D77" s="1002" t="s">
        <v>37</v>
      </c>
      <c r="E77" s="1006" t="s">
        <v>154</v>
      </c>
      <c r="F77" s="1012"/>
      <c r="G77" s="774" t="s">
        <v>300</v>
      </c>
      <c r="H77" s="985" t="s">
        <v>30</v>
      </c>
      <c r="I77" s="1028"/>
      <c r="J77" s="70" t="s">
        <v>27</v>
      </c>
      <c r="K77" s="798">
        <f>102.7/3.4528*1000</f>
        <v>29744</v>
      </c>
      <c r="L77" s="1071">
        <f>102.7/3.4528*1000</f>
        <v>29744</v>
      </c>
      <c r="M77" s="1105"/>
      <c r="N77" s="584"/>
      <c r="O77" s="486"/>
      <c r="Q77" s="50"/>
      <c r="R77" s="50"/>
      <c r="S77" s="875"/>
    </row>
    <row r="78" spans="1:19" ht="27" customHeight="1" x14ac:dyDescent="0.2">
      <c r="A78" s="994"/>
      <c r="B78" s="1007"/>
      <c r="C78" s="1030"/>
      <c r="D78" s="1033" t="s">
        <v>38</v>
      </c>
      <c r="E78" s="57" t="s">
        <v>49</v>
      </c>
      <c r="F78" s="1034"/>
      <c r="G78" s="775" t="s">
        <v>301</v>
      </c>
      <c r="H78" s="1035" t="s">
        <v>30</v>
      </c>
      <c r="I78" s="177"/>
      <c r="J78" s="18" t="s">
        <v>70</v>
      </c>
      <c r="K78" s="793">
        <f>2038/3.4528*1000</f>
        <v>590246</v>
      </c>
      <c r="L78" s="842">
        <f>2038/3.4528*1000</f>
        <v>590246</v>
      </c>
      <c r="M78" s="794"/>
      <c r="N78" s="56"/>
      <c r="O78" s="45"/>
    </row>
    <row r="79" spans="1:19" ht="13.5" thickBot="1" x14ac:dyDescent="0.25">
      <c r="A79" s="102"/>
      <c r="B79" s="1005"/>
      <c r="C79" s="107"/>
      <c r="D79" s="108"/>
      <c r="E79" s="109"/>
      <c r="F79" s="110"/>
      <c r="G79" s="772"/>
      <c r="H79" s="112"/>
      <c r="I79" s="1630" t="s">
        <v>129</v>
      </c>
      <c r="J79" s="1631"/>
      <c r="K79" s="802">
        <f>SUM(K66:K78)</f>
        <v>2798993</v>
      </c>
      <c r="L79" s="1067">
        <f>SUM(L66:L78)</f>
        <v>2872446</v>
      </c>
      <c r="M79" s="1125">
        <f>SUM(M66:M78)</f>
        <v>73453</v>
      </c>
      <c r="N79" s="1659"/>
      <c r="O79" s="1660"/>
    </row>
    <row r="80" spans="1:19" ht="26.25" customHeight="1" x14ac:dyDescent="0.2">
      <c r="A80" s="1359" t="s">
        <v>5</v>
      </c>
      <c r="B80" s="1373" t="s">
        <v>5</v>
      </c>
      <c r="C80" s="1363" t="s">
        <v>38</v>
      </c>
      <c r="D80" s="1684"/>
      <c r="E80" s="1687" t="s">
        <v>180</v>
      </c>
      <c r="F80" s="1365"/>
      <c r="G80" s="1669" t="s">
        <v>302</v>
      </c>
      <c r="H80" s="1474" t="s">
        <v>71</v>
      </c>
      <c r="I80" s="1675" t="s">
        <v>132</v>
      </c>
      <c r="J80" s="83" t="s">
        <v>27</v>
      </c>
      <c r="K80" s="805">
        <f>704/3.4528*1000</f>
        <v>203892</v>
      </c>
      <c r="L80" s="1087">
        <f>704/3.4528*1000</f>
        <v>203892</v>
      </c>
      <c r="M80" s="1119"/>
      <c r="N80" s="989"/>
      <c r="O80" s="1010"/>
      <c r="Q80" s="50"/>
    </row>
    <row r="81" spans="1:18" ht="24.75" customHeight="1" x14ac:dyDescent="0.2">
      <c r="A81" s="1360"/>
      <c r="B81" s="1372"/>
      <c r="C81" s="1364"/>
      <c r="D81" s="1685"/>
      <c r="E81" s="1688"/>
      <c r="F81" s="1366"/>
      <c r="G81" s="1689"/>
      <c r="H81" s="1475"/>
      <c r="I81" s="1676"/>
      <c r="J81" s="82"/>
      <c r="K81" s="800"/>
      <c r="L81" s="1075"/>
      <c r="M81" s="1105"/>
      <c r="N81" s="535"/>
      <c r="O81" s="175"/>
    </row>
    <row r="82" spans="1:18" ht="15.75" customHeight="1" x14ac:dyDescent="0.2">
      <c r="A82" s="1360"/>
      <c r="B82" s="1372"/>
      <c r="C82" s="1364"/>
      <c r="D82" s="1685"/>
      <c r="E82" s="1677" t="s">
        <v>181</v>
      </c>
      <c r="F82" s="1366"/>
      <c r="G82" s="1689"/>
      <c r="H82" s="1475"/>
      <c r="I82" s="1676"/>
      <c r="J82" s="733"/>
      <c r="K82" s="798"/>
      <c r="L82" s="1071"/>
      <c r="M82" s="1105"/>
      <c r="N82" s="999"/>
      <c r="O82" s="1010"/>
    </row>
    <row r="83" spans="1:18" ht="13.5" customHeight="1" thickBot="1" x14ac:dyDescent="0.25">
      <c r="A83" s="1470"/>
      <c r="B83" s="1471"/>
      <c r="C83" s="1472"/>
      <c r="D83" s="1686"/>
      <c r="E83" s="1491"/>
      <c r="F83" s="1473"/>
      <c r="G83" s="1690"/>
      <c r="H83" s="1476"/>
      <c r="I83" s="265"/>
      <c r="J83" s="732" t="s">
        <v>6</v>
      </c>
      <c r="K83" s="802">
        <f t="shared" ref="K83:L83" si="1">SUM(K80:K82)</f>
        <v>203892</v>
      </c>
      <c r="L83" s="1067">
        <f t="shared" si="1"/>
        <v>203892</v>
      </c>
      <c r="M83" s="802"/>
      <c r="N83" s="14"/>
      <c r="O83" s="143"/>
    </row>
    <row r="84" spans="1:18" ht="21" customHeight="1" x14ac:dyDescent="0.2">
      <c r="A84" s="1359" t="s">
        <v>5</v>
      </c>
      <c r="B84" s="1373" t="s">
        <v>5</v>
      </c>
      <c r="C84" s="1363" t="s">
        <v>31</v>
      </c>
      <c r="D84" s="1639"/>
      <c r="E84" s="1495" t="s">
        <v>174</v>
      </c>
      <c r="F84" s="1501" t="s">
        <v>110</v>
      </c>
      <c r="G84" s="1679" t="s">
        <v>303</v>
      </c>
      <c r="H84" s="1367" t="s">
        <v>66</v>
      </c>
      <c r="I84" s="1665" t="s">
        <v>133</v>
      </c>
      <c r="J84" s="83" t="s">
        <v>68</v>
      </c>
      <c r="K84" s="807">
        <v>116287</v>
      </c>
      <c r="L84" s="1088">
        <v>116287</v>
      </c>
      <c r="M84" s="1117"/>
      <c r="N84" s="1493"/>
      <c r="O84" s="72"/>
    </row>
    <row r="85" spans="1:18" ht="18.75" customHeight="1" x14ac:dyDescent="0.2">
      <c r="A85" s="1360"/>
      <c r="B85" s="1372"/>
      <c r="C85" s="1364"/>
      <c r="D85" s="1678"/>
      <c r="E85" s="1499"/>
      <c r="F85" s="1502"/>
      <c r="G85" s="1680"/>
      <c r="H85" s="1368"/>
      <c r="I85" s="1651"/>
      <c r="J85" s="114" t="s">
        <v>27</v>
      </c>
      <c r="K85" s="1084">
        <f>0.1/3.4528*1000</f>
        <v>29</v>
      </c>
      <c r="L85" s="1089">
        <f>0.1/3.4528*1000</f>
        <v>29</v>
      </c>
      <c r="M85" s="1120"/>
      <c r="N85" s="1494"/>
      <c r="O85" s="561"/>
    </row>
    <row r="86" spans="1:18" ht="13.5" customHeight="1" x14ac:dyDescent="0.2">
      <c r="A86" s="1360"/>
      <c r="B86" s="1372"/>
      <c r="C86" s="1364"/>
      <c r="D86" s="1678"/>
      <c r="E86" s="1499"/>
      <c r="F86" s="1502"/>
      <c r="G86" s="1680"/>
      <c r="H86" s="1368"/>
      <c r="I86" s="1683"/>
      <c r="J86" s="12" t="s">
        <v>69</v>
      </c>
      <c r="K86" s="808">
        <v>23758</v>
      </c>
      <c r="L86" s="1086">
        <v>23758</v>
      </c>
      <c r="M86" s="1118"/>
      <c r="N86" s="1744"/>
      <c r="O86" s="69"/>
    </row>
    <row r="87" spans="1:18" ht="13.5" thickBot="1" x14ac:dyDescent="0.25">
      <c r="A87" s="1470"/>
      <c r="B87" s="1471"/>
      <c r="C87" s="1472"/>
      <c r="D87" s="1640"/>
      <c r="E87" s="1500"/>
      <c r="F87" s="1503"/>
      <c r="G87" s="1681"/>
      <c r="H87" s="1532"/>
      <c r="I87" s="53"/>
      <c r="J87" s="730" t="s">
        <v>6</v>
      </c>
      <c r="K87" s="809">
        <f>SUM(K84:K86)</f>
        <v>140074</v>
      </c>
      <c r="L87" s="1090">
        <f>SUM(L84:L86)</f>
        <v>140074</v>
      </c>
      <c r="M87" s="802"/>
      <c r="N87" s="1745"/>
      <c r="O87" s="585"/>
      <c r="P87" s="10"/>
      <c r="R87" s="9"/>
    </row>
    <row r="88" spans="1:18" ht="39.75" customHeight="1" x14ac:dyDescent="0.2">
      <c r="A88" s="1359" t="s">
        <v>5</v>
      </c>
      <c r="B88" s="1373" t="s">
        <v>5</v>
      </c>
      <c r="C88" s="1648" t="s">
        <v>39</v>
      </c>
      <c r="D88" s="735"/>
      <c r="E88" s="1008" t="s">
        <v>114</v>
      </c>
      <c r="F88" s="1011"/>
      <c r="G88" s="773"/>
      <c r="H88" s="739"/>
      <c r="I88" s="740"/>
      <c r="J88" s="89" t="s">
        <v>27</v>
      </c>
      <c r="K88" s="810"/>
      <c r="L88" s="1091"/>
      <c r="M88" s="1121"/>
      <c r="N88" s="1009"/>
      <c r="O88" s="321"/>
    </row>
    <row r="89" spans="1:18" ht="22.5" customHeight="1" x14ac:dyDescent="0.2">
      <c r="A89" s="1360"/>
      <c r="B89" s="1372"/>
      <c r="C89" s="1649"/>
      <c r="D89" s="1024" t="s">
        <v>5</v>
      </c>
      <c r="E89" s="1671" t="s">
        <v>113</v>
      </c>
      <c r="F89" s="1673" t="s">
        <v>211</v>
      </c>
      <c r="G89" s="1656" t="s">
        <v>305</v>
      </c>
      <c r="H89" s="783">
        <v>5</v>
      </c>
      <c r="I89" s="1667" t="s">
        <v>134</v>
      </c>
      <c r="J89" s="316" t="s">
        <v>27</v>
      </c>
      <c r="K89" s="799">
        <f>22/3.4528*1000</f>
        <v>6372</v>
      </c>
      <c r="L89" s="1072">
        <f>22/3.4528*1000</f>
        <v>6372</v>
      </c>
      <c r="M89" s="1104"/>
      <c r="N89" s="586"/>
      <c r="O89" s="173"/>
    </row>
    <row r="90" spans="1:18" ht="18" customHeight="1" x14ac:dyDescent="0.2">
      <c r="A90" s="1360"/>
      <c r="B90" s="1372"/>
      <c r="C90" s="1649"/>
      <c r="D90" s="1024"/>
      <c r="E90" s="1672"/>
      <c r="F90" s="1674"/>
      <c r="G90" s="1620"/>
      <c r="H90" s="738"/>
      <c r="I90" s="1668"/>
      <c r="J90" s="315" t="s">
        <v>68</v>
      </c>
      <c r="K90" s="801">
        <f>53.5/3.4528*1000</f>
        <v>15495</v>
      </c>
      <c r="L90" s="1074">
        <f>53.5/3.4528*1000</f>
        <v>15495</v>
      </c>
      <c r="M90" s="1108"/>
      <c r="N90" s="587"/>
      <c r="O90" s="175"/>
    </row>
    <row r="91" spans="1:18" ht="43.5" customHeight="1" x14ac:dyDescent="0.2">
      <c r="A91" s="1360"/>
      <c r="B91" s="1372"/>
      <c r="C91" s="1649"/>
      <c r="D91" s="124"/>
      <c r="E91" s="266" t="s">
        <v>241</v>
      </c>
      <c r="F91" s="776" t="s">
        <v>117</v>
      </c>
      <c r="G91" s="1682"/>
      <c r="H91" s="777"/>
      <c r="I91" s="736"/>
      <c r="J91" s="427" t="s">
        <v>70</v>
      </c>
      <c r="K91" s="811"/>
      <c r="L91" s="1092"/>
      <c r="M91" s="1122"/>
      <c r="N91" s="578"/>
      <c r="O91" s="314"/>
    </row>
    <row r="92" spans="1:18" ht="56.25" customHeight="1" x14ac:dyDescent="0.2">
      <c r="A92" s="101"/>
      <c r="B92" s="1007"/>
      <c r="C92" s="155"/>
      <c r="D92" s="1033" t="s">
        <v>7</v>
      </c>
      <c r="E92" s="269" t="s">
        <v>214</v>
      </c>
      <c r="F92" s="614"/>
      <c r="G92" s="769" t="s">
        <v>304</v>
      </c>
      <c r="H92" s="719"/>
      <c r="I92" s="737"/>
      <c r="J92" s="70"/>
      <c r="K92" s="747"/>
      <c r="L92" s="1078"/>
      <c r="M92" s="1111"/>
      <c r="N92" s="274"/>
      <c r="O92" s="731"/>
    </row>
    <row r="93" spans="1:18" ht="13.5" thickBot="1" x14ac:dyDescent="0.25">
      <c r="A93" s="102"/>
      <c r="B93" s="997"/>
      <c r="C93" s="107"/>
      <c r="D93" s="108"/>
      <c r="E93" s="109"/>
      <c r="F93" s="110"/>
      <c r="G93" s="772"/>
      <c r="H93" s="112"/>
      <c r="I93" s="1630" t="s">
        <v>129</v>
      </c>
      <c r="J93" s="1631"/>
      <c r="K93" s="802">
        <f>SUM(K89:K91)</f>
        <v>21867</v>
      </c>
      <c r="L93" s="1067">
        <f>SUM(L89:L91)</f>
        <v>21867</v>
      </c>
      <c r="M93" s="802"/>
      <c r="N93" s="1659"/>
      <c r="O93" s="1660"/>
    </row>
    <row r="94" spans="1:18" ht="30" customHeight="1" x14ac:dyDescent="0.2">
      <c r="A94" s="994" t="s">
        <v>5</v>
      </c>
      <c r="B94" s="996" t="s">
        <v>5</v>
      </c>
      <c r="C94" s="1363" t="s">
        <v>32</v>
      </c>
      <c r="D94" s="1639"/>
      <c r="E94" s="1661" t="s">
        <v>338</v>
      </c>
      <c r="F94" s="1003"/>
      <c r="G94" s="1669" t="s">
        <v>306</v>
      </c>
      <c r="H94" s="998" t="s">
        <v>30</v>
      </c>
      <c r="I94" s="1632" t="s">
        <v>135</v>
      </c>
      <c r="J94" s="1145" t="s">
        <v>27</v>
      </c>
      <c r="K94" s="813">
        <f>145.2/3.4528*1000</f>
        <v>42053</v>
      </c>
      <c r="L94" s="1093">
        <f>145.2/3.4528*1000</f>
        <v>42053</v>
      </c>
      <c r="M94" s="1093"/>
      <c r="N94" s="611"/>
      <c r="O94" s="682"/>
    </row>
    <row r="95" spans="1:18" ht="13.5" thickBot="1" x14ac:dyDescent="0.25">
      <c r="A95" s="101"/>
      <c r="B95" s="1007"/>
      <c r="C95" s="1472"/>
      <c r="D95" s="1640"/>
      <c r="E95" s="1522"/>
      <c r="F95" s="150"/>
      <c r="G95" s="1670"/>
      <c r="H95" s="149"/>
      <c r="I95" s="1662"/>
      <c r="J95" s="732" t="s">
        <v>6</v>
      </c>
      <c r="K95" s="795">
        <f t="shared" ref="K95:L97" si="2">SUM(K94:K94)</f>
        <v>42053</v>
      </c>
      <c r="L95" s="1067">
        <f t="shared" si="2"/>
        <v>42053</v>
      </c>
      <c r="M95" s="802"/>
      <c r="N95" s="14"/>
      <c r="O95" s="143"/>
    </row>
    <row r="96" spans="1:18" ht="29.25" customHeight="1" x14ac:dyDescent="0.2">
      <c r="A96" s="1359" t="s">
        <v>5</v>
      </c>
      <c r="B96" s="1373" t="s">
        <v>5</v>
      </c>
      <c r="C96" s="1363" t="s">
        <v>109</v>
      </c>
      <c r="D96" s="1639"/>
      <c r="E96" s="1517" t="s">
        <v>96</v>
      </c>
      <c r="F96" s="1519"/>
      <c r="G96" s="1663" t="s">
        <v>307</v>
      </c>
      <c r="H96" s="998" t="s">
        <v>30</v>
      </c>
      <c r="I96" s="1665" t="s">
        <v>146</v>
      </c>
      <c r="J96" s="11" t="s">
        <v>27</v>
      </c>
      <c r="K96" s="813">
        <f>300/3.4528*1000</f>
        <v>86886</v>
      </c>
      <c r="L96" s="1093">
        <f>300/3.4528*1000</f>
        <v>86886</v>
      </c>
      <c r="M96" s="1119"/>
      <c r="N96" s="905"/>
      <c r="O96" s="486"/>
    </row>
    <row r="97" spans="1:18" ht="13.5" thickBot="1" x14ac:dyDescent="0.25">
      <c r="A97" s="1470"/>
      <c r="B97" s="1471"/>
      <c r="C97" s="1472"/>
      <c r="D97" s="1640"/>
      <c r="E97" s="1518"/>
      <c r="F97" s="1520"/>
      <c r="G97" s="1664"/>
      <c r="H97" s="986"/>
      <c r="I97" s="1666"/>
      <c r="J97" s="730" t="s">
        <v>6</v>
      </c>
      <c r="K97" s="812">
        <f t="shared" si="2"/>
        <v>86886</v>
      </c>
      <c r="L97" s="1090">
        <f t="shared" si="2"/>
        <v>86886</v>
      </c>
      <c r="M97" s="802"/>
      <c r="N97" s="14"/>
      <c r="O97" s="143"/>
    </row>
    <row r="98" spans="1:18" ht="13.5" thickBot="1" x14ac:dyDescent="0.25">
      <c r="A98" s="103" t="s">
        <v>5</v>
      </c>
      <c r="B98" s="7" t="s">
        <v>5</v>
      </c>
      <c r="C98" s="1508" t="s">
        <v>8</v>
      </c>
      <c r="D98" s="1508"/>
      <c r="E98" s="1508"/>
      <c r="F98" s="1508"/>
      <c r="G98" s="1508"/>
      <c r="H98" s="1508"/>
      <c r="I98" s="1508"/>
      <c r="J98" s="1509"/>
      <c r="K98" s="814">
        <f>K97+K93+K87+K83+K79+K64+K44+K33+K95</f>
        <v>6557080</v>
      </c>
      <c r="L98" s="1094">
        <f>L97+L93+L87+L83+L79+L64+L44+L33+L95</f>
        <v>6566500</v>
      </c>
      <c r="M98" s="1195">
        <f>M97+M93+M87+M83+M79+M64+M44+M33+M95</f>
        <v>9420</v>
      </c>
      <c r="N98" s="28"/>
      <c r="O98" s="30"/>
    </row>
    <row r="99" spans="1:18" ht="13.5" thickBot="1" x14ac:dyDescent="0.25">
      <c r="A99" s="103" t="s">
        <v>5</v>
      </c>
      <c r="B99" s="7" t="s">
        <v>7</v>
      </c>
      <c r="C99" s="1510" t="s">
        <v>52</v>
      </c>
      <c r="D99" s="1511"/>
      <c r="E99" s="1511"/>
      <c r="F99" s="1511"/>
      <c r="G99" s="1511"/>
      <c r="H99" s="1511"/>
      <c r="I99" s="1511"/>
      <c r="J99" s="1511"/>
      <c r="K99" s="1511"/>
      <c r="L99" s="1511"/>
      <c r="M99" s="1511"/>
      <c r="N99" s="1511"/>
      <c r="O99" s="1512"/>
    </row>
    <row r="100" spans="1:18" ht="25.5" customHeight="1" x14ac:dyDescent="0.2">
      <c r="A100" s="1359" t="s">
        <v>5</v>
      </c>
      <c r="B100" s="1361" t="s">
        <v>7</v>
      </c>
      <c r="C100" s="1648" t="s">
        <v>5</v>
      </c>
      <c r="D100" s="670"/>
      <c r="E100" s="694" t="s">
        <v>162</v>
      </c>
      <c r="F100" s="695"/>
      <c r="G100" s="696"/>
      <c r="H100" s="697" t="s">
        <v>30</v>
      </c>
      <c r="I100" s="741"/>
      <c r="J100" s="15" t="s">
        <v>27</v>
      </c>
      <c r="K100" s="1126"/>
      <c r="L100" s="1130"/>
      <c r="M100" s="1054"/>
      <c r="N100" s="989"/>
      <c r="O100" s="825"/>
      <c r="R100" s="9"/>
    </row>
    <row r="101" spans="1:18" ht="16.5" customHeight="1" x14ac:dyDescent="0.2">
      <c r="A101" s="1360"/>
      <c r="B101" s="1362"/>
      <c r="C101" s="1649"/>
      <c r="D101" s="1002" t="s">
        <v>5</v>
      </c>
      <c r="E101" s="1541" t="s">
        <v>76</v>
      </c>
      <c r="F101" s="764"/>
      <c r="G101" s="1656" t="s">
        <v>309</v>
      </c>
      <c r="H101" s="985"/>
      <c r="I101" s="1651" t="s">
        <v>148</v>
      </c>
      <c r="J101" s="242" t="s">
        <v>27</v>
      </c>
      <c r="K101" s="837">
        <v>52132</v>
      </c>
      <c r="L101" s="1061">
        <f>52132+3082</f>
        <v>55214</v>
      </c>
      <c r="M101" s="1188">
        <f>L101-K101</f>
        <v>3082</v>
      </c>
      <c r="N101" s="1016"/>
      <c r="O101" s="61"/>
      <c r="R101" s="9"/>
    </row>
    <row r="102" spans="1:18" ht="36" customHeight="1" x14ac:dyDescent="0.2">
      <c r="A102" s="1360"/>
      <c r="B102" s="1362"/>
      <c r="C102" s="1649"/>
      <c r="D102" s="1002"/>
      <c r="E102" s="1541"/>
      <c r="F102" s="764"/>
      <c r="G102" s="1657"/>
      <c r="H102" s="1021" t="s">
        <v>30</v>
      </c>
      <c r="I102" s="1652"/>
      <c r="J102" s="742"/>
      <c r="K102" s="1127"/>
      <c r="L102" s="1131"/>
      <c r="M102" s="1189"/>
      <c r="N102" s="116"/>
      <c r="O102" s="130"/>
      <c r="R102" s="9"/>
    </row>
    <row r="103" spans="1:18" ht="36" customHeight="1" x14ac:dyDescent="0.2">
      <c r="A103" s="1360"/>
      <c r="B103" s="1362"/>
      <c r="C103" s="1649"/>
      <c r="D103" s="1032"/>
      <c r="E103" s="1650"/>
      <c r="F103" s="164"/>
      <c r="G103" s="1658"/>
      <c r="H103" s="1023"/>
      <c r="I103" s="1653"/>
      <c r="J103" s="128"/>
      <c r="K103" s="838"/>
      <c r="L103" s="843"/>
      <c r="M103" s="1190"/>
      <c r="N103" s="588"/>
      <c r="O103" s="133"/>
      <c r="R103" s="9"/>
    </row>
    <row r="104" spans="1:18" ht="33" customHeight="1" x14ac:dyDescent="0.2">
      <c r="A104" s="1360"/>
      <c r="B104" s="1362"/>
      <c r="C104" s="1649"/>
      <c r="D104" s="1002" t="s">
        <v>7</v>
      </c>
      <c r="E104" s="1541" t="s">
        <v>79</v>
      </c>
      <c r="F104" s="764"/>
      <c r="G104" s="1643" t="s">
        <v>308</v>
      </c>
      <c r="H104" s="985" t="s">
        <v>30</v>
      </c>
      <c r="I104" s="1654" t="s">
        <v>148</v>
      </c>
      <c r="J104" s="829" t="s">
        <v>27</v>
      </c>
      <c r="K104" s="799">
        <f>672.4/3.4528*1000</f>
        <v>194741</v>
      </c>
      <c r="L104" s="1072">
        <f>672.4/3.4528*1000</f>
        <v>194741</v>
      </c>
      <c r="M104" s="1191"/>
      <c r="N104" s="743"/>
      <c r="O104" s="744"/>
      <c r="R104" s="9"/>
    </row>
    <row r="105" spans="1:18" ht="31.5" customHeight="1" x14ac:dyDescent="0.2">
      <c r="A105" s="1360"/>
      <c r="B105" s="1362"/>
      <c r="C105" s="1649"/>
      <c r="D105" s="1032"/>
      <c r="E105" s="1642"/>
      <c r="F105" s="778"/>
      <c r="G105" s="1644"/>
      <c r="H105" s="719"/>
      <c r="I105" s="1655"/>
      <c r="J105" s="90" t="s">
        <v>97</v>
      </c>
      <c r="K105" s="798">
        <v>8171</v>
      </c>
      <c r="L105" s="1071">
        <v>8171</v>
      </c>
      <c r="M105" s="1190"/>
      <c r="N105" s="1017"/>
      <c r="O105" s="68"/>
      <c r="R105" s="9"/>
    </row>
    <row r="106" spans="1:18" ht="16.5" customHeight="1" x14ac:dyDescent="0.2">
      <c r="A106" s="994"/>
      <c r="B106" s="996"/>
      <c r="C106" s="1030"/>
      <c r="D106" s="1002" t="s">
        <v>29</v>
      </c>
      <c r="E106" s="1641" t="s">
        <v>55</v>
      </c>
      <c r="F106" s="779"/>
      <c r="G106" s="1643" t="s">
        <v>310</v>
      </c>
      <c r="H106" s="725" t="s">
        <v>30</v>
      </c>
      <c r="I106" s="1628"/>
      <c r="J106" s="242" t="s">
        <v>27</v>
      </c>
      <c r="K106" s="796">
        <f>5/3.4528*1000</f>
        <v>1448</v>
      </c>
      <c r="L106" s="1069">
        <f>5/3.4528*1000</f>
        <v>1448</v>
      </c>
      <c r="M106" s="1188"/>
      <c r="N106" s="135"/>
      <c r="O106" s="137"/>
      <c r="R106" s="9"/>
    </row>
    <row r="107" spans="1:18" ht="14.25" customHeight="1" x14ac:dyDescent="0.2">
      <c r="A107" s="994"/>
      <c r="B107" s="996"/>
      <c r="C107" s="1030"/>
      <c r="D107" s="1032"/>
      <c r="E107" s="1642"/>
      <c r="F107" s="164"/>
      <c r="G107" s="1644"/>
      <c r="H107" s="1023"/>
      <c r="I107" s="1647"/>
      <c r="J107" s="90"/>
      <c r="K107" s="798"/>
      <c r="L107" s="1071"/>
      <c r="M107" s="1190"/>
      <c r="N107" s="40"/>
      <c r="O107" s="68"/>
      <c r="R107" s="9"/>
    </row>
    <row r="108" spans="1:18" ht="29.25" customHeight="1" x14ac:dyDescent="0.2">
      <c r="A108" s="994"/>
      <c r="B108" s="996"/>
      <c r="C108" s="1030"/>
      <c r="D108" s="1031" t="s">
        <v>37</v>
      </c>
      <c r="E108" s="1040" t="s">
        <v>59</v>
      </c>
      <c r="F108" s="163"/>
      <c r="G108" s="780" t="s">
        <v>311</v>
      </c>
      <c r="H108" s="1018"/>
      <c r="I108" s="131"/>
      <c r="J108" s="134" t="s">
        <v>27</v>
      </c>
      <c r="K108" s="1128">
        <f>6/3.4528*1000</f>
        <v>1738</v>
      </c>
      <c r="L108" s="1132">
        <f>6/3.4528*1000</f>
        <v>1738</v>
      </c>
      <c r="M108" s="1188"/>
      <c r="N108" s="1016"/>
      <c r="O108" s="61"/>
      <c r="R108" s="9"/>
    </row>
    <row r="109" spans="1:18" ht="18" customHeight="1" x14ac:dyDescent="0.2">
      <c r="A109" s="994"/>
      <c r="B109" s="996"/>
      <c r="C109" s="1030"/>
      <c r="D109" s="1031" t="s">
        <v>38</v>
      </c>
      <c r="E109" s="162" t="s">
        <v>78</v>
      </c>
      <c r="F109" s="753"/>
      <c r="G109" s="1643" t="s">
        <v>312</v>
      </c>
      <c r="H109" s="754" t="s">
        <v>30</v>
      </c>
      <c r="I109" s="1720" t="s">
        <v>148</v>
      </c>
      <c r="J109" s="134" t="s">
        <v>27</v>
      </c>
      <c r="K109" s="799">
        <f>10/3.4528*1000</f>
        <v>2896</v>
      </c>
      <c r="L109" s="1072">
        <f>10/3.4528*1000</f>
        <v>2896</v>
      </c>
      <c r="M109" s="1188"/>
      <c r="N109" s="39"/>
      <c r="O109" s="61"/>
      <c r="R109" s="9"/>
    </row>
    <row r="110" spans="1:18" ht="15.75" customHeight="1" x14ac:dyDescent="0.2">
      <c r="A110" s="994"/>
      <c r="B110" s="996"/>
      <c r="C110" s="1030"/>
      <c r="D110" s="1031" t="s">
        <v>31</v>
      </c>
      <c r="E110" s="652" t="s">
        <v>158</v>
      </c>
      <c r="F110" s="781"/>
      <c r="G110" s="1644"/>
      <c r="H110" s="782"/>
      <c r="I110" s="1652"/>
      <c r="J110" s="134" t="s">
        <v>27</v>
      </c>
      <c r="K110" s="799">
        <f>80/3.4528*1000</f>
        <v>23170</v>
      </c>
      <c r="L110" s="1072">
        <f>80/3.4528*1000</f>
        <v>23170</v>
      </c>
      <c r="M110" s="1188"/>
      <c r="N110" s="39"/>
      <c r="O110" s="589"/>
      <c r="R110" s="9"/>
    </row>
    <row r="111" spans="1:18" ht="27" customHeight="1" x14ac:dyDescent="0.2">
      <c r="A111" s="994"/>
      <c r="B111" s="996"/>
      <c r="C111" s="1030"/>
      <c r="D111" s="1031" t="s">
        <v>39</v>
      </c>
      <c r="E111" s="652" t="s">
        <v>159</v>
      </c>
      <c r="F111" s="784"/>
      <c r="G111" s="1643" t="s">
        <v>313</v>
      </c>
      <c r="H111" s="785">
        <v>6</v>
      </c>
      <c r="I111" s="1652"/>
      <c r="J111" s="134" t="s">
        <v>27</v>
      </c>
      <c r="K111" s="799">
        <f>5/3.4528*1000</f>
        <v>1448</v>
      </c>
      <c r="L111" s="1072">
        <f>5/3.4528*1000</f>
        <v>1448</v>
      </c>
      <c r="M111" s="1188"/>
      <c r="N111" s="39"/>
      <c r="O111" s="61"/>
      <c r="R111" s="9"/>
    </row>
    <row r="112" spans="1:18" ht="24.75" customHeight="1" x14ac:dyDescent="0.2">
      <c r="A112" s="994"/>
      <c r="B112" s="996"/>
      <c r="C112" s="1030"/>
      <c r="D112" s="1033" t="s">
        <v>32</v>
      </c>
      <c r="E112" s="269" t="s">
        <v>160</v>
      </c>
      <c r="F112" s="781"/>
      <c r="G112" s="1644"/>
      <c r="H112" s="782"/>
      <c r="I112" s="1025"/>
      <c r="J112" s="691" t="s">
        <v>27</v>
      </c>
      <c r="K112" s="794">
        <f>7.998/3.4528*1000</f>
        <v>2316</v>
      </c>
      <c r="L112" s="842">
        <f>7.998/3.4528*1000</f>
        <v>2316</v>
      </c>
      <c r="M112" s="1192"/>
      <c r="N112" s="56"/>
      <c r="O112" s="590"/>
      <c r="R112" s="9"/>
    </row>
    <row r="113" spans="1:20" ht="39.75" customHeight="1" x14ac:dyDescent="0.2">
      <c r="A113" s="101"/>
      <c r="B113" s="1007"/>
      <c r="C113" s="1030"/>
      <c r="D113" s="1032" t="s">
        <v>109</v>
      </c>
      <c r="E113" s="1019" t="s">
        <v>203</v>
      </c>
      <c r="F113" s="1020"/>
      <c r="G113" s="865" t="s">
        <v>314</v>
      </c>
      <c r="H113" s="690"/>
      <c r="I113" s="745"/>
      <c r="J113" s="219" t="s">
        <v>27</v>
      </c>
      <c r="K113" s="1055">
        <f>113/3.4528*1000</f>
        <v>32727</v>
      </c>
      <c r="L113" s="843">
        <f>32727-2239</f>
        <v>30488</v>
      </c>
      <c r="M113" s="1193">
        <f>L113-K113</f>
        <v>-2239</v>
      </c>
      <c r="N113" s="583"/>
      <c r="O113" s="683"/>
      <c r="Q113" s="826"/>
    </row>
    <row r="114" spans="1:20" ht="13.5" thickBot="1" x14ac:dyDescent="0.25">
      <c r="A114" s="994"/>
      <c r="B114" s="996"/>
      <c r="C114" s="107"/>
      <c r="D114" s="108"/>
      <c r="E114" s="125"/>
      <c r="F114" s="110"/>
      <c r="G114" s="111"/>
      <c r="H114" s="126"/>
      <c r="I114" s="1630" t="s">
        <v>129</v>
      </c>
      <c r="J114" s="1631"/>
      <c r="K114" s="1129">
        <f>SUM(K101:K113)</f>
        <v>320787</v>
      </c>
      <c r="L114" s="1133">
        <f>SUM(L101:L113)</f>
        <v>321630</v>
      </c>
      <c r="M114" s="1194">
        <f>SUM(M101:M113)</f>
        <v>843</v>
      </c>
      <c r="N114" s="591"/>
      <c r="O114" s="592"/>
      <c r="P114" s="826"/>
      <c r="R114" s="9"/>
    </row>
    <row r="115" spans="1:20" ht="13.5" thickBot="1" x14ac:dyDescent="0.25">
      <c r="A115" s="104" t="s">
        <v>5</v>
      </c>
      <c r="B115" s="7" t="s">
        <v>7</v>
      </c>
      <c r="C115" s="1508" t="s">
        <v>8</v>
      </c>
      <c r="D115" s="1508"/>
      <c r="E115" s="1508"/>
      <c r="F115" s="1508"/>
      <c r="G115" s="1508"/>
      <c r="H115" s="1508"/>
      <c r="I115" s="1508"/>
      <c r="J115" s="1509"/>
      <c r="K115" s="814">
        <f>K114</f>
        <v>320787</v>
      </c>
      <c r="L115" s="1094">
        <f>L114</f>
        <v>321630</v>
      </c>
      <c r="M115" s="1195">
        <f>M114</f>
        <v>843</v>
      </c>
      <c r="N115" s="1526"/>
      <c r="O115" s="1528"/>
    </row>
    <row r="116" spans="1:20" ht="13.5" thickBot="1" x14ac:dyDescent="0.25">
      <c r="A116" s="103" t="s">
        <v>5</v>
      </c>
      <c r="B116" s="7" t="s">
        <v>29</v>
      </c>
      <c r="C116" s="1510" t="s">
        <v>53</v>
      </c>
      <c r="D116" s="1511"/>
      <c r="E116" s="1511"/>
      <c r="F116" s="1511"/>
      <c r="G116" s="1511"/>
      <c r="H116" s="1511"/>
      <c r="I116" s="1511"/>
      <c r="J116" s="1511"/>
      <c r="K116" s="1511"/>
      <c r="L116" s="1511"/>
      <c r="M116" s="1511"/>
      <c r="N116" s="1511"/>
      <c r="O116" s="1512"/>
    </row>
    <row r="117" spans="1:20" ht="26.25" customHeight="1" x14ac:dyDescent="0.2">
      <c r="A117" s="1359" t="s">
        <v>5</v>
      </c>
      <c r="B117" s="1361" t="s">
        <v>29</v>
      </c>
      <c r="C117" s="1537" t="s">
        <v>5</v>
      </c>
      <c r="D117" s="1537"/>
      <c r="E117" s="1540" t="s">
        <v>61</v>
      </c>
      <c r="F117" s="1519"/>
      <c r="G117" s="1619" t="s">
        <v>315</v>
      </c>
      <c r="H117" s="1474" t="s">
        <v>30</v>
      </c>
      <c r="I117" s="1632" t="s">
        <v>135</v>
      </c>
      <c r="J117" s="746" t="s">
        <v>27</v>
      </c>
      <c r="K117" s="749">
        <f>2146.4/3.4528*1000</f>
        <v>621640</v>
      </c>
      <c r="L117" s="749">
        <f>2146.4/3.4528*1000</f>
        <v>621640</v>
      </c>
      <c r="M117" s="805"/>
      <c r="N117" s="1533"/>
      <c r="O117" s="503"/>
      <c r="R117" s="9"/>
    </row>
    <row r="118" spans="1:20" ht="23.25" customHeight="1" x14ac:dyDescent="0.2">
      <c r="A118" s="1360"/>
      <c r="B118" s="1362"/>
      <c r="C118" s="1538"/>
      <c r="D118" s="1538"/>
      <c r="E118" s="1541"/>
      <c r="F118" s="1543"/>
      <c r="G118" s="1620"/>
      <c r="H118" s="1475"/>
      <c r="I118" s="1633"/>
      <c r="J118" s="302"/>
      <c r="K118" s="804"/>
      <c r="L118" s="804"/>
      <c r="M118" s="804"/>
      <c r="N118" s="1349"/>
      <c r="O118" s="693"/>
      <c r="R118" s="9"/>
    </row>
    <row r="119" spans="1:20" ht="15.75" customHeight="1" thickBot="1" x14ac:dyDescent="0.25">
      <c r="A119" s="1470"/>
      <c r="B119" s="1536"/>
      <c r="C119" s="1539"/>
      <c r="D119" s="1539"/>
      <c r="E119" s="1542"/>
      <c r="F119" s="1520"/>
      <c r="G119" s="1621"/>
      <c r="H119" s="1476"/>
      <c r="I119" s="1634"/>
      <c r="J119" s="1147" t="s">
        <v>6</v>
      </c>
      <c r="K119" s="844">
        <f>SUM(K117:K118)</f>
        <v>621640</v>
      </c>
      <c r="L119" s="844">
        <f>SUM(L117:L118)</f>
        <v>621640</v>
      </c>
      <c r="M119" s="844"/>
      <c r="N119" s="1534"/>
      <c r="O119" s="823"/>
      <c r="R119" s="9"/>
    </row>
    <row r="120" spans="1:20" ht="41.25" customHeight="1" x14ac:dyDescent="0.2">
      <c r="A120" s="1359" t="s">
        <v>5</v>
      </c>
      <c r="B120" s="1361" t="s">
        <v>29</v>
      </c>
      <c r="C120" s="1537" t="s">
        <v>7</v>
      </c>
      <c r="D120" s="1537"/>
      <c r="E120" s="1540" t="s">
        <v>278</v>
      </c>
      <c r="F120" s="1519"/>
      <c r="G120" s="1635" t="s">
        <v>316</v>
      </c>
      <c r="H120" s="1474" t="s">
        <v>30</v>
      </c>
      <c r="I120" s="1632" t="s">
        <v>136</v>
      </c>
      <c r="J120" s="1145" t="s">
        <v>70</v>
      </c>
      <c r="K120" s="1148">
        <v>1880</v>
      </c>
      <c r="L120" s="1148">
        <v>1880</v>
      </c>
      <c r="M120" s="1148"/>
      <c r="N120" s="1533"/>
      <c r="O120" s="825"/>
      <c r="R120" s="9"/>
      <c r="T120" s="826"/>
    </row>
    <row r="121" spans="1:20" ht="15.75" customHeight="1" thickBot="1" x14ac:dyDescent="0.25">
      <c r="A121" s="1470"/>
      <c r="B121" s="1536"/>
      <c r="C121" s="1539"/>
      <c r="D121" s="1539"/>
      <c r="E121" s="1542"/>
      <c r="F121" s="1520"/>
      <c r="G121" s="1636"/>
      <c r="H121" s="1476"/>
      <c r="I121" s="1634"/>
      <c r="J121" s="1147" t="s">
        <v>6</v>
      </c>
      <c r="K121" s="844">
        <f>SUM(K120:K120)</f>
        <v>1880</v>
      </c>
      <c r="L121" s="844">
        <f>SUM(L120:L120)</f>
        <v>1880</v>
      </c>
      <c r="M121" s="844"/>
      <c r="N121" s="1534"/>
      <c r="O121" s="823"/>
      <c r="R121" s="9"/>
    </row>
    <row r="122" spans="1:20" ht="13.5" thickBot="1" x14ac:dyDescent="0.25">
      <c r="A122" s="104" t="s">
        <v>5</v>
      </c>
      <c r="B122" s="7" t="s">
        <v>29</v>
      </c>
      <c r="C122" s="1508" t="s">
        <v>8</v>
      </c>
      <c r="D122" s="1508"/>
      <c r="E122" s="1508"/>
      <c r="F122" s="1508"/>
      <c r="G122" s="1508"/>
      <c r="H122" s="1508"/>
      <c r="I122" s="1508"/>
      <c r="J122" s="1509"/>
      <c r="K122" s="705">
        <f>K119+K121</f>
        <v>623520</v>
      </c>
      <c r="L122" s="705">
        <f>L119+L121</f>
        <v>623520</v>
      </c>
      <c r="M122" s="1056"/>
      <c r="N122" s="1526"/>
      <c r="O122" s="1528"/>
    </row>
    <row r="123" spans="1:20" ht="14.25" customHeight="1" thickBot="1" x14ac:dyDescent="0.25">
      <c r="A123" s="103" t="s">
        <v>5</v>
      </c>
      <c r="B123" s="7" t="s">
        <v>37</v>
      </c>
      <c r="C123" s="1529" t="s">
        <v>54</v>
      </c>
      <c r="D123" s="1530"/>
      <c r="E123" s="1530"/>
      <c r="F123" s="1530"/>
      <c r="G123" s="1530"/>
      <c r="H123" s="1530"/>
      <c r="I123" s="1530"/>
      <c r="J123" s="1530"/>
      <c r="K123" s="1530"/>
      <c r="L123" s="1530"/>
      <c r="M123" s="1530"/>
      <c r="N123" s="1530"/>
      <c r="O123" s="1531"/>
    </row>
    <row r="124" spans="1:20" ht="23.25" customHeight="1" x14ac:dyDescent="0.2">
      <c r="A124" s="1559" t="s">
        <v>5</v>
      </c>
      <c r="B124" s="1561" t="s">
        <v>37</v>
      </c>
      <c r="C124" s="1624" t="s">
        <v>5</v>
      </c>
      <c r="D124" s="1645"/>
      <c r="E124" s="1563" t="s">
        <v>62</v>
      </c>
      <c r="F124" s="1543"/>
      <c r="G124" s="1637" t="s">
        <v>317</v>
      </c>
      <c r="H124" s="1615" t="s">
        <v>30</v>
      </c>
      <c r="I124" s="1627" t="s">
        <v>135</v>
      </c>
      <c r="J124" s="18" t="s">
        <v>27</v>
      </c>
      <c r="K124" s="1134">
        <f>300/3.4528*1000</f>
        <v>86886</v>
      </c>
      <c r="L124" s="1085">
        <f>300/3.4528*1000</f>
        <v>86886</v>
      </c>
      <c r="M124" s="808"/>
      <c r="N124" s="845"/>
      <c r="O124" s="847"/>
    </row>
    <row r="125" spans="1:20" ht="17.25" customHeight="1" thickBot="1" x14ac:dyDescent="0.25">
      <c r="A125" s="1560"/>
      <c r="B125" s="1562"/>
      <c r="C125" s="1625"/>
      <c r="D125" s="1646"/>
      <c r="E125" s="1518"/>
      <c r="F125" s="1520"/>
      <c r="G125" s="1638"/>
      <c r="H125" s="1616"/>
      <c r="I125" s="1629"/>
      <c r="J125" s="78" t="s">
        <v>6</v>
      </c>
      <c r="K125" s="704">
        <f>K124</f>
        <v>86886</v>
      </c>
      <c r="L125" s="1138">
        <f>L124</f>
        <v>86886</v>
      </c>
      <c r="M125" s="1136"/>
      <c r="N125" s="846"/>
      <c r="O125" s="68"/>
    </row>
    <row r="126" spans="1:20" ht="13.5" customHeight="1" x14ac:dyDescent="0.2">
      <c r="A126" s="1360" t="s">
        <v>5</v>
      </c>
      <c r="B126" s="1362" t="s">
        <v>37</v>
      </c>
      <c r="C126" s="1557" t="s">
        <v>7</v>
      </c>
      <c r="D126" s="1617"/>
      <c r="E126" s="1455" t="s">
        <v>92</v>
      </c>
      <c r="F126" s="1524"/>
      <c r="G126" s="1619" t="s">
        <v>318</v>
      </c>
      <c r="H126" s="1368" t="s">
        <v>30</v>
      </c>
      <c r="I126" s="1627" t="s">
        <v>135</v>
      </c>
      <c r="J126" s="748" t="s">
        <v>27</v>
      </c>
      <c r="K126" s="805">
        <f>20.3/3.4528*1000</f>
        <v>5879</v>
      </c>
      <c r="L126" s="1087">
        <f>20.3/3.4528*1000</f>
        <v>5879</v>
      </c>
      <c r="M126" s="805"/>
      <c r="N126" s="905"/>
      <c r="O126" s="825"/>
      <c r="R126" s="9"/>
    </row>
    <row r="127" spans="1:20" ht="12.75" customHeight="1" x14ac:dyDescent="0.2">
      <c r="A127" s="1360"/>
      <c r="B127" s="1362"/>
      <c r="C127" s="1557"/>
      <c r="D127" s="1617"/>
      <c r="E127" s="1455"/>
      <c r="F127" s="1524"/>
      <c r="G127" s="1620"/>
      <c r="H127" s="1368"/>
      <c r="I127" s="1628"/>
      <c r="J127" s="70"/>
      <c r="K127" s="808"/>
      <c r="L127" s="1086"/>
      <c r="M127" s="703"/>
      <c r="N127" s="20"/>
      <c r="O127" s="69"/>
      <c r="R127" s="9"/>
    </row>
    <row r="128" spans="1:20" ht="18.75" customHeight="1" thickBot="1" x14ac:dyDescent="0.25">
      <c r="A128" s="1470"/>
      <c r="B128" s="1536"/>
      <c r="C128" s="1558"/>
      <c r="D128" s="1618"/>
      <c r="E128" s="1492"/>
      <c r="F128" s="1525"/>
      <c r="G128" s="1621"/>
      <c r="H128" s="1532"/>
      <c r="I128" s="1629"/>
      <c r="J128" s="78" t="s">
        <v>6</v>
      </c>
      <c r="K128" s="1135">
        <f>K126</f>
        <v>5879</v>
      </c>
      <c r="L128" s="1139">
        <f>L126</f>
        <v>5879</v>
      </c>
      <c r="M128" s="1136"/>
      <c r="N128" s="21"/>
      <c r="O128" s="823"/>
      <c r="R128" s="9"/>
    </row>
    <row r="129" spans="1:35" ht="13.5" thickBot="1" x14ac:dyDescent="0.25">
      <c r="A129" s="995" t="s">
        <v>5</v>
      </c>
      <c r="B129" s="997" t="s">
        <v>37</v>
      </c>
      <c r="C129" s="1600" t="s">
        <v>8</v>
      </c>
      <c r="D129" s="1508"/>
      <c r="E129" s="1508"/>
      <c r="F129" s="1508"/>
      <c r="G129" s="1508"/>
      <c r="H129" s="1508"/>
      <c r="I129" s="1508"/>
      <c r="J129" s="1509"/>
      <c r="K129" s="814">
        <f t="shared" ref="K129:L129" si="3">K128+K125</f>
        <v>92765</v>
      </c>
      <c r="L129" s="1094">
        <f t="shared" si="3"/>
        <v>92765</v>
      </c>
      <c r="M129" s="1137"/>
      <c r="N129" s="138"/>
      <c r="O129" s="684"/>
    </row>
    <row r="130" spans="1:35" ht="13.5" thickBot="1" x14ac:dyDescent="0.25">
      <c r="A130" s="103" t="s">
        <v>5</v>
      </c>
      <c r="B130" s="7" t="s">
        <v>80</v>
      </c>
      <c r="C130" s="1529" t="s">
        <v>81</v>
      </c>
      <c r="D130" s="1530"/>
      <c r="E130" s="1530"/>
      <c r="F130" s="1530"/>
      <c r="G130" s="1530"/>
      <c r="H130" s="1530"/>
      <c r="I130" s="1530"/>
      <c r="J130" s="1530"/>
      <c r="K130" s="1626"/>
      <c r="L130" s="1626"/>
      <c r="M130" s="1626"/>
      <c r="N130" s="1530"/>
      <c r="O130" s="1531"/>
    </row>
    <row r="131" spans="1:35" ht="14.1" customHeight="1" x14ac:dyDescent="0.2">
      <c r="A131" s="105" t="s">
        <v>5</v>
      </c>
      <c r="B131" s="606" t="s">
        <v>38</v>
      </c>
      <c r="C131" s="604" t="s">
        <v>5</v>
      </c>
      <c r="D131" s="94"/>
      <c r="E131" s="58" t="s">
        <v>86</v>
      </c>
      <c r="F131" s="857"/>
      <c r="G131" s="874" t="s">
        <v>324</v>
      </c>
      <c r="H131" s="1611">
        <v>6</v>
      </c>
      <c r="I131" s="1041"/>
      <c r="J131" s="92" t="s">
        <v>97</v>
      </c>
      <c r="K131" s="1140"/>
      <c r="L131" s="1141"/>
      <c r="M131" s="1057"/>
      <c r="N131" s="989"/>
      <c r="O131" s="825"/>
    </row>
    <row r="132" spans="1:35" ht="15.75" customHeight="1" x14ac:dyDescent="0.2">
      <c r="A132" s="991"/>
      <c r="B132" s="992"/>
      <c r="C132" s="990"/>
      <c r="D132" s="95" t="s">
        <v>5</v>
      </c>
      <c r="E132" s="657" t="s">
        <v>88</v>
      </c>
      <c r="F132" s="868"/>
      <c r="G132" s="873" t="s">
        <v>319</v>
      </c>
      <c r="H132" s="1612"/>
      <c r="I132" s="1614" t="s">
        <v>136</v>
      </c>
      <c r="J132" s="92" t="s">
        <v>27</v>
      </c>
      <c r="K132" s="796">
        <f>634/3.4528*1000</f>
        <v>183619</v>
      </c>
      <c r="L132" s="1069">
        <f>634/3.4528*1000</f>
        <v>183619</v>
      </c>
      <c r="M132" s="841"/>
      <c r="N132" s="43"/>
      <c r="O132" s="61"/>
    </row>
    <row r="133" spans="1:35" ht="18.75" customHeight="1" x14ac:dyDescent="0.2">
      <c r="A133" s="991"/>
      <c r="B133" s="992"/>
      <c r="C133" s="990"/>
      <c r="D133" s="1043" t="s">
        <v>7</v>
      </c>
      <c r="E133" s="993" t="s">
        <v>89</v>
      </c>
      <c r="F133" s="871"/>
      <c r="G133" s="872" t="s">
        <v>320</v>
      </c>
      <c r="H133" s="1612"/>
      <c r="I133" s="1614"/>
      <c r="J133" s="92" t="s">
        <v>27</v>
      </c>
      <c r="K133" s="796">
        <f>705/3.4528*1000</f>
        <v>204182</v>
      </c>
      <c r="L133" s="1069">
        <f>705/3.4528*1000</f>
        <v>204182</v>
      </c>
      <c r="M133" s="841"/>
      <c r="N133" s="43"/>
      <c r="O133" s="61"/>
    </row>
    <row r="134" spans="1:35" ht="14.1" customHeight="1" x14ac:dyDescent="0.2">
      <c r="A134" s="991"/>
      <c r="B134" s="992"/>
      <c r="C134" s="990"/>
      <c r="D134" s="95" t="s">
        <v>29</v>
      </c>
      <c r="E134" s="657" t="s">
        <v>90</v>
      </c>
      <c r="F134" s="871"/>
      <c r="G134" s="872" t="s">
        <v>322</v>
      </c>
      <c r="H134" s="1612"/>
      <c r="I134" s="1614"/>
      <c r="J134" s="92" t="s">
        <v>27</v>
      </c>
      <c r="K134" s="796">
        <f>231/3.4528*1000</f>
        <v>66902</v>
      </c>
      <c r="L134" s="1069">
        <f>231/3.4528*1000</f>
        <v>66902</v>
      </c>
      <c r="M134" s="841"/>
      <c r="N134" s="43"/>
      <c r="O134" s="61"/>
    </row>
    <row r="135" spans="1:35" s="32" customFormat="1" ht="14.1" customHeight="1" x14ac:dyDescent="0.2">
      <c r="A135" s="994"/>
      <c r="B135" s="996"/>
      <c r="C135" s="46"/>
      <c r="D135" s="96" t="s">
        <v>37</v>
      </c>
      <c r="E135" s="657" t="s">
        <v>91</v>
      </c>
      <c r="F135" s="869"/>
      <c r="G135" s="870" t="s">
        <v>321</v>
      </c>
      <c r="H135" s="1612"/>
      <c r="I135" s="1614"/>
      <c r="J135" s="18" t="s">
        <v>27</v>
      </c>
      <c r="K135" s="796">
        <f>10497.2/3.4528*1000</f>
        <v>3040199</v>
      </c>
      <c r="L135" s="1069">
        <f>3040199-106990</f>
        <v>2933209</v>
      </c>
      <c r="M135" s="1188">
        <f>L135-K135</f>
        <v>-106990</v>
      </c>
      <c r="N135" s="43"/>
      <c r="O135" s="685"/>
    </row>
    <row r="136" spans="1:35" ht="12.75" customHeight="1" x14ac:dyDescent="0.2">
      <c r="A136" s="1559"/>
      <c r="B136" s="1561"/>
      <c r="C136" s="1557"/>
      <c r="D136" s="1622" t="s">
        <v>38</v>
      </c>
      <c r="E136" s="1563" t="s">
        <v>87</v>
      </c>
      <c r="F136" s="987"/>
      <c r="G136" s="866" t="s">
        <v>323</v>
      </c>
      <c r="H136" s="1612"/>
      <c r="I136" s="1041"/>
      <c r="J136" s="92" t="s">
        <v>27</v>
      </c>
      <c r="K136" s="793">
        <f>9.301/3.4528*1000</f>
        <v>2694</v>
      </c>
      <c r="L136" s="842">
        <f>9.301/3.4528*1000</f>
        <v>2694</v>
      </c>
      <c r="M136" s="1218"/>
      <c r="N136" s="43"/>
      <c r="O136" s="590"/>
    </row>
    <row r="137" spans="1:35" ht="14.25" customHeight="1" thickBot="1" x14ac:dyDescent="0.25">
      <c r="A137" s="1560"/>
      <c r="B137" s="1562"/>
      <c r="C137" s="1558"/>
      <c r="D137" s="1623"/>
      <c r="E137" s="1518"/>
      <c r="F137" s="988"/>
      <c r="G137" s="867"/>
      <c r="H137" s="1613"/>
      <c r="I137" s="1042"/>
      <c r="J137" s="78" t="s">
        <v>6</v>
      </c>
      <c r="K137" s="704">
        <f>SUM(K131:K136)</f>
        <v>3497596</v>
      </c>
      <c r="L137" s="1138">
        <f>SUM(L131:L136)</f>
        <v>3390606</v>
      </c>
      <c r="M137" s="1215">
        <f>SUM(M131:M136)</f>
        <v>-106990</v>
      </c>
      <c r="N137" s="21"/>
      <c r="O137" s="823"/>
      <c r="R137" s="9"/>
    </row>
    <row r="138" spans="1:35" ht="14.25" customHeight="1" thickBot="1" x14ac:dyDescent="0.25">
      <c r="A138" s="995" t="s">
        <v>5</v>
      </c>
      <c r="B138" s="997" t="s">
        <v>38</v>
      </c>
      <c r="C138" s="1570" t="s">
        <v>8</v>
      </c>
      <c r="D138" s="1535"/>
      <c r="E138" s="1535"/>
      <c r="F138" s="1535"/>
      <c r="G138" s="1535"/>
      <c r="H138" s="1535"/>
      <c r="I138" s="1535"/>
      <c r="J138" s="1509"/>
      <c r="K138" s="1056">
        <f>K137</f>
        <v>3497596</v>
      </c>
      <c r="L138" s="1094">
        <f>L137</f>
        <v>3390606</v>
      </c>
      <c r="M138" s="1195">
        <f>M137</f>
        <v>-106990</v>
      </c>
      <c r="N138" s="1526"/>
      <c r="O138" s="1528"/>
    </row>
    <row r="139" spans="1:35" ht="14.25" customHeight="1" thickBot="1" x14ac:dyDescent="0.25">
      <c r="A139" s="104" t="s">
        <v>5</v>
      </c>
      <c r="B139" s="1544" t="s">
        <v>9</v>
      </c>
      <c r="C139" s="1545"/>
      <c r="D139" s="1545"/>
      <c r="E139" s="1545"/>
      <c r="F139" s="1545"/>
      <c r="G139" s="1545"/>
      <c r="H139" s="1545"/>
      <c r="I139" s="1545"/>
      <c r="J139" s="1546"/>
      <c r="K139" s="1058">
        <f>SUM(K98,K115,K122,K129,K138)</f>
        <v>11091748</v>
      </c>
      <c r="L139" s="1142">
        <f>SUM(L98,L115,L122,L129,L138)</f>
        <v>10995021</v>
      </c>
      <c r="M139" s="1216">
        <f>SUM(M98,M115,M122,M129,M138)</f>
        <v>-96727</v>
      </c>
      <c r="N139" s="1547"/>
      <c r="O139" s="1549"/>
    </row>
    <row r="140" spans="1:35" ht="14.25" customHeight="1" thickBot="1" x14ac:dyDescent="0.25">
      <c r="A140" s="55" t="s">
        <v>39</v>
      </c>
      <c r="B140" s="1550" t="s">
        <v>95</v>
      </c>
      <c r="C140" s="1551"/>
      <c r="D140" s="1551"/>
      <c r="E140" s="1551"/>
      <c r="F140" s="1551"/>
      <c r="G140" s="1551"/>
      <c r="H140" s="1551"/>
      <c r="I140" s="1551"/>
      <c r="J140" s="1552"/>
      <c r="K140" s="1059">
        <f t="shared" ref="K140:M140" si="4">SUM(K139)</f>
        <v>11091748</v>
      </c>
      <c r="L140" s="1143">
        <f t="shared" si="4"/>
        <v>10995021</v>
      </c>
      <c r="M140" s="1217">
        <f t="shared" si="4"/>
        <v>-96727</v>
      </c>
      <c r="N140" s="1553"/>
      <c r="O140" s="1555"/>
    </row>
    <row r="141" spans="1:35" s="17" customFormat="1" ht="14.25" customHeight="1" x14ac:dyDescent="0.2">
      <c r="A141" s="1608" t="s">
        <v>347</v>
      </c>
      <c r="B141" s="1608"/>
      <c r="C141" s="1608"/>
      <c r="D141" s="1608"/>
      <c r="E141" s="1608"/>
      <c r="F141" s="1608"/>
      <c r="G141" s="1608"/>
      <c r="H141" s="1608"/>
      <c r="I141" s="1608"/>
      <c r="J141" s="1608"/>
      <c r="K141" s="1608"/>
      <c r="L141" s="1608"/>
      <c r="M141" s="1608"/>
      <c r="N141" s="1608"/>
      <c r="O141" s="1608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35" s="17" customFormat="1" ht="14.25" customHeight="1" x14ac:dyDescent="0.2">
      <c r="A142" s="1595"/>
      <c r="B142" s="1595"/>
      <c r="C142" s="1595"/>
      <c r="D142" s="1595"/>
      <c r="E142" s="1595"/>
      <c r="F142" s="1595"/>
      <c r="G142" s="1595"/>
      <c r="H142" s="1595"/>
      <c r="I142" s="1595"/>
      <c r="J142" s="1595"/>
      <c r="K142" s="1595"/>
      <c r="L142" s="1047"/>
      <c r="M142" s="1047"/>
      <c r="N142" s="41"/>
      <c r="O142" s="41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35" s="17" customFormat="1" ht="14.25" customHeight="1" thickBot="1" x14ac:dyDescent="0.25">
      <c r="A143" s="1596" t="s">
        <v>13</v>
      </c>
      <c r="B143" s="1596"/>
      <c r="C143" s="1596"/>
      <c r="D143" s="1596"/>
      <c r="E143" s="1596"/>
      <c r="F143" s="1596"/>
      <c r="G143" s="1596"/>
      <c r="H143" s="1596"/>
      <c r="I143" s="1596"/>
      <c r="J143" s="1596"/>
      <c r="K143" s="1596"/>
      <c r="L143" s="1048"/>
      <c r="M143" s="1048"/>
      <c r="N143" s="4"/>
      <c r="O143" s="4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35" ht="57.75" customHeight="1" thickBot="1" x14ac:dyDescent="0.25">
      <c r="A144" s="1597" t="s">
        <v>10</v>
      </c>
      <c r="B144" s="1598"/>
      <c r="C144" s="1598"/>
      <c r="D144" s="1598"/>
      <c r="E144" s="1598"/>
      <c r="F144" s="1598"/>
      <c r="G144" s="1598"/>
      <c r="H144" s="1598"/>
      <c r="I144" s="1598"/>
      <c r="J144" s="1599"/>
      <c r="K144" s="22" t="s">
        <v>348</v>
      </c>
      <c r="L144" s="22" t="s">
        <v>348</v>
      </c>
      <c r="M144" s="22" t="s">
        <v>349</v>
      </c>
    </row>
    <row r="145" spans="1:18" ht="14.25" customHeight="1" x14ac:dyDescent="0.2">
      <c r="A145" s="1588" t="s">
        <v>14</v>
      </c>
      <c r="B145" s="1589"/>
      <c r="C145" s="1589"/>
      <c r="D145" s="1589"/>
      <c r="E145" s="1589"/>
      <c r="F145" s="1589"/>
      <c r="G145" s="1589"/>
      <c r="H145" s="1589"/>
      <c r="I145" s="1589"/>
      <c r="J145" s="1590"/>
      <c r="K145" s="1144">
        <f>K146+K153+K152</f>
        <v>10344082</v>
      </c>
      <c r="L145" s="1207">
        <f>L146+L153+L152</f>
        <v>10247355</v>
      </c>
      <c r="M145" s="1210">
        <f>M146+M153+M152</f>
        <v>-96727</v>
      </c>
      <c r="N145" s="35"/>
    </row>
    <row r="146" spans="1:18" ht="14.25" customHeight="1" x14ac:dyDescent="0.2">
      <c r="A146" s="1350" t="s">
        <v>327</v>
      </c>
      <c r="B146" s="1351"/>
      <c r="C146" s="1351"/>
      <c r="D146" s="1351"/>
      <c r="E146" s="1351"/>
      <c r="F146" s="1351"/>
      <c r="G146" s="1351"/>
      <c r="H146" s="1609"/>
      <c r="I146" s="1609"/>
      <c r="J146" s="1610"/>
      <c r="K146" s="890">
        <f>K147+K148+K149+K150+K151</f>
        <v>10169663</v>
      </c>
      <c r="L146" s="1208">
        <f>L147+L148+L149+L150+L151</f>
        <v>10072936</v>
      </c>
      <c r="M146" s="1211">
        <f>M147+M148+M149+M150+M151</f>
        <v>-96727</v>
      </c>
      <c r="N146" s="35"/>
    </row>
    <row r="147" spans="1:18" ht="14.25" customHeight="1" x14ac:dyDescent="0.2">
      <c r="A147" s="1591" t="s">
        <v>19</v>
      </c>
      <c r="B147" s="1592"/>
      <c r="C147" s="1592"/>
      <c r="D147" s="1592"/>
      <c r="E147" s="1592"/>
      <c r="F147" s="1592"/>
      <c r="G147" s="1592"/>
      <c r="H147" s="1592"/>
      <c r="I147" s="1592"/>
      <c r="J147" s="1593"/>
      <c r="K147" s="706">
        <f>SUMIF(J15:J140,"SB",K15:K140)</f>
        <v>10067568</v>
      </c>
      <c r="L147" s="1204">
        <f>SUMIF(J15:J140,"SB",L15:L140)</f>
        <v>9970841</v>
      </c>
      <c r="M147" s="1146">
        <f>SUMIF(J15:J140,"SB",M15:M140)</f>
        <v>-96727</v>
      </c>
      <c r="N147" s="49"/>
    </row>
    <row r="148" spans="1:18" x14ac:dyDescent="0.2">
      <c r="A148" s="1565" t="s">
        <v>333</v>
      </c>
      <c r="B148" s="1568"/>
      <c r="C148" s="1568"/>
      <c r="D148" s="1568"/>
      <c r="E148" s="1568"/>
      <c r="F148" s="1568"/>
      <c r="G148" s="1568"/>
      <c r="H148" s="1568"/>
      <c r="I148" s="1568"/>
      <c r="J148" s="1569"/>
      <c r="K148" s="706">
        <f>SUMIF(J15:J140,"SB(SP)",K15:K140)</f>
        <v>34523</v>
      </c>
      <c r="L148" s="1204">
        <f>SUMIF(J15:J140,"SB(SP)",L15:L140)</f>
        <v>34523</v>
      </c>
      <c r="M148" s="1146"/>
    </row>
    <row r="149" spans="1:18" x14ac:dyDescent="0.2">
      <c r="A149" s="1565" t="s">
        <v>115</v>
      </c>
      <c r="B149" s="1566"/>
      <c r="C149" s="1566"/>
      <c r="D149" s="1566"/>
      <c r="E149" s="1566"/>
      <c r="F149" s="1566"/>
      <c r="G149" s="1566"/>
      <c r="H149" s="1566"/>
      <c r="I149" s="1566"/>
      <c r="J149" s="1567"/>
      <c r="K149" s="706">
        <f>SUMIF(J12:J137,"SB(VR)",K12:K137)</f>
        <v>59401</v>
      </c>
      <c r="L149" s="1204">
        <f>SUMIF(J12:J137,"SB(VR)",L12:L137)</f>
        <v>59401</v>
      </c>
      <c r="M149" s="1146"/>
      <c r="N149" s="37"/>
      <c r="O149" s="1"/>
      <c r="P149" s="1"/>
      <c r="Q149" s="1"/>
      <c r="R149" s="1"/>
    </row>
    <row r="150" spans="1:18" x14ac:dyDescent="0.2">
      <c r="A150" s="1565" t="s">
        <v>21</v>
      </c>
      <c r="B150" s="1568"/>
      <c r="C150" s="1568"/>
      <c r="D150" s="1568"/>
      <c r="E150" s="1568"/>
      <c r="F150" s="1568"/>
      <c r="G150" s="1568"/>
      <c r="H150" s="1568"/>
      <c r="I150" s="1568"/>
      <c r="J150" s="1569"/>
      <c r="K150" s="706">
        <f>SUMIF(J12:J137,"SB(P)",K12:K137)</f>
        <v>0</v>
      </c>
      <c r="L150" s="1204">
        <f>SUMIF(J12:J137,"SB(P)",L12:L137)</f>
        <v>0</v>
      </c>
      <c r="M150" s="1146"/>
    </row>
    <row r="151" spans="1:18" x14ac:dyDescent="0.2">
      <c r="A151" s="1565" t="s">
        <v>98</v>
      </c>
      <c r="B151" s="1568"/>
      <c r="C151" s="1568"/>
      <c r="D151" s="1568"/>
      <c r="E151" s="1568"/>
      <c r="F151" s="1568"/>
      <c r="G151" s="1568"/>
      <c r="H151" s="1568"/>
      <c r="I151" s="1568"/>
      <c r="J151" s="1569"/>
      <c r="K151" s="706">
        <f>SUMIF(J14:J140,"SB(L)",K14:K140)</f>
        <v>8171</v>
      </c>
      <c r="L151" s="1204">
        <f>SUMIF(J14:J140,"SB(L)",L14:L140)</f>
        <v>8171</v>
      </c>
      <c r="M151" s="1146"/>
      <c r="N151" s="37"/>
      <c r="O151" s="1"/>
      <c r="P151" s="1"/>
      <c r="Q151" s="1"/>
      <c r="R151" s="1"/>
    </row>
    <row r="152" spans="1:18" x14ac:dyDescent="0.2">
      <c r="A152" s="1346" t="s">
        <v>334</v>
      </c>
      <c r="B152" s="1347"/>
      <c r="C152" s="1347"/>
      <c r="D152" s="1347"/>
      <c r="E152" s="1347"/>
      <c r="F152" s="1347"/>
      <c r="G152" s="1347"/>
      <c r="H152" s="1347"/>
      <c r="I152" s="1347"/>
      <c r="J152" s="1348"/>
      <c r="K152" s="891">
        <f>SUMIF(J15:J141,"SB(SPL)",K15:K141)</f>
        <v>2164</v>
      </c>
      <c r="L152" s="1205">
        <f>SUMIF(J15:J141,"SB(SPL)",L15:L141)</f>
        <v>2164</v>
      </c>
      <c r="M152" s="1212"/>
      <c r="N152" s="37"/>
      <c r="O152" s="1"/>
      <c r="P152" s="1"/>
      <c r="Q152" s="1"/>
      <c r="R152" s="1"/>
    </row>
    <row r="153" spans="1:18" x14ac:dyDescent="0.2">
      <c r="A153" s="1346" t="s">
        <v>282</v>
      </c>
      <c r="B153" s="1353"/>
      <c r="C153" s="1353"/>
      <c r="D153" s="1353"/>
      <c r="E153" s="1353"/>
      <c r="F153" s="1353"/>
      <c r="G153" s="1353"/>
      <c r="H153" s="1353"/>
      <c r="I153" s="1353"/>
      <c r="J153" s="1354"/>
      <c r="K153" s="891">
        <f>SUMIF(J15:J141,"SB(VRL)",K15:K141)</f>
        <v>172255</v>
      </c>
      <c r="L153" s="1205">
        <f>SUMIF(J15:J141,"SB(VRL)",L15:L141)</f>
        <v>172255</v>
      </c>
      <c r="M153" s="1212"/>
      <c r="N153" s="37"/>
      <c r="O153" s="1"/>
      <c r="P153" s="1"/>
      <c r="Q153" s="1"/>
      <c r="R153" s="1"/>
    </row>
    <row r="154" spans="1:18" x14ac:dyDescent="0.2">
      <c r="A154" s="1582" t="s">
        <v>15</v>
      </c>
      <c r="B154" s="1583"/>
      <c r="C154" s="1583"/>
      <c r="D154" s="1583"/>
      <c r="E154" s="1583"/>
      <c r="F154" s="1583"/>
      <c r="G154" s="1583"/>
      <c r="H154" s="1583"/>
      <c r="I154" s="1583"/>
      <c r="J154" s="1584"/>
      <c r="K154" s="707">
        <f ca="1">SUM(K155:K158)</f>
        <v>747666</v>
      </c>
      <c r="L154" s="1206">
        <f ca="1">SUM(L155:L158)</f>
        <v>747666</v>
      </c>
      <c r="M154" s="1213"/>
    </row>
    <row r="155" spans="1:18" x14ac:dyDescent="0.2">
      <c r="A155" s="1576" t="s">
        <v>22</v>
      </c>
      <c r="B155" s="1577"/>
      <c r="C155" s="1577"/>
      <c r="D155" s="1577"/>
      <c r="E155" s="1577"/>
      <c r="F155" s="1577"/>
      <c r="G155" s="1577"/>
      <c r="H155" s="1577"/>
      <c r="I155" s="1577"/>
      <c r="J155" s="1578"/>
      <c r="K155" s="706">
        <f>SUMIF(J15:J140,"ES",K15:K140)</f>
        <v>131782</v>
      </c>
      <c r="L155" s="1204">
        <f>SUMIF(J15:J140,"ES",L15:L140)</f>
        <v>131782</v>
      </c>
      <c r="M155" s="1146"/>
    </row>
    <row r="156" spans="1:18" x14ac:dyDescent="0.2">
      <c r="A156" s="1579" t="s">
        <v>23</v>
      </c>
      <c r="B156" s="1580"/>
      <c r="C156" s="1580"/>
      <c r="D156" s="1580"/>
      <c r="E156" s="1580"/>
      <c r="F156" s="1580"/>
      <c r="G156" s="1580"/>
      <c r="H156" s="1580"/>
      <c r="I156" s="1580"/>
      <c r="J156" s="1581"/>
      <c r="K156" s="706">
        <f ca="1">SUMIF(J12:J140,"KPP",K15:K140)</f>
        <v>0</v>
      </c>
      <c r="L156" s="1204">
        <f ca="1">SUMIF(J12:J140,"KPP",L15:L140)</f>
        <v>0</v>
      </c>
      <c r="M156" s="1146"/>
    </row>
    <row r="157" spans="1:18" x14ac:dyDescent="0.2">
      <c r="A157" s="1565" t="s">
        <v>24</v>
      </c>
      <c r="B157" s="1568"/>
      <c r="C157" s="1568"/>
      <c r="D157" s="1568"/>
      <c r="E157" s="1568"/>
      <c r="F157" s="1568"/>
      <c r="G157" s="1568"/>
      <c r="H157" s="1568"/>
      <c r="I157" s="1568"/>
      <c r="J157" s="1569"/>
      <c r="K157" s="706">
        <f>SUMIF(J15:J140,"LRVB",K15:K140)</f>
        <v>23758</v>
      </c>
      <c r="L157" s="1204">
        <f>SUMIF(J15:J140,"LRVB",L15:L140)</f>
        <v>23758</v>
      </c>
      <c r="M157" s="1146"/>
    </row>
    <row r="158" spans="1:18" x14ac:dyDescent="0.2">
      <c r="A158" s="1565" t="s">
        <v>25</v>
      </c>
      <c r="B158" s="1568"/>
      <c r="C158" s="1568"/>
      <c r="D158" s="1568"/>
      <c r="E158" s="1568"/>
      <c r="F158" s="1568"/>
      <c r="G158" s="1568"/>
      <c r="H158" s="1568"/>
      <c r="I158" s="1568"/>
      <c r="J158" s="1569"/>
      <c r="K158" s="706">
        <f>SUMIF(J15:J140,"Kt",K15:K140)</f>
        <v>592126</v>
      </c>
      <c r="L158" s="1204">
        <f>SUMIF(J15:J140,"Kt",L15:L140)</f>
        <v>592126</v>
      </c>
      <c r="M158" s="1146"/>
      <c r="O158" s="5"/>
    </row>
    <row r="159" spans="1:18" ht="13.5" thickBot="1" x14ac:dyDescent="0.25">
      <c r="A159" s="1573" t="s">
        <v>16</v>
      </c>
      <c r="B159" s="1574"/>
      <c r="C159" s="1574"/>
      <c r="D159" s="1574"/>
      <c r="E159" s="1574"/>
      <c r="F159" s="1574"/>
      <c r="G159" s="1574"/>
      <c r="H159" s="1574"/>
      <c r="I159" s="1574"/>
      <c r="J159" s="1575"/>
      <c r="K159" s="708">
        <f ca="1">SUM(K145,K154)</f>
        <v>11091748</v>
      </c>
      <c r="L159" s="1209">
        <f ca="1">SUM(L145,L154)</f>
        <v>10995021</v>
      </c>
      <c r="M159" s="1214">
        <f>SUM(M145,M154)</f>
        <v>-96727</v>
      </c>
      <c r="O159" s="5"/>
    </row>
    <row r="160" spans="1:18" x14ac:dyDescent="0.2">
      <c r="K160" s="97"/>
      <c r="L160" s="97"/>
      <c r="M160" s="97"/>
      <c r="N160" s="642"/>
      <c r="O160" s="5"/>
    </row>
  </sheetData>
  <mergeCells count="246">
    <mergeCell ref="A154:J154"/>
    <mergeCell ref="A155:J155"/>
    <mergeCell ref="A156:J156"/>
    <mergeCell ref="A157:J157"/>
    <mergeCell ref="A158:J158"/>
    <mergeCell ref="A159:J159"/>
    <mergeCell ref="A148:J148"/>
    <mergeCell ref="A149:J149"/>
    <mergeCell ref="A150:J150"/>
    <mergeCell ref="A151:J151"/>
    <mergeCell ref="A152:J152"/>
    <mergeCell ref="A153:J153"/>
    <mergeCell ref="A144:J144"/>
    <mergeCell ref="A145:J145"/>
    <mergeCell ref="A146:J146"/>
    <mergeCell ref="A147:J147"/>
    <mergeCell ref="N138:O138"/>
    <mergeCell ref="B139:J139"/>
    <mergeCell ref="N139:O139"/>
    <mergeCell ref="B140:J140"/>
    <mergeCell ref="N140:O140"/>
    <mergeCell ref="A141:O141"/>
    <mergeCell ref="C138:J138"/>
    <mergeCell ref="H126:H128"/>
    <mergeCell ref="I126:I128"/>
    <mergeCell ref="C129:J129"/>
    <mergeCell ref="C130:O130"/>
    <mergeCell ref="H131:H137"/>
    <mergeCell ref="I132:I135"/>
    <mergeCell ref="A142:K142"/>
    <mergeCell ref="A143:K143"/>
    <mergeCell ref="A126:A128"/>
    <mergeCell ref="B126:B128"/>
    <mergeCell ref="C126:C128"/>
    <mergeCell ref="D126:D128"/>
    <mergeCell ref="E126:E128"/>
    <mergeCell ref="F126:F128"/>
    <mergeCell ref="G126:G128"/>
    <mergeCell ref="A136:A137"/>
    <mergeCell ref="B136:B137"/>
    <mergeCell ref="C136:C137"/>
    <mergeCell ref="D136:D137"/>
    <mergeCell ref="E136:E137"/>
    <mergeCell ref="N120:N121"/>
    <mergeCell ref="C122:J122"/>
    <mergeCell ref="N122:O122"/>
    <mergeCell ref="C123:O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C116:O116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N117:N119"/>
    <mergeCell ref="G109:G110"/>
    <mergeCell ref="I109:I111"/>
    <mergeCell ref="G111:G112"/>
    <mergeCell ref="I114:J114"/>
    <mergeCell ref="C115:J115"/>
    <mergeCell ref="N115:O115"/>
    <mergeCell ref="E104:E105"/>
    <mergeCell ref="G104:G105"/>
    <mergeCell ref="I104:I105"/>
    <mergeCell ref="E106:E107"/>
    <mergeCell ref="G106:G107"/>
    <mergeCell ref="I106:I107"/>
    <mergeCell ref="G96:G97"/>
    <mergeCell ref="I96:I97"/>
    <mergeCell ref="C98:J98"/>
    <mergeCell ref="C99:O99"/>
    <mergeCell ref="A100:A105"/>
    <mergeCell ref="B100:B105"/>
    <mergeCell ref="C100:C105"/>
    <mergeCell ref="E101:E103"/>
    <mergeCell ref="G101:G103"/>
    <mergeCell ref="I101:I103"/>
    <mergeCell ref="A96:A97"/>
    <mergeCell ref="B96:B97"/>
    <mergeCell ref="C96:C97"/>
    <mergeCell ref="D96:D97"/>
    <mergeCell ref="E96:E97"/>
    <mergeCell ref="F96:F97"/>
    <mergeCell ref="I93:J93"/>
    <mergeCell ref="N93:O93"/>
    <mergeCell ref="C94:C95"/>
    <mergeCell ref="D94:D95"/>
    <mergeCell ref="E94:E95"/>
    <mergeCell ref="G94:G95"/>
    <mergeCell ref="I94:I95"/>
    <mergeCell ref="H84:H87"/>
    <mergeCell ref="I84:I86"/>
    <mergeCell ref="N84:N85"/>
    <mergeCell ref="N86:N87"/>
    <mergeCell ref="A88:A91"/>
    <mergeCell ref="B88:B91"/>
    <mergeCell ref="C88:C91"/>
    <mergeCell ref="E89:E90"/>
    <mergeCell ref="F89:F90"/>
    <mergeCell ref="G89:G91"/>
    <mergeCell ref="H80:H83"/>
    <mergeCell ref="I80:I82"/>
    <mergeCell ref="E82:E83"/>
    <mergeCell ref="A84:A87"/>
    <mergeCell ref="B84:B87"/>
    <mergeCell ref="C84:C87"/>
    <mergeCell ref="D84:D87"/>
    <mergeCell ref="E84:E87"/>
    <mergeCell ref="F84:F87"/>
    <mergeCell ref="G84:G87"/>
    <mergeCell ref="I89:I90"/>
    <mergeCell ref="G71:G75"/>
    <mergeCell ref="I79:J79"/>
    <mergeCell ref="N79:O79"/>
    <mergeCell ref="A80:A83"/>
    <mergeCell ref="B80:B83"/>
    <mergeCell ref="C80:C83"/>
    <mergeCell ref="D80:D83"/>
    <mergeCell ref="E80:E81"/>
    <mergeCell ref="F80:F83"/>
    <mergeCell ref="G80:G83"/>
    <mergeCell ref="A68:A70"/>
    <mergeCell ref="B68:B70"/>
    <mergeCell ref="C68:C70"/>
    <mergeCell ref="D68:D70"/>
    <mergeCell ref="E68:E70"/>
    <mergeCell ref="F68:F70"/>
    <mergeCell ref="F66:F67"/>
    <mergeCell ref="G66:G67"/>
    <mergeCell ref="H66:H67"/>
    <mergeCell ref="A66:A67"/>
    <mergeCell ref="B66:B67"/>
    <mergeCell ref="C66:C67"/>
    <mergeCell ref="D66:D67"/>
    <mergeCell ref="I66:I70"/>
    <mergeCell ref="N66:N67"/>
    <mergeCell ref="O66:O67"/>
    <mergeCell ref="G68:G70"/>
    <mergeCell ref="H68:H70"/>
    <mergeCell ref="E52:E55"/>
    <mergeCell ref="I52:I57"/>
    <mergeCell ref="G55:G60"/>
    <mergeCell ref="E59:E61"/>
    <mergeCell ref="I64:J64"/>
    <mergeCell ref="E66:E67"/>
    <mergeCell ref="A47:A49"/>
    <mergeCell ref="B47:B49"/>
    <mergeCell ref="C47:C49"/>
    <mergeCell ref="D47:D49"/>
    <mergeCell ref="E47:E49"/>
    <mergeCell ref="I35:I37"/>
    <mergeCell ref="A38:A39"/>
    <mergeCell ref="B38:B39"/>
    <mergeCell ref="C38:C39"/>
    <mergeCell ref="D38:D39"/>
    <mergeCell ref="E38:E39"/>
    <mergeCell ref="G38:G39"/>
    <mergeCell ref="I38:I39"/>
    <mergeCell ref="F47:F49"/>
    <mergeCell ref="G47:G49"/>
    <mergeCell ref="H47:H49"/>
    <mergeCell ref="I47:I50"/>
    <mergeCell ref="E50:E51"/>
    <mergeCell ref="G50:G51"/>
    <mergeCell ref="D40:D43"/>
    <mergeCell ref="E40:E43"/>
    <mergeCell ref="G40:G43"/>
    <mergeCell ref="I40:I43"/>
    <mergeCell ref="I44:J44"/>
    <mergeCell ref="F30:F31"/>
    <mergeCell ref="I33:J33"/>
    <mergeCell ref="A35:A37"/>
    <mergeCell ref="B35:B37"/>
    <mergeCell ref="C35:C37"/>
    <mergeCell ref="D35:D37"/>
    <mergeCell ref="E35:E37"/>
    <mergeCell ref="F35:F37"/>
    <mergeCell ref="G35:G37"/>
    <mergeCell ref="H35:H37"/>
    <mergeCell ref="H19:H23"/>
    <mergeCell ref="I19:I21"/>
    <mergeCell ref="N19:N20"/>
    <mergeCell ref="E24:E29"/>
    <mergeCell ref="F24:F26"/>
    <mergeCell ref="G24:G29"/>
    <mergeCell ref="I24:I27"/>
    <mergeCell ref="F27:F29"/>
    <mergeCell ref="G16:G18"/>
    <mergeCell ref="H16:H17"/>
    <mergeCell ref="I16:I18"/>
    <mergeCell ref="A19:A23"/>
    <mergeCell ref="B19:B23"/>
    <mergeCell ref="C19:C23"/>
    <mergeCell ref="D19:D23"/>
    <mergeCell ref="E19:E23"/>
    <mergeCell ref="F19:F23"/>
    <mergeCell ref="G19:G23"/>
    <mergeCell ref="A16:A17"/>
    <mergeCell ref="B16:B17"/>
    <mergeCell ref="C16:C17"/>
    <mergeCell ref="D16:D18"/>
    <mergeCell ref="E16:E18"/>
    <mergeCell ref="F16:F18"/>
    <mergeCell ref="A10:O10"/>
    <mergeCell ref="A11:O11"/>
    <mergeCell ref="B12:O12"/>
    <mergeCell ref="C13:O13"/>
    <mergeCell ref="F7:F9"/>
    <mergeCell ref="G7:G9"/>
    <mergeCell ref="H7:H9"/>
    <mergeCell ref="I7:I9"/>
    <mergeCell ref="J7:J9"/>
    <mergeCell ref="K7:K9"/>
    <mergeCell ref="A3:O3"/>
    <mergeCell ref="A4:O4"/>
    <mergeCell ref="A5:O5"/>
    <mergeCell ref="A7:A9"/>
    <mergeCell ref="B7:B9"/>
    <mergeCell ref="C7:C9"/>
    <mergeCell ref="D7:D9"/>
    <mergeCell ref="E7:E9"/>
    <mergeCell ref="N7:O7"/>
    <mergeCell ref="N8:N9"/>
    <mergeCell ref="L7:L9"/>
    <mergeCell ref="M7:M9"/>
  </mergeCells>
  <pageMargins left="0.78740157480314965" right="0" top="0.19685039370078741" bottom="0.19685039370078741" header="0" footer="0"/>
  <pageSetup paperSize="9" scale="70" orientation="portrait" r:id="rId1"/>
  <rowBreaks count="2" manualBreakCount="2">
    <brk id="39" max="12" man="1"/>
    <brk id="13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7 programa</vt:lpstr>
      <vt:lpstr>2015 MVP</vt:lpstr>
      <vt:lpstr>Lyginamasis variantas</vt:lpstr>
      <vt:lpstr>'2015 MVP'!Print_Area</vt:lpstr>
      <vt:lpstr>'7 programa'!Print_Area</vt:lpstr>
      <vt:lpstr>'Lyginamasis variantas'!Print_Area</vt:lpstr>
      <vt:lpstr>'2015 MVP'!Print_Titles</vt:lpstr>
      <vt:lpstr>'7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2015-06-12T08:40:16Z</cp:lastPrinted>
  <dcterms:created xsi:type="dcterms:W3CDTF">2007-07-27T10:32:34Z</dcterms:created>
  <dcterms:modified xsi:type="dcterms:W3CDTF">2015-06-17T05:40:53Z</dcterms:modified>
</cp:coreProperties>
</file>