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2325" windowWidth="15480" windowHeight="9060" tabRatio="653"/>
  </bookViews>
  <sheets>
    <sheet name="5 programa" sheetId="11" r:id="rId1"/>
    <sheet name="Lyginamasis variantas" sheetId="15" state="hidden" r:id="rId2"/>
  </sheets>
  <definedNames>
    <definedName name="_xlnm.Print_Area" localSheetId="0">'5 programa'!$A$1:$N$106</definedName>
    <definedName name="_xlnm.Print_Area" localSheetId="1">'Lyginamasis variantas'!$A$1:$N$108</definedName>
    <definedName name="_xlnm.Print_Titles" localSheetId="0">'5 programa'!$5:$7</definedName>
    <definedName name="_xlnm.Print_Titles" localSheetId="1">'Lyginamasis variantas'!$6:$8</definedName>
  </definedNames>
  <calcPr calcId="145621" fullPrecision="0"/>
</workbook>
</file>

<file path=xl/calcChain.xml><?xml version="1.0" encoding="utf-8"?>
<calcChain xmlns="http://schemas.openxmlformats.org/spreadsheetml/2006/main">
  <c r="H70" i="11" l="1"/>
  <c r="H17" i="11"/>
  <c r="J69" i="15"/>
  <c r="I18" i="15" l="1"/>
  <c r="I72" i="15"/>
  <c r="J101" i="15" l="1"/>
  <c r="H99" i="11" l="1"/>
  <c r="I101" i="15"/>
  <c r="I102" i="15" l="1"/>
  <c r="I88" i="15" l="1"/>
  <c r="I83" i="15"/>
  <c r="I82" i="15"/>
  <c r="I79" i="15"/>
  <c r="I78" i="15"/>
  <c r="I81" i="15" s="1"/>
  <c r="I76" i="15"/>
  <c r="I75" i="15"/>
  <c r="I67" i="15"/>
  <c r="I59" i="15"/>
  <c r="I97" i="15" s="1"/>
  <c r="I56" i="15"/>
  <c r="I65" i="15" s="1"/>
  <c r="I53" i="15"/>
  <c r="I50" i="15"/>
  <c r="I45" i="15"/>
  <c r="I44" i="15"/>
  <c r="I39" i="15"/>
  <c r="I40" i="15" s="1"/>
  <c r="I35" i="15"/>
  <c r="I38" i="15" s="1"/>
  <c r="I31" i="15"/>
  <c r="I29" i="15"/>
  <c r="I105" i="15" s="1"/>
  <c r="I28" i="15"/>
  <c r="I26" i="15"/>
  <c r="I25" i="15"/>
  <c r="I23" i="15"/>
  <c r="I24" i="15" s="1"/>
  <c r="I13" i="15"/>
  <c r="I77" i="15" l="1"/>
  <c r="I27" i="15"/>
  <c r="I48" i="15"/>
  <c r="I22" i="15"/>
  <c r="I33" i="15" s="1"/>
  <c r="I98" i="15"/>
  <c r="I30" i="15"/>
  <c r="I107" i="15"/>
  <c r="I103" i="15"/>
  <c r="I41" i="15"/>
  <c r="I54" i="15"/>
  <c r="I32" i="15"/>
  <c r="I106" i="15"/>
  <c r="I85" i="15"/>
  <c r="I100" i="15"/>
  <c r="I17" i="15"/>
  <c r="I99" i="15"/>
  <c r="I89" i="15"/>
  <c r="I73" i="15"/>
  <c r="I104" i="15" l="1"/>
  <c r="I90" i="15"/>
  <c r="I91" i="15" s="1"/>
  <c r="I96" i="15"/>
  <c r="I95" i="15" s="1"/>
  <c r="I70" i="11" l="1"/>
  <c r="J70" i="11"/>
  <c r="H47" i="11" l="1"/>
  <c r="H71" i="11" l="1"/>
  <c r="I47" i="11"/>
  <c r="J47" i="11"/>
  <c r="J107" i="15" l="1"/>
  <c r="J106" i="15"/>
  <c r="J105" i="15"/>
  <c r="J102" i="15"/>
  <c r="H102" i="15"/>
  <c r="J100" i="15"/>
  <c r="H88" i="15"/>
  <c r="J89" i="15"/>
  <c r="H83" i="15"/>
  <c r="H100" i="15" s="1"/>
  <c r="H82" i="15"/>
  <c r="H85" i="15" s="1"/>
  <c r="H79" i="15"/>
  <c r="H78" i="15"/>
  <c r="H76" i="15"/>
  <c r="H75" i="15"/>
  <c r="J72" i="15"/>
  <c r="H67" i="15"/>
  <c r="H72" i="15" s="1"/>
  <c r="J65" i="15"/>
  <c r="H59" i="15"/>
  <c r="H56" i="15"/>
  <c r="H53" i="15"/>
  <c r="J54" i="15"/>
  <c r="H50" i="15"/>
  <c r="J48" i="15"/>
  <c r="H45" i="15"/>
  <c r="H44" i="15"/>
  <c r="J40" i="15"/>
  <c r="H39" i="15"/>
  <c r="H40" i="15" s="1"/>
  <c r="J38" i="15"/>
  <c r="H35" i="15"/>
  <c r="H38" i="15" s="1"/>
  <c r="J32" i="15"/>
  <c r="H31" i="15"/>
  <c r="H106" i="15" s="1"/>
  <c r="H29" i="15"/>
  <c r="H105" i="15" s="1"/>
  <c r="H28" i="15"/>
  <c r="H30" i="15" s="1"/>
  <c r="H26" i="15"/>
  <c r="J103" i="15"/>
  <c r="H25" i="15"/>
  <c r="H23" i="15"/>
  <c r="H24" i="15" s="1"/>
  <c r="H18" i="15"/>
  <c r="H13" i="15"/>
  <c r="H17" i="15" s="1"/>
  <c r="H77" i="15" l="1"/>
  <c r="H48" i="15"/>
  <c r="H98" i="15"/>
  <c r="J22" i="15"/>
  <c r="J33" i="15" s="1"/>
  <c r="H65" i="15"/>
  <c r="J41" i="15"/>
  <c r="J73" i="15"/>
  <c r="J98" i="15"/>
  <c r="H97" i="15"/>
  <c r="H81" i="15"/>
  <c r="H89" i="15" s="1"/>
  <c r="H54" i="15"/>
  <c r="H22" i="15"/>
  <c r="H103" i="15"/>
  <c r="J104" i="15"/>
  <c r="H41" i="15"/>
  <c r="H73" i="15"/>
  <c r="J97" i="15"/>
  <c r="H99" i="15"/>
  <c r="H27" i="15"/>
  <c r="J99" i="15"/>
  <c r="H107" i="15"/>
  <c r="H104" i="15" s="1"/>
  <c r="H32" i="15"/>
  <c r="J96" i="15" l="1"/>
  <c r="J95" i="15" s="1"/>
  <c r="J108" i="15" s="1"/>
  <c r="J90" i="15"/>
  <c r="J91" i="15" s="1"/>
  <c r="H33" i="15"/>
  <c r="H90" i="15" s="1"/>
  <c r="H91" i="15" s="1"/>
  <c r="H96" i="15"/>
  <c r="H95" i="15" l="1"/>
  <c r="H108" i="15" s="1"/>
  <c r="H79" i="11"/>
  <c r="H101" i="11" l="1"/>
  <c r="H16" i="11"/>
  <c r="I108" i="15" l="1"/>
  <c r="I100" i="11" l="1"/>
  <c r="H81" i="11"/>
  <c r="H80" i="11"/>
  <c r="H55" i="11" l="1"/>
  <c r="H49" i="11" l="1"/>
  <c r="H12" i="11" l="1"/>
  <c r="J49" i="11" l="1"/>
  <c r="I49" i="11"/>
  <c r="I53" i="11" l="1"/>
  <c r="J53" i="11"/>
  <c r="H25" i="11" l="1"/>
  <c r="I85" i="11"/>
  <c r="H83" i="11"/>
  <c r="H77" i="11"/>
  <c r="H76" i="11"/>
  <c r="H74" i="11"/>
  <c r="H73" i="11"/>
  <c r="J66" i="11"/>
  <c r="I66" i="11"/>
  <c r="H66" i="11"/>
  <c r="J63" i="11"/>
  <c r="J62" i="11"/>
  <c r="J61" i="11"/>
  <c r="I60" i="11"/>
  <c r="H58" i="11"/>
  <c r="H52" i="11"/>
  <c r="H53" i="11" s="1"/>
  <c r="J44" i="11"/>
  <c r="I44" i="11"/>
  <c r="H44" i="11"/>
  <c r="J43" i="11"/>
  <c r="I43" i="11"/>
  <c r="H43" i="11"/>
  <c r="J38" i="11"/>
  <c r="I38" i="11"/>
  <c r="H38" i="11"/>
  <c r="J34" i="11"/>
  <c r="I34" i="11"/>
  <c r="H34" i="11"/>
  <c r="H30" i="11"/>
  <c r="H28" i="11"/>
  <c r="H27" i="11"/>
  <c r="J24" i="11"/>
  <c r="I24" i="11"/>
  <c r="H24" i="11"/>
  <c r="J22" i="11"/>
  <c r="I22" i="11"/>
  <c r="H22" i="11"/>
  <c r="J17" i="11"/>
  <c r="I17" i="11"/>
  <c r="J12" i="11"/>
  <c r="I12" i="11"/>
  <c r="J87" i="11" l="1"/>
  <c r="H64" i="11"/>
  <c r="H75" i="11" l="1"/>
  <c r="I86" i="11"/>
  <c r="I87" i="11" s="1"/>
  <c r="H31" i="11" l="1"/>
  <c r="L24" i="11" l="1"/>
  <c r="I16" i="11" l="1"/>
  <c r="J16" i="11"/>
  <c r="H26" i="11" l="1"/>
  <c r="H105" i="11" l="1"/>
  <c r="H104" i="11"/>
  <c r="H103" i="11"/>
  <c r="H100" i="11"/>
  <c r="H98" i="11"/>
  <c r="H97" i="11"/>
  <c r="H96" i="11"/>
  <c r="H95" i="11"/>
  <c r="I64" i="11"/>
  <c r="J64" i="11"/>
  <c r="H86" i="11"/>
  <c r="H39" i="11"/>
  <c r="H37" i="11"/>
  <c r="H29" i="11"/>
  <c r="H23" i="11"/>
  <c r="H21" i="11"/>
  <c r="J105" i="11"/>
  <c r="I105" i="11"/>
  <c r="J104" i="11"/>
  <c r="I104" i="11"/>
  <c r="J103" i="11"/>
  <c r="I103" i="11"/>
  <c r="J101" i="11"/>
  <c r="I101" i="11"/>
  <c r="J100" i="11"/>
  <c r="J98" i="11"/>
  <c r="I98" i="11"/>
  <c r="J97" i="11"/>
  <c r="I97" i="11"/>
  <c r="J96" i="11"/>
  <c r="I96" i="11"/>
  <c r="J95" i="11"/>
  <c r="I95" i="11"/>
  <c r="J39" i="11"/>
  <c r="I39" i="11"/>
  <c r="J37" i="11"/>
  <c r="I37" i="11"/>
  <c r="J31" i="11"/>
  <c r="I31" i="11"/>
  <c r="J26" i="11"/>
  <c r="I26" i="11"/>
  <c r="J23" i="11"/>
  <c r="I23" i="11"/>
  <c r="J21" i="11"/>
  <c r="I21" i="11"/>
  <c r="H94" i="11" l="1"/>
  <c r="H93" i="11" s="1"/>
  <c r="H87" i="11"/>
  <c r="H32" i="11"/>
  <c r="I32" i="11"/>
  <c r="J32" i="11"/>
  <c r="I102" i="11"/>
  <c r="H102" i="11"/>
  <c r="J71" i="11"/>
  <c r="I71" i="11"/>
  <c r="H40" i="11"/>
  <c r="J102" i="11"/>
  <c r="J40" i="11"/>
  <c r="J94" i="11"/>
  <c r="J93" i="11" s="1"/>
  <c r="I40" i="11"/>
  <c r="I94" i="11"/>
  <c r="I93" i="11" s="1"/>
  <c r="H88" i="11" l="1"/>
  <c r="H89" i="11" s="1"/>
  <c r="I106" i="11"/>
  <c r="H106" i="11"/>
  <c r="J106" i="11"/>
  <c r="I88" i="11"/>
  <c r="I89" i="11" s="1"/>
  <c r="J88" i="11"/>
  <c r="J89" i="11" s="1"/>
</calcChain>
</file>

<file path=xl/comments1.xml><?xml version="1.0" encoding="utf-8"?>
<comments xmlns="http://schemas.openxmlformats.org/spreadsheetml/2006/main">
  <authors>
    <author>Audra Cepiene</author>
    <author>Sniega</author>
  </authors>
  <commentList>
    <comment ref="E25" authorId="0">
      <text>
        <r>
          <rPr>
            <b/>
            <sz val="9"/>
            <color indexed="81"/>
            <rFont val="Tahoma"/>
            <family val="2"/>
            <charset val="186"/>
          </rPr>
          <t>KSP 2.1.3.17</t>
        </r>
        <r>
          <rPr>
            <sz val="9"/>
            <color indexed="81"/>
            <rFont val="Tahoma"/>
            <family val="2"/>
            <charset val="186"/>
          </rPr>
          <t xml:space="preserve"> Įrengti požemines ir pusiau požemines komunalinių atliekų ir antrinių žaliavų surinkimo konteinerių aikšteles
</t>
        </r>
      </text>
    </comment>
    <comment ref="D34" authorId="0">
      <text>
        <r>
          <rPr>
            <sz val="9"/>
            <color indexed="81"/>
            <rFont val="Tahoma"/>
            <family val="2"/>
            <charset val="186"/>
          </rPr>
          <t>Pagal taryboje patvirtintą 2012-2016 m. programą</t>
        </r>
      </text>
    </comment>
    <comment ref="E34" authorId="0">
      <text>
        <r>
          <rPr>
            <b/>
            <sz val="9"/>
            <color indexed="81"/>
            <rFont val="Tahoma"/>
            <family val="2"/>
            <charset val="186"/>
          </rPr>
          <t>KSP 2.3.3.1.</t>
        </r>
        <r>
          <rPr>
            <sz val="9"/>
            <color indexed="81"/>
            <rFont val="Tahoma"/>
            <family val="2"/>
            <charset val="186"/>
          </rPr>
          <t xml:space="preserve"> Vykdyti prevencines priemones, siekiant neviršyti leistinų oro taršos kietosiomis dalelėmis (KD10) normatyvų
</t>
        </r>
      </text>
    </comment>
    <comment ref="E38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2.3.3.2. </t>
        </r>
        <r>
          <rPr>
            <sz val="9"/>
            <color indexed="81"/>
            <rFont val="Tahoma"/>
            <family val="2"/>
            <charset val="186"/>
          </rPr>
          <t xml:space="preserve">Vykdyti visuomenės aplinkosauginį švietimą 
</t>
        </r>
      </text>
    </comment>
    <comment ref="E43" authorId="0">
      <text>
        <r>
          <rPr>
            <b/>
            <sz val="9"/>
            <color indexed="81"/>
            <rFont val="Tahoma"/>
            <family val="2"/>
            <charset val="186"/>
          </rPr>
          <t>KSP 2.3.1.4.</t>
        </r>
        <r>
          <rPr>
            <sz val="9"/>
            <color indexed="81"/>
            <rFont val="Tahoma"/>
            <family val="2"/>
            <charset val="186"/>
          </rPr>
          <t xml:space="preserve">
Išvalyti užterštus ir rekultivuoti apleistus vandens telkinius, vykdyti jų stebėseną</t>
        </r>
      </text>
    </comment>
    <comment ref="K43" authorId="0">
      <text>
        <r>
          <rPr>
            <sz val="9"/>
            <color indexed="81"/>
            <rFont val="Tahoma"/>
            <family val="2"/>
            <charset val="186"/>
          </rPr>
          <t>Valomų vandens telkinių plotas - 281,9 km</t>
        </r>
        <r>
          <rPr>
            <vertAlign val="superscript"/>
            <sz val="9"/>
            <color indexed="81"/>
            <rFont val="Tahoma"/>
            <family val="2"/>
            <charset val="186"/>
          </rPr>
          <t xml:space="preserve">2  </t>
        </r>
        <r>
          <rPr>
            <sz val="9"/>
            <color indexed="81"/>
            <rFont val="Tahoma"/>
            <family val="2"/>
            <charset val="186"/>
          </rPr>
          <t>bei žalųjų plotų prieigų iki 20 m plotas - 181,9 km</t>
        </r>
        <r>
          <rPr>
            <vertAlign val="superscript"/>
            <sz val="9"/>
            <color indexed="81"/>
            <rFont val="Tahoma"/>
            <family val="2"/>
            <charset val="186"/>
          </rPr>
          <t>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48" authorId="0">
      <text>
        <r>
          <rPr>
            <b/>
            <sz val="9"/>
            <color indexed="81"/>
            <rFont val="Tahoma"/>
            <family val="2"/>
            <charset val="186"/>
          </rPr>
          <t>Priemonė. Želdynų ir želdinių apsaugos, tvarkymo ir kūrimo valdymas savivaldybėse</t>
        </r>
        <r>
          <rPr>
            <sz val="9"/>
            <color indexed="81"/>
            <rFont val="Tahoma"/>
            <family val="2"/>
            <charset val="186"/>
          </rPr>
          <t xml:space="preserve">
2.3.1 uždavinys. Užtikrinti žaliųjų miesto plotų vystymą</t>
        </r>
      </text>
    </comment>
    <comment ref="E49" authorId="0">
      <text>
        <r>
          <rPr>
            <b/>
            <sz val="9"/>
            <color indexed="81"/>
            <rFont val="Tahoma"/>
            <family val="2"/>
            <charset val="186"/>
          </rPr>
          <t>KSP 2.3.1.1.</t>
        </r>
        <r>
          <rPr>
            <sz val="9"/>
            <color indexed="81"/>
            <rFont val="Tahoma"/>
            <family val="2"/>
            <charset val="186"/>
          </rPr>
          <t xml:space="preserve">
Planuoti ir įrengti apsauginius ir rekreacinius želdynus</t>
        </r>
      </text>
    </comment>
    <comment ref="E5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58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60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65" authorId="0">
      <text>
        <r>
          <rPr>
            <b/>
            <sz val="9"/>
            <color indexed="81"/>
            <rFont val="Tahoma"/>
            <family val="2"/>
            <charset val="186"/>
          </rPr>
          <t>KSP 2.3.1.2.</t>
        </r>
        <r>
          <rPr>
            <sz val="9"/>
            <color indexed="81"/>
            <rFont val="Tahoma"/>
            <family val="2"/>
            <charset val="186"/>
          </rPr>
          <t xml:space="preserve">
Užtikrinti gamtinių vertybių apsaugą kuriant ir atnaujinant infrastruktūrą pajūrio ruože</t>
        </r>
      </text>
    </comment>
    <comment ref="E84" authorId="1">
      <text>
        <r>
          <rPr>
            <sz val="9"/>
            <color indexed="81"/>
            <rFont val="Tahoma"/>
            <family val="2"/>
            <charset val="186"/>
          </rPr>
          <t>"Rekonstruoti sporto sveikatingumo kompleksą (Smiltynės g. 13), pritaikant turizmo, sporto ir rekreacijos funkcijoms"</t>
        </r>
      </text>
    </comment>
  </commentList>
</comments>
</file>

<file path=xl/comments2.xml><?xml version="1.0" encoding="utf-8"?>
<comments xmlns="http://schemas.openxmlformats.org/spreadsheetml/2006/main">
  <authors>
    <author>Audra Cepiene</author>
    <author>Sniega</author>
  </authors>
  <commentList>
    <comment ref="E26" authorId="0">
      <text>
        <r>
          <rPr>
            <b/>
            <sz val="9"/>
            <color indexed="81"/>
            <rFont val="Tahoma"/>
            <family val="2"/>
            <charset val="186"/>
          </rPr>
          <t>KSP 2.1.3.17</t>
        </r>
        <r>
          <rPr>
            <sz val="9"/>
            <color indexed="81"/>
            <rFont val="Tahoma"/>
            <family val="2"/>
            <charset val="186"/>
          </rPr>
          <t xml:space="preserve"> Įrengti požemines ir pusiau požemines komunalinių atliekų ir antrinių žaliavų surinkimo konteinerių aikšteles
</t>
        </r>
      </text>
    </comment>
    <comment ref="D35" authorId="0">
      <text>
        <r>
          <rPr>
            <sz val="9"/>
            <color indexed="81"/>
            <rFont val="Tahoma"/>
            <family val="2"/>
            <charset val="186"/>
          </rPr>
          <t>Pagal taryboje patvirtintą 2012-2016 m. programą</t>
        </r>
      </text>
    </comment>
    <comment ref="E35" authorId="0">
      <text>
        <r>
          <rPr>
            <b/>
            <sz val="9"/>
            <color indexed="81"/>
            <rFont val="Tahoma"/>
            <family val="2"/>
            <charset val="186"/>
          </rPr>
          <t>KSP 2.3.3.1.</t>
        </r>
        <r>
          <rPr>
            <sz val="9"/>
            <color indexed="81"/>
            <rFont val="Tahoma"/>
            <family val="2"/>
            <charset val="186"/>
          </rPr>
          <t xml:space="preserve"> Vykdyti prevencines priemones, siekiant neviršyti leistinų oro taršos kietosiomis dalelėmis (KD10) normatyvų
</t>
        </r>
      </text>
    </comment>
    <comment ref="E39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2.3.3.2. </t>
        </r>
        <r>
          <rPr>
            <sz val="9"/>
            <color indexed="81"/>
            <rFont val="Tahoma"/>
            <family val="2"/>
            <charset val="186"/>
          </rPr>
          <t xml:space="preserve">Vykdyti visuomenės aplinkosauginį švietimą 
</t>
        </r>
      </text>
    </comment>
    <comment ref="E44" authorId="0">
      <text>
        <r>
          <rPr>
            <b/>
            <sz val="9"/>
            <color indexed="81"/>
            <rFont val="Tahoma"/>
            <family val="2"/>
            <charset val="186"/>
          </rPr>
          <t>KSP 2.3.1.4.</t>
        </r>
        <r>
          <rPr>
            <sz val="9"/>
            <color indexed="81"/>
            <rFont val="Tahoma"/>
            <family val="2"/>
            <charset val="186"/>
          </rPr>
          <t xml:space="preserve">
Išvalyti užterštus ir rekultivuoti apleistus vandens telkinius, vykdyti jų stebėseną</t>
        </r>
      </text>
    </comment>
    <comment ref="D49" authorId="0">
      <text>
        <r>
          <rPr>
            <b/>
            <sz val="9"/>
            <color indexed="81"/>
            <rFont val="Tahoma"/>
            <family val="2"/>
            <charset val="186"/>
          </rPr>
          <t>Priemonė. Želdynų ir želdinių apsaugos, tvarkymo ir kūrimo valdymas savivaldybėse</t>
        </r>
        <r>
          <rPr>
            <sz val="9"/>
            <color indexed="81"/>
            <rFont val="Tahoma"/>
            <family val="2"/>
            <charset val="186"/>
          </rPr>
          <t xml:space="preserve">
2.3.1 uždavinys. Užtikrinti žaliųjų miesto plotų vystymą</t>
        </r>
      </text>
    </comment>
    <comment ref="E50" authorId="0">
      <text>
        <r>
          <rPr>
            <b/>
            <sz val="9"/>
            <color indexed="81"/>
            <rFont val="Tahoma"/>
            <family val="2"/>
            <charset val="186"/>
          </rPr>
          <t>KSP 2.3.1.1.</t>
        </r>
        <r>
          <rPr>
            <sz val="9"/>
            <color indexed="81"/>
            <rFont val="Tahoma"/>
            <family val="2"/>
            <charset val="186"/>
          </rPr>
          <t xml:space="preserve">
Planuoti ir įrengti apsauginius ir rekreacinius želdynus</t>
        </r>
      </text>
    </comment>
    <comment ref="E57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59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61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66" authorId="0">
      <text>
        <r>
          <rPr>
            <b/>
            <sz val="9"/>
            <color indexed="81"/>
            <rFont val="Tahoma"/>
            <family val="2"/>
            <charset val="186"/>
          </rPr>
          <t>KSP 2.3.1.2.</t>
        </r>
        <r>
          <rPr>
            <sz val="9"/>
            <color indexed="81"/>
            <rFont val="Tahoma"/>
            <family val="2"/>
            <charset val="186"/>
          </rPr>
          <t xml:space="preserve">
Užtikrinti gamtinių vertybių apsaugą kuriant ir atnaujinant infrastruktūrą pajūrio ruože</t>
        </r>
      </text>
    </comment>
    <comment ref="D69" authorId="0">
      <text>
        <r>
          <rPr>
            <sz val="9"/>
            <color indexed="81"/>
            <rFont val="Tahoma"/>
            <family val="2"/>
            <charset val="186"/>
          </rPr>
          <t xml:space="preserve">Saulina kreipėsi raštu dėl priemonės įtraukimo
</t>
        </r>
      </text>
    </comment>
    <comment ref="E86" authorId="1">
      <text>
        <r>
          <rPr>
            <sz val="9"/>
            <color indexed="81"/>
            <rFont val="Tahoma"/>
            <family val="2"/>
            <charset val="186"/>
          </rPr>
          <t>"Rekonstruoti sporto sveikatingumo kompleksą (Smiltynės g. 13), pritaikant turizmo, sporto ir rekreacijos funkcijoms"</t>
        </r>
      </text>
    </comment>
  </commentList>
</comments>
</file>

<file path=xl/sharedStrings.xml><?xml version="1.0" encoding="utf-8"?>
<sst xmlns="http://schemas.openxmlformats.org/spreadsheetml/2006/main" count="512" uniqueCount="141">
  <si>
    <t>Uždavinio kodas</t>
  </si>
  <si>
    <t>Priemonės kodas</t>
  </si>
  <si>
    <t>Priemonės požymis</t>
  </si>
  <si>
    <t>Asignavimų valdytojo kodas</t>
  </si>
  <si>
    <t>Finansavimo šaltinis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</si>
  <si>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</si>
  <si>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</si>
  <si>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</si>
  <si>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</si>
  <si>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</si>
  <si>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</si>
  <si>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</si>
  <si>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</si>
  <si>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Finansavimo šaltinių suvestinė</t>
  </si>
  <si>
    <t>SAVIVALDYBĖS  LĖŠOS, IŠ VISO:</t>
  </si>
  <si>
    <t>KITI ŠALTINIAI, IŠ VISO:</t>
  </si>
  <si>
    <t>IŠ VISO:</t>
  </si>
  <si>
    <t xml:space="preserve"> TIKSLŲ, UŽDAVINIŲ, PRIEMONIŲ, PRIEMONIŲ IŠLAIDŲ IR PRODUKTO KRITERIJŲ SUVESTINĖ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</si>
  <si>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</si>
  <si>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</si>
  <si>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</si>
  <si>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Savivaldybės aplinkos apsaugos rėmimo specialiosios programos lėšų likutis </t>
    </r>
    <r>
      <rPr>
        <b/>
        <sz val="10"/>
        <rFont val="Times New Roman"/>
        <family val="1"/>
        <charset val="186"/>
      </rPr>
      <t>SB(AAL)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</si>
  <si>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</si>
  <si>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</si>
  <si>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</si>
  <si>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>2015-ieji metai</t>
  </si>
  <si>
    <t>SB</t>
  </si>
  <si>
    <t>03</t>
  </si>
  <si>
    <t>6</t>
  </si>
  <si>
    <t>06</t>
  </si>
  <si>
    <t>APLINKOS APSAUGOS PROGRAMOS (NR. 05)</t>
  </si>
  <si>
    <t>Komunalinių atliekų surinkimas ir tvarkymas</t>
  </si>
  <si>
    <t>05</t>
  </si>
  <si>
    <t>04</t>
  </si>
  <si>
    <t>Klaipėdos miesto savivaldybės aplinkos monitoringo vykdymas</t>
  </si>
  <si>
    <t>Visuomenės ekologinis švietimas</t>
  </si>
  <si>
    <t>SB(AA)</t>
  </si>
  <si>
    <t>SB(AAL)</t>
  </si>
  <si>
    <t>5</t>
  </si>
  <si>
    <t>Įgyvendinta švietimo priemonių, vnt.</t>
  </si>
  <si>
    <t>Pavojingų atliekų šalinimas</t>
  </si>
  <si>
    <t>Išvežta padangų, t</t>
  </si>
  <si>
    <t>Surinkta gyvsidabrio, kg</t>
  </si>
  <si>
    <t>Tobulinti atliekų tvarkymo sistemą</t>
  </si>
  <si>
    <t>Sanitarinis vandens telkinių valymas</t>
  </si>
  <si>
    <t>Medinių laiptų ir takų, vedančių per apsauginį kopagūbrį, priežiūra</t>
  </si>
  <si>
    <t>Siekti subalansuotos ir kokybiškos aplinkos Klaipėdos mieste</t>
  </si>
  <si>
    <t xml:space="preserve">Vykdyti gamtinės aplinkos stebėsenos ir gyventojų ekologinio švietimo priemones </t>
  </si>
  <si>
    <t>Parengta ataskaitų, vnt.</t>
  </si>
  <si>
    <t>05 Aplinkos apsaugos programa</t>
  </si>
  <si>
    <t>ES</t>
  </si>
  <si>
    <t>LRVB</t>
  </si>
  <si>
    <t>Valoma vandens telkinių (paviršiai ir priekrantė), vnt.</t>
  </si>
  <si>
    <t>SB(P)</t>
  </si>
  <si>
    <t xml:space="preserve">Visuomenės švietimo atliekų tvarkymo klausimais vykdymas </t>
  </si>
  <si>
    <t>Informuotų asmenų skaičius, tūkst.</t>
  </si>
  <si>
    <t>Danės upės valymas ir pakrančių sutvarkymas</t>
  </si>
  <si>
    <t>I</t>
  </si>
  <si>
    <t>Komunalinių atliekų tvarkymo organizavimas:</t>
  </si>
  <si>
    <t>Komunalinių atliekų surinkimas ir tvarkymas Lėbartų kapinėse</t>
  </si>
  <si>
    <t>2016-ųjų metų lėšų projektas</t>
  </si>
  <si>
    <t>Strateginis tikslas 02. Kurti mieste patrauklią, švarią ir saugią gyvenamąją aplinką</t>
  </si>
  <si>
    <t>P3</t>
  </si>
  <si>
    <t>Atliekų, kurių turėtojo nustatyti neįmanoma arba kuris nebeegzistuoja, tvarkymas:</t>
  </si>
  <si>
    <t>Aplinkosaugos gerinimas Lietuvos ir Rusijos pasienyje</t>
  </si>
  <si>
    <t>Kt</t>
  </si>
  <si>
    <t>Miesto vandens telkinių valymas:</t>
  </si>
  <si>
    <t>Baltijos jūros vandens kokybės gerinimas, vystant vandens nuotekų tinklus</t>
  </si>
  <si>
    <t xml:space="preserve">Iš viso  programai: </t>
  </si>
  <si>
    <r>
      <t xml:space="preserve">Kitos lėšos </t>
    </r>
    <r>
      <rPr>
        <b/>
        <sz val="10"/>
        <rFont val="Times New Roman"/>
        <family val="1"/>
        <charset val="186"/>
      </rPr>
      <t>Kt</t>
    </r>
  </si>
  <si>
    <t>Išvežta komunalinių, statybinių, biologiškai skaidžių šiukšlių, tūkst. t</t>
  </si>
  <si>
    <t>Tiriamų aplinkos komponentų (oro, triukšmo, dirvožemio, vandens, biologinės įvairovės) kiekis, vnt.</t>
  </si>
  <si>
    <t>Įrengtas dviračių ir pėsčiųjų takas (7,237 km). Užbaigtumas, proc.</t>
  </si>
  <si>
    <t xml:space="preserve">P5, P2.3.3.1. </t>
  </si>
  <si>
    <t xml:space="preserve">Dviračių tako nuo Paryžiaus Komunos g. iki Jono kalnelio tiltelio įrengimas </t>
  </si>
  <si>
    <t>2016-ieji metai</t>
  </si>
  <si>
    <t>SB(VR)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</si>
  <si>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</si>
  <si>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SB(VRL)</t>
  </si>
  <si>
    <r>
      <t>Programų lėšų likučių laikinai laisvos lėšos</t>
    </r>
    <r>
      <rPr>
        <b/>
        <sz val="10"/>
        <rFont val="Times New Roman"/>
        <family val="1"/>
        <charset val="186"/>
      </rPr>
      <t xml:space="preserve"> SB(VRL) </t>
    </r>
    <r>
      <rPr>
        <sz val="10"/>
        <rFont val="Times New Roman"/>
        <family val="1"/>
        <charset val="186"/>
      </rPr>
      <t>- rinkliavos likutis</t>
    </r>
  </si>
  <si>
    <t>P2.1.2.7</t>
  </si>
  <si>
    <t>P2.1.3.17</t>
  </si>
  <si>
    <t>Naujų ir esamų želdynų tvarkymas ir kūrimas</t>
  </si>
  <si>
    <t>Dviračių ir pėsčiųjų tako dalies nuo Biržos tilto iki Klaipėdos g. tilto įrengimas Danės upės slėnio teritorijoje</t>
  </si>
  <si>
    <t>Savavališkai užterštų teritorijų sutvarkymas</t>
  </si>
  <si>
    <t>Bendrojo naudojimo lietaus nuotekų tinklų tiesimas teritorijoje ties Bangų g. 5A, Klaipėdoje</t>
  </si>
  <si>
    <t>2015-ųjų metų asignavimų planas</t>
  </si>
  <si>
    <t>2017-ųjų metų lėšų projektas</t>
  </si>
  <si>
    <t>2017-ieji metai</t>
  </si>
  <si>
    <t xml:space="preserve">Projekto „Aplinkos pritaikymo ir aplinkosaugos priemonių įgyvendinimas Baltijos jūros paplūdimių zonoje“  įgyvendinimas </t>
  </si>
  <si>
    <t>2016-ųjų m. lėšų poreikis</t>
  </si>
  <si>
    <t>2017-ųjų m. lėšų poreikis</t>
  </si>
  <si>
    <t>2.3.3.2</t>
  </si>
  <si>
    <t>Išvalytų vandens telkinių plotas, ha</t>
  </si>
  <si>
    <t>Sutvarkyta medžių prie dviračių takų, tūkst. vnt.</t>
  </si>
  <si>
    <t>Danės upės pakrantės palei dviračių taką želdinių tvarkymo aprašas</t>
  </si>
  <si>
    <t>Parengtas aprašas, vnt.</t>
  </si>
  <si>
    <t>Sutvirtintas kopagūbris žabų klojiniais, tūkst. kv. m</t>
  </si>
  <si>
    <t>Vandens ir nuotekų tinklų įrengimo Smiltynės g. 13 techninio projekto parengimas</t>
  </si>
  <si>
    <t>Parengtas investicijų projektas, vnt.</t>
  </si>
  <si>
    <r>
      <t xml:space="preserve">Suprojektuoti ir pastatyti valymo įrenginiai Klaipėdos regioniniame sąvartyne Dumpiuose. Įvykdymas, </t>
    </r>
    <r>
      <rPr>
        <sz val="9"/>
        <rFont val="Times New Roman"/>
        <family val="1"/>
        <charset val="186"/>
      </rPr>
      <t>proc.</t>
    </r>
  </si>
  <si>
    <t>P2.3.1.4</t>
  </si>
  <si>
    <t>Nutiesta lietaus nuotekų tinklų (100 m). Užbaigtumas, proc.</t>
  </si>
  <si>
    <t xml:space="preserve">Prižiūrėti, saugoti ir gausinti miesto poilsio zonų gamtinę aplinką </t>
  </si>
  <si>
    <t>Individualių antrinių žaliavų ir pakuočių atliekų surinkimo konteinerių įsigijimas</t>
  </si>
  <si>
    <t>Įsigytų individualių antrinių žaliavų surinkimo konteinerių, vnt.</t>
  </si>
  <si>
    <t>Miesto paplūdimių priežiūra ir apsauga:</t>
  </si>
  <si>
    <t>Miesto želdynų ir želdinių tvarkymas ir kūrimas:</t>
  </si>
  <si>
    <t>P2.3.1.2</t>
  </si>
  <si>
    <r>
      <t xml:space="preserve">I, </t>
    </r>
    <r>
      <rPr>
        <sz val="10"/>
        <rFont val="Times New Roman"/>
        <family val="1"/>
        <charset val="186"/>
      </rPr>
      <t>P2.4.2.8</t>
    </r>
  </si>
  <si>
    <t xml:space="preserve">Savivaldybės biudžetas, iš jo: </t>
  </si>
  <si>
    <t xml:space="preserve">Helofitų (nendrių, švendrių) šalinimas iš Žardės ir Draugystės tvenkinių </t>
  </si>
  <si>
    <t>Dviračių takų  plėtra:</t>
  </si>
  <si>
    <r>
      <t>I,</t>
    </r>
    <r>
      <rPr>
        <sz val="8"/>
        <rFont val="Times New Roman"/>
        <family val="1"/>
        <charset val="186"/>
      </rPr>
      <t xml:space="preserve"> P1.6.3.4</t>
    </r>
  </si>
  <si>
    <t>Rekonstruota lietaus nuotekų tinklų (1625,5 m).  Įvykdymas, proc.</t>
  </si>
  <si>
    <t xml:space="preserve">2015–2017 M. KLAIPĖDOS MIESTO SAVIVALDYBĖS </t>
  </si>
  <si>
    <t>Įrengta konteinerių ir aikštelių, vnt.</t>
  </si>
  <si>
    <t>Požeminių, pusiau požeminių bei kitų konteinerių įsigijimas ir aikštelių įrengimas</t>
  </si>
  <si>
    <t>Parengtas techninis projektas, vnt.</t>
  </si>
  <si>
    <t>Nutiesta dviračių tako (360 km). Užbaigtumas, proc.</t>
  </si>
  <si>
    <t>Nutiesta dviračių takų (1,935 km), užbaigtumas, proc.</t>
  </si>
  <si>
    <t>Eur</t>
  </si>
  <si>
    <t>Planas</t>
  </si>
  <si>
    <t>Priimtų į sąvartyną atliekų kiekis, tūkst. t</t>
  </si>
  <si>
    <t>Pakeista medinių takų ir laiptų, tūkst. kv. m</t>
  </si>
  <si>
    <t>Nutiesta vandens, nuotekų tinklų, prijungtų prie Smiltynės, Melnragės, Girulių konteinerinių tualetų (220 m). Užbaigtumas, proc.</t>
  </si>
  <si>
    <t>Asfalto dangos įrengimas suformuojant dviračių taką palei Danės upės krantinę nuo Jono kalnelio tiltelio iki Gluosnių skersgatvio</t>
  </si>
  <si>
    <t>Prižiūrėti ir vystyti mieste vandens ir nuotekų tinklų infrastruktūrą</t>
  </si>
  <si>
    <t xml:space="preserve"> P2.3.1.1</t>
  </si>
  <si>
    <t>Lyginamasis variantas</t>
  </si>
  <si>
    <t>Konteinerinių tualetų infrastruktūros tinklų (vandens, nuotekų) įrengimo darbai</t>
  </si>
  <si>
    <t>Iškirsta ir atsodinta medžių (vnt.): 2015 m. – Pievų g. (22 ); Herkaus Manto g. ruože nuo S. Daukanto g. iki Lietuvininkų aikštės (34); S. Daukanto g. ruože nuo Puodžių g. iki Šaulių g. (57); K. Donelaičio g. (111); Pilies g. (13)</t>
  </si>
  <si>
    <r>
      <t>Papildyta rožynų sodinukais (270 vnt.) plotas, m</t>
    </r>
    <r>
      <rPr>
        <sz val="10"/>
        <rFont val="SimSun"/>
      </rPr>
      <t>²</t>
    </r>
  </si>
  <si>
    <t>Išvalyta upė, ha</t>
  </si>
  <si>
    <t>Sutvarkyta pakrantė, ha</t>
  </si>
  <si>
    <t>Siūlomas keisti 2015-ųjų metų asignavimų planas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</si>
  <si>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</si>
  <si>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SB(VB)</t>
  </si>
  <si>
    <t>Skirtumas</t>
  </si>
  <si>
    <t xml:space="preserve">Parengta krantotvarkos programa, vnt. </t>
  </si>
  <si>
    <t>Sutvirtintas kopagūbris, pinant tvoreles iš žabų, tūkst.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</si>
</sst>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1">
    <font>
      <sz val="10"/>
      <name val="Arial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  <charset val="186"/>
    </font>
    <font>
      <sz val="6"/>
      <name val="Arial"/>
      <family val="2"/>
      <charset val="186"/>
    </font>
    <font>
      <b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vertAlign val="superscript"/>
      <sz val="9"/>
      <color indexed="81"/>
      <name val="Tahoma"/>
      <family val="2"/>
      <charset val="186"/>
    </font>
    <font>
      <sz val="7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name val="SimSun"/>
    </font>
    <font>
      <sz val="10"/>
      <color rgb="FFFF0000"/>
      <name val="Arial"/>
      <family val="2"/>
      <charset val="186"/>
    </font>
    <font>
      <sz val="9"/>
      <color rgb="FFFF0000"/>
      <name val="Times New Roman"/>
      <family val="1"/>
      <charset val="186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744">
    <xf numFmtId="0" fontId="0" fillId="0" borderId="0" xfId="0"/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49" fontId="4" fillId="2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3" fontId="2" fillId="0" borderId="4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4" fillId="2" borderId="4" xfId="0" applyNumberFormat="1" applyFont="1" applyFill="1" applyBorder="1" applyAlignment="1">
      <alignment vertical="top"/>
    </xf>
    <xf numFmtId="49" fontId="4" fillId="2" borderId="6" xfId="0" applyNumberFormat="1" applyFont="1" applyFill="1" applyBorder="1" applyAlignment="1">
      <alignment vertical="top"/>
    </xf>
    <xf numFmtId="165" fontId="2" fillId="0" borderId="0" xfId="0" applyNumberFormat="1" applyFont="1" applyAlignment="1">
      <alignment vertical="top"/>
    </xf>
    <xf numFmtId="49" fontId="4" fillId="5" borderId="14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vertical="top"/>
    </xf>
    <xf numFmtId="0" fontId="7" fillId="0" borderId="0" xfId="0" applyFont="1" applyBorder="1"/>
    <xf numFmtId="0" fontId="9" fillId="0" borderId="53" xfId="0" applyFont="1" applyFill="1" applyBorder="1" applyAlignment="1">
      <alignment horizontal="center" vertical="top"/>
    </xf>
    <xf numFmtId="0" fontId="9" fillId="0" borderId="54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vertical="top"/>
    </xf>
    <xf numFmtId="164" fontId="2" fillId="0" borderId="0" xfId="0" applyNumberFormat="1" applyFont="1" applyAlignment="1">
      <alignment vertical="top"/>
    </xf>
    <xf numFmtId="0" fontId="2" fillId="3" borderId="36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3" fontId="2" fillId="3" borderId="6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1" fillId="0" borderId="3" xfId="0" applyFont="1" applyFill="1" applyBorder="1" applyAlignment="1">
      <alignment horizontal="center" vertical="top" wrapText="1"/>
    </xf>
    <xf numFmtId="3" fontId="2" fillId="0" borderId="35" xfId="0" applyNumberFormat="1" applyFont="1" applyFill="1" applyBorder="1" applyAlignment="1">
      <alignment horizontal="center" vertical="top"/>
    </xf>
    <xf numFmtId="3" fontId="2" fillId="0" borderId="23" xfId="0" applyNumberFormat="1" applyFont="1" applyFill="1" applyBorder="1" applyAlignment="1">
      <alignment horizontal="center" vertical="top"/>
    </xf>
    <xf numFmtId="0" fontId="1" fillId="0" borderId="0" xfId="0" applyNumberFormat="1" applyFont="1" applyBorder="1" applyAlignment="1">
      <alignment vertical="top" wrapText="1"/>
    </xf>
    <xf numFmtId="0" fontId="11" fillId="4" borderId="36" xfId="0" applyFont="1" applyFill="1" applyBorder="1" applyAlignment="1">
      <alignment vertical="top" wrapText="1"/>
    </xf>
    <xf numFmtId="3" fontId="2" fillId="0" borderId="3" xfId="0" applyNumberFormat="1" applyFont="1" applyFill="1" applyBorder="1" applyAlignment="1">
      <alignment horizontal="center" vertical="top"/>
    </xf>
    <xf numFmtId="3" fontId="2" fillId="0" borderId="6" xfId="0" applyNumberFormat="1" applyFont="1" applyFill="1" applyBorder="1" applyAlignment="1">
      <alignment horizontal="center" vertical="top"/>
    </xf>
    <xf numFmtId="3" fontId="2" fillId="0" borderId="15" xfId="0" applyNumberFormat="1" applyFont="1" applyFill="1" applyBorder="1" applyAlignment="1">
      <alignment horizontal="center" vertical="top"/>
    </xf>
    <xf numFmtId="3" fontId="2" fillId="0" borderId="18" xfId="0" applyNumberFormat="1" applyFont="1" applyFill="1" applyBorder="1" applyAlignment="1">
      <alignment horizontal="center" vertical="top"/>
    </xf>
    <xf numFmtId="3" fontId="2" fillId="0" borderId="57" xfId="0" applyNumberFormat="1" applyFont="1" applyFill="1" applyBorder="1" applyAlignment="1">
      <alignment horizontal="center" vertical="top"/>
    </xf>
    <xf numFmtId="49" fontId="4" fillId="2" borderId="12" xfId="0" applyNumberFormat="1" applyFont="1" applyFill="1" applyBorder="1" applyAlignment="1">
      <alignment horizontal="center" vertical="top"/>
    </xf>
    <xf numFmtId="0" fontId="9" fillId="0" borderId="51" xfId="0" applyFont="1" applyBorder="1" applyAlignment="1">
      <alignment horizontal="center" vertical="top"/>
    </xf>
    <xf numFmtId="3" fontId="2" fillId="0" borderId="17" xfId="0" applyNumberFormat="1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left" vertical="top" wrapText="1"/>
    </xf>
    <xf numFmtId="0" fontId="9" fillId="0" borderId="51" xfId="0" applyFont="1" applyFill="1" applyBorder="1" applyAlignment="1">
      <alignment horizontal="center" vertical="top"/>
    </xf>
    <xf numFmtId="49" fontId="13" fillId="0" borderId="45" xfId="0" applyNumberFormat="1" applyFont="1" applyFill="1" applyBorder="1" applyAlignment="1">
      <alignment horizontal="center" vertical="top"/>
    </xf>
    <xf numFmtId="49" fontId="13" fillId="0" borderId="47" xfId="0" applyNumberFormat="1" applyFont="1" applyFill="1" applyBorder="1" applyAlignment="1">
      <alignment horizontal="center" vertical="top"/>
    </xf>
    <xf numFmtId="0" fontId="10" fillId="6" borderId="61" xfId="0" applyFont="1" applyFill="1" applyBorder="1" applyAlignment="1">
      <alignment horizontal="center" vertical="top"/>
    </xf>
    <xf numFmtId="0" fontId="10" fillId="6" borderId="41" xfId="0" applyFont="1" applyFill="1" applyBorder="1" applyAlignment="1">
      <alignment horizontal="center" vertical="top"/>
    </xf>
    <xf numFmtId="0" fontId="10" fillId="6" borderId="26" xfId="0" applyFont="1" applyFill="1" applyBorder="1" applyAlignment="1">
      <alignment horizontal="center" vertical="top"/>
    </xf>
    <xf numFmtId="0" fontId="4" fillId="6" borderId="40" xfId="0" applyFont="1" applyFill="1" applyBorder="1" applyAlignment="1">
      <alignment horizontal="center" vertical="top"/>
    </xf>
    <xf numFmtId="0" fontId="14" fillId="6" borderId="41" xfId="0" applyFont="1" applyFill="1" applyBorder="1" applyAlignment="1">
      <alignment horizontal="right" vertical="top"/>
    </xf>
    <xf numFmtId="49" fontId="4" fillId="4" borderId="23" xfId="0" applyNumberFormat="1" applyFont="1" applyFill="1" applyBorder="1" applyAlignment="1">
      <alignment vertical="top"/>
    </xf>
    <xf numFmtId="49" fontId="4" fillId="4" borderId="36" xfId="0" applyNumberFormat="1" applyFont="1" applyFill="1" applyBorder="1" applyAlignment="1">
      <alignment vertical="top"/>
    </xf>
    <xf numFmtId="49" fontId="4" fillId="4" borderId="4" xfId="0" applyNumberFormat="1" applyFont="1" applyFill="1" applyBorder="1" applyAlignment="1">
      <alignment vertical="top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/>
    </xf>
    <xf numFmtId="3" fontId="2" fillId="3" borderId="3" xfId="0" applyNumberFormat="1" applyFont="1" applyFill="1" applyBorder="1" applyAlignment="1">
      <alignment horizontal="center" vertical="top" wrapText="1"/>
    </xf>
    <xf numFmtId="3" fontId="2" fillId="3" borderId="11" xfId="0" applyNumberFormat="1" applyFont="1" applyFill="1" applyBorder="1" applyAlignment="1">
      <alignment horizontal="center" vertical="top"/>
    </xf>
    <xf numFmtId="0" fontId="9" fillId="0" borderId="17" xfId="0" applyFont="1" applyFill="1" applyBorder="1" applyAlignment="1">
      <alignment horizontal="center" vertical="center" wrapText="1"/>
    </xf>
    <xf numFmtId="0" fontId="9" fillId="4" borderId="51" xfId="0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vertical="top"/>
    </xf>
    <xf numFmtId="0" fontId="18" fillId="0" borderId="32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top" wrapText="1"/>
    </xf>
    <xf numFmtId="3" fontId="2" fillId="3" borderId="17" xfId="0" applyNumberFormat="1" applyFont="1" applyFill="1" applyBorder="1" applyAlignment="1">
      <alignment horizontal="center" vertical="top"/>
    </xf>
    <xf numFmtId="0" fontId="9" fillId="0" borderId="45" xfId="0" applyFont="1" applyFill="1" applyBorder="1" applyAlignment="1">
      <alignment horizontal="center" vertical="top" wrapText="1"/>
    </xf>
    <xf numFmtId="0" fontId="2" fillId="0" borderId="65" xfId="0" applyFont="1" applyFill="1" applyBorder="1" applyAlignment="1">
      <alignment vertical="top" wrapText="1"/>
    </xf>
    <xf numFmtId="165" fontId="2" fillId="0" borderId="17" xfId="0" applyNumberFormat="1" applyFont="1" applyFill="1" applyBorder="1" applyAlignment="1">
      <alignment horizontal="center" vertical="top"/>
    </xf>
    <xf numFmtId="0" fontId="2" fillId="0" borderId="51" xfId="0" applyFont="1" applyFill="1" applyBorder="1" applyAlignment="1">
      <alignment horizontal="center" vertical="top" wrapText="1"/>
    </xf>
    <xf numFmtId="0" fontId="2" fillId="4" borderId="18" xfId="0" applyNumberFormat="1" applyFont="1" applyFill="1" applyBorder="1" applyAlignment="1">
      <alignment horizontal="center" vertical="top"/>
    </xf>
    <xf numFmtId="0" fontId="2" fillId="4" borderId="15" xfId="0" applyNumberFormat="1" applyFont="1" applyFill="1" applyBorder="1" applyAlignment="1">
      <alignment horizontal="center" vertical="top"/>
    </xf>
    <xf numFmtId="0" fontId="2" fillId="4" borderId="17" xfId="0" applyNumberFormat="1" applyFont="1" applyFill="1" applyBorder="1" applyAlignment="1">
      <alignment horizontal="center" vertical="top"/>
    </xf>
    <xf numFmtId="0" fontId="7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/>
    </xf>
    <xf numFmtId="0" fontId="7" fillId="0" borderId="6" xfId="0" applyFont="1" applyBorder="1" applyAlignment="1">
      <alignment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/>
    </xf>
    <xf numFmtId="3" fontId="2" fillId="0" borderId="36" xfId="0" applyNumberFormat="1" applyFont="1" applyFill="1" applyBorder="1" applyAlignment="1">
      <alignment horizontal="center" vertical="top"/>
    </xf>
    <xf numFmtId="3" fontId="2" fillId="3" borderId="35" xfId="0" applyNumberFormat="1" applyFont="1" applyFill="1" applyBorder="1" applyAlignment="1">
      <alignment horizontal="center" vertical="top" wrapText="1"/>
    </xf>
    <xf numFmtId="3" fontId="2" fillId="0" borderId="36" xfId="0" applyNumberFormat="1" applyFont="1" applyFill="1" applyBorder="1" applyAlignment="1">
      <alignment horizontal="center" vertical="top" wrapText="1"/>
    </xf>
    <xf numFmtId="3" fontId="2" fillId="3" borderId="36" xfId="0" applyNumberFormat="1" applyFont="1" applyFill="1" applyBorder="1" applyAlignment="1">
      <alignment horizontal="center" vertical="top"/>
    </xf>
    <xf numFmtId="0" fontId="2" fillId="3" borderId="22" xfId="0" applyNumberFormat="1" applyFont="1" applyFill="1" applyBorder="1" applyAlignment="1">
      <alignment horizontal="center" vertical="top"/>
    </xf>
    <xf numFmtId="3" fontId="2" fillId="0" borderId="50" xfId="0" applyNumberFormat="1" applyFont="1" applyFill="1" applyBorder="1" applyAlignment="1">
      <alignment horizontal="center" vertical="top"/>
    </xf>
    <xf numFmtId="3" fontId="2" fillId="0" borderId="42" xfId="0" applyNumberFormat="1" applyFont="1" applyFill="1" applyBorder="1" applyAlignment="1">
      <alignment horizontal="center" vertical="top"/>
    </xf>
    <xf numFmtId="3" fontId="2" fillId="0" borderId="22" xfId="0" applyNumberFormat="1" applyFont="1" applyFill="1" applyBorder="1" applyAlignment="1">
      <alignment horizontal="center" vertical="top"/>
    </xf>
    <xf numFmtId="3" fontId="2" fillId="3" borderId="50" xfId="0" applyNumberFormat="1" applyFont="1" applyFill="1" applyBorder="1" applyAlignment="1">
      <alignment horizontal="center" vertical="top" wrapText="1"/>
    </xf>
    <xf numFmtId="3" fontId="2" fillId="0" borderId="22" xfId="0" applyNumberFormat="1" applyFont="1" applyFill="1" applyBorder="1" applyAlignment="1">
      <alignment horizontal="center" vertical="top" wrapText="1"/>
    </xf>
    <xf numFmtId="3" fontId="2" fillId="3" borderId="22" xfId="0" applyNumberFormat="1" applyFont="1" applyFill="1" applyBorder="1" applyAlignment="1">
      <alignment horizontal="center" vertical="top"/>
    </xf>
    <xf numFmtId="0" fontId="2" fillId="3" borderId="6" xfId="0" applyNumberFormat="1" applyFont="1" applyFill="1" applyBorder="1" applyAlignment="1">
      <alignment horizontal="center" vertical="top"/>
    </xf>
    <xf numFmtId="0" fontId="2" fillId="0" borderId="3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58" xfId="0" applyFont="1" applyFill="1" applyBorder="1" applyAlignment="1">
      <alignment horizontal="center" vertical="top" wrapText="1"/>
    </xf>
    <xf numFmtId="49" fontId="4" fillId="8" borderId="55" xfId="0" applyNumberFormat="1" applyFont="1" applyFill="1" applyBorder="1" applyAlignment="1">
      <alignment horizontal="center" vertical="top" wrapText="1"/>
    </xf>
    <xf numFmtId="49" fontId="4" fillId="8" borderId="55" xfId="0" applyNumberFormat="1" applyFont="1" applyFill="1" applyBorder="1" applyAlignment="1">
      <alignment horizontal="center" vertical="top"/>
    </xf>
    <xf numFmtId="49" fontId="4" fillId="8" borderId="16" xfId="0" applyNumberFormat="1" applyFont="1" applyFill="1" applyBorder="1" applyAlignment="1">
      <alignment vertical="top"/>
    </xf>
    <xf numFmtId="49" fontId="4" fillId="8" borderId="21" xfId="0" applyNumberFormat="1" applyFont="1" applyFill="1" applyBorder="1" applyAlignment="1">
      <alignment vertical="top"/>
    </xf>
    <xf numFmtId="49" fontId="4" fillId="8" borderId="14" xfId="0" applyNumberFormat="1" applyFont="1" applyFill="1" applyBorder="1" applyAlignment="1">
      <alignment horizontal="center" vertical="top"/>
    </xf>
    <xf numFmtId="49" fontId="4" fillId="8" borderId="33" xfId="0" applyNumberFormat="1" applyFont="1" applyFill="1" applyBorder="1" applyAlignment="1">
      <alignment horizontal="center" vertical="top"/>
    </xf>
    <xf numFmtId="49" fontId="4" fillId="8" borderId="41" xfId="0" applyNumberFormat="1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vertical="top"/>
    </xf>
    <xf numFmtId="164" fontId="2" fillId="0" borderId="0" xfId="0" applyNumberFormat="1" applyFont="1" applyFill="1" applyAlignment="1">
      <alignment vertical="top"/>
    </xf>
    <xf numFmtId="0" fontId="8" fillId="4" borderId="3" xfId="0" applyFont="1" applyFill="1" applyBorder="1" applyAlignment="1">
      <alignment horizontal="left" vertical="top" wrapText="1"/>
    </xf>
    <xf numFmtId="3" fontId="2" fillId="3" borderId="28" xfId="0" applyNumberFormat="1" applyFont="1" applyFill="1" applyBorder="1" applyAlignment="1">
      <alignment horizontal="center" vertical="top"/>
    </xf>
    <xf numFmtId="3" fontId="2" fillId="3" borderId="68" xfId="0" applyNumberFormat="1" applyFont="1" applyFill="1" applyBorder="1" applyAlignment="1">
      <alignment horizontal="center" vertical="top"/>
    </xf>
    <xf numFmtId="0" fontId="2" fillId="0" borderId="54" xfId="0" applyFont="1" applyFill="1" applyBorder="1" applyAlignment="1">
      <alignment horizontal="left" vertical="top" wrapText="1"/>
    </xf>
    <xf numFmtId="0" fontId="4" fillId="0" borderId="35" xfId="0" applyFont="1" applyFill="1" applyBorder="1" applyAlignment="1">
      <alignment vertical="top" wrapText="1"/>
    </xf>
    <xf numFmtId="3" fontId="2" fillId="0" borderId="29" xfId="0" applyNumberFormat="1" applyFont="1" applyFill="1" applyBorder="1" applyAlignment="1">
      <alignment horizontal="center" vertical="top"/>
    </xf>
    <xf numFmtId="3" fontId="2" fillId="0" borderId="80" xfId="0" applyNumberFormat="1" applyFont="1" applyFill="1" applyBorder="1" applyAlignment="1">
      <alignment horizontal="center" vertical="top"/>
    </xf>
    <xf numFmtId="3" fontId="2" fillId="0" borderId="82" xfId="0" applyNumberFormat="1" applyFont="1" applyFill="1" applyBorder="1" applyAlignment="1">
      <alignment horizontal="center" vertical="top"/>
    </xf>
    <xf numFmtId="0" fontId="2" fillId="0" borderId="79" xfId="0" applyFont="1" applyFill="1" applyBorder="1" applyAlignment="1">
      <alignment horizontal="left" vertical="top" wrapText="1"/>
    </xf>
    <xf numFmtId="164" fontId="13" fillId="0" borderId="58" xfId="0" applyNumberFormat="1" applyFont="1" applyFill="1" applyBorder="1" applyAlignment="1">
      <alignment horizontal="center" vertical="top"/>
    </xf>
    <xf numFmtId="0" fontId="13" fillId="0" borderId="57" xfId="0" applyNumberFormat="1" applyFont="1" applyFill="1" applyBorder="1" applyAlignment="1">
      <alignment horizontal="center" vertical="top"/>
    </xf>
    <xf numFmtId="49" fontId="13" fillId="0" borderId="84" xfId="0" applyNumberFormat="1" applyFont="1" applyFill="1" applyBorder="1" applyAlignment="1">
      <alignment horizontal="center" vertical="top"/>
    </xf>
    <xf numFmtId="0" fontId="9" fillId="0" borderId="87" xfId="0" applyFont="1" applyFill="1" applyBorder="1" applyAlignment="1">
      <alignment horizontal="center" vertical="top"/>
    </xf>
    <xf numFmtId="0" fontId="9" fillId="0" borderId="5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shrinkToFit="1"/>
    </xf>
    <xf numFmtId="0" fontId="2" fillId="0" borderId="13" xfId="0" applyFont="1" applyBorder="1" applyAlignment="1">
      <alignment horizontal="center" vertical="center" textRotation="90" shrinkToFit="1"/>
    </xf>
    <xf numFmtId="0" fontId="9" fillId="0" borderId="84" xfId="0" applyFont="1" applyFill="1" applyBorder="1" applyAlignment="1">
      <alignment horizontal="center" vertical="top"/>
    </xf>
    <xf numFmtId="0" fontId="9" fillId="0" borderId="31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top" wrapText="1"/>
    </xf>
    <xf numFmtId="0" fontId="9" fillId="0" borderId="45" xfId="0" applyFont="1" applyFill="1" applyBorder="1" applyAlignment="1">
      <alignment horizontal="center" vertical="top"/>
    </xf>
    <xf numFmtId="0" fontId="9" fillId="0" borderId="54" xfId="0" applyFont="1" applyBorder="1" applyAlignment="1">
      <alignment horizontal="center" vertical="top"/>
    </xf>
    <xf numFmtId="0" fontId="2" fillId="4" borderId="34" xfId="0" applyFont="1" applyFill="1" applyBorder="1" applyAlignment="1">
      <alignment vertical="top" wrapText="1"/>
    </xf>
    <xf numFmtId="164" fontId="13" fillId="0" borderId="37" xfId="0" applyNumberFormat="1" applyFont="1" applyFill="1" applyBorder="1" applyAlignment="1">
      <alignment horizontal="center" vertical="top"/>
    </xf>
    <xf numFmtId="49" fontId="4" fillId="8" borderId="20" xfId="0" applyNumberFormat="1" applyFont="1" applyFill="1" applyBorder="1" applyAlignment="1">
      <alignment horizontal="center" vertical="top"/>
    </xf>
    <xf numFmtId="49" fontId="4" fillId="8" borderId="16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6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/>
    </xf>
    <xf numFmtId="49" fontId="4" fillId="4" borderId="6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49" fontId="4" fillId="8" borderId="21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49" fontId="4" fillId="8" borderId="20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49" fontId="4" fillId="0" borderId="31" xfId="0" applyNumberFormat="1" applyFont="1" applyBorder="1" applyAlignment="1">
      <alignment horizontal="center" vertical="top"/>
    </xf>
    <xf numFmtId="49" fontId="4" fillId="4" borderId="10" xfId="0" applyNumberFormat="1" applyFont="1" applyFill="1" applyBorder="1" applyAlignment="1">
      <alignment horizontal="center" vertical="top"/>
    </xf>
    <xf numFmtId="0" fontId="4" fillId="6" borderId="41" xfId="0" applyFont="1" applyFill="1" applyBorder="1" applyAlignment="1">
      <alignment horizontal="center" vertical="top"/>
    </xf>
    <xf numFmtId="3" fontId="2" fillId="3" borderId="23" xfId="0" applyNumberFormat="1" applyFont="1" applyFill="1" applyBorder="1" applyAlignment="1">
      <alignment horizontal="center" vertical="top"/>
    </xf>
    <xf numFmtId="3" fontId="2" fillId="3" borderId="4" xfId="0" applyNumberFormat="1" applyFont="1" applyFill="1" applyBorder="1" applyAlignment="1">
      <alignment horizontal="center" vertical="top"/>
    </xf>
    <xf numFmtId="3" fontId="2" fillId="3" borderId="42" xfId="0" applyNumberFormat="1" applyFont="1" applyFill="1" applyBorder="1" applyAlignment="1">
      <alignment horizontal="center" vertical="top"/>
    </xf>
    <xf numFmtId="0" fontId="2" fillId="4" borderId="80" xfId="0" applyFont="1" applyFill="1" applyBorder="1" applyAlignment="1">
      <alignment vertical="top" wrapText="1"/>
    </xf>
    <xf numFmtId="0" fontId="2" fillId="3" borderId="64" xfId="0" applyFont="1" applyFill="1" applyBorder="1" applyAlignment="1">
      <alignment horizontal="left" vertical="top" wrapText="1"/>
    </xf>
    <xf numFmtId="0" fontId="2" fillId="0" borderId="60" xfId="0" applyFont="1" applyFill="1" applyBorder="1" applyAlignment="1">
      <alignment vertical="top" wrapText="1"/>
    </xf>
    <xf numFmtId="0" fontId="2" fillId="0" borderId="37" xfId="0" applyFont="1" applyFill="1" applyBorder="1" applyAlignment="1">
      <alignment horizontal="center" vertical="top" wrapText="1"/>
    </xf>
    <xf numFmtId="0" fontId="10" fillId="0" borderId="45" xfId="0" applyFont="1" applyFill="1" applyBorder="1" applyAlignment="1">
      <alignment horizontal="center" vertical="top"/>
    </xf>
    <xf numFmtId="0" fontId="9" fillId="0" borderId="51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vertical="top" wrapText="1"/>
    </xf>
    <xf numFmtId="0" fontId="10" fillId="6" borderId="67" xfId="0" applyFont="1" applyFill="1" applyBorder="1" applyAlignment="1">
      <alignment horizontal="center" vertical="top"/>
    </xf>
    <xf numFmtId="0" fontId="9" fillId="4" borderId="22" xfId="0" applyFont="1" applyFill="1" applyBorder="1" applyAlignment="1">
      <alignment horizontal="center" vertical="top" wrapText="1"/>
    </xf>
    <xf numFmtId="0" fontId="9" fillId="4" borderId="6" xfId="0" applyFont="1" applyFill="1" applyBorder="1" applyAlignment="1">
      <alignment horizontal="center" vertical="top" wrapText="1"/>
    </xf>
    <xf numFmtId="0" fontId="2" fillId="0" borderId="84" xfId="0" applyFont="1" applyBorder="1" applyAlignment="1">
      <alignment horizontal="center" vertical="top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0" borderId="59" xfId="0" applyFont="1" applyFill="1" applyBorder="1" applyAlignment="1">
      <alignment vertical="center" textRotation="90" wrapText="1"/>
    </xf>
    <xf numFmtId="0" fontId="4" fillId="0" borderId="27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49" fontId="4" fillId="0" borderId="57" xfId="0" applyNumberFormat="1" applyFont="1" applyBorder="1" applyAlignment="1">
      <alignment horizontal="center" vertical="top"/>
    </xf>
    <xf numFmtId="49" fontId="4" fillId="0" borderId="29" xfId="0" applyNumberFormat="1" applyFont="1" applyBorder="1" applyAlignment="1">
      <alignment horizontal="center" vertical="top"/>
    </xf>
    <xf numFmtId="49" fontId="4" fillId="0" borderId="17" xfId="0" applyNumberFormat="1" applyFont="1" applyBorder="1" applyAlignment="1">
      <alignment horizontal="center" vertical="top"/>
    </xf>
    <xf numFmtId="49" fontId="4" fillId="4" borderId="18" xfId="0" applyNumberFormat="1" applyFont="1" applyFill="1" applyBorder="1" applyAlignment="1">
      <alignment vertical="top"/>
    </xf>
    <xf numFmtId="49" fontId="4" fillId="8" borderId="20" xfId="0" applyNumberFormat="1" applyFont="1" applyFill="1" applyBorder="1" applyAlignment="1">
      <alignment horizontal="center" vertical="top" wrapText="1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8" borderId="21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49" fontId="4" fillId="4" borderId="6" xfId="0" applyNumberFormat="1" applyFont="1" applyFill="1" applyBorder="1" applyAlignment="1">
      <alignment horizontal="center" vertical="top" wrapText="1"/>
    </xf>
    <xf numFmtId="49" fontId="4" fillId="0" borderId="36" xfId="0" applyNumberFormat="1" applyFont="1" applyBorder="1" applyAlignment="1">
      <alignment horizontal="center" vertical="top"/>
    </xf>
    <xf numFmtId="0" fontId="2" fillId="0" borderId="64" xfId="0" applyFont="1" applyFill="1" applyBorder="1" applyAlignment="1">
      <alignment horizontal="left" vertical="top" wrapText="1"/>
    </xf>
    <xf numFmtId="0" fontId="2" fillId="0" borderId="65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43" xfId="0" applyFont="1" applyFill="1" applyBorder="1" applyAlignment="1">
      <alignment horizontal="center" vertical="top" wrapText="1"/>
    </xf>
    <xf numFmtId="49" fontId="8" fillId="0" borderId="35" xfId="0" applyNumberFormat="1" applyFont="1" applyBorder="1" applyAlignment="1">
      <alignment horizontal="center" vertical="top"/>
    </xf>
    <xf numFmtId="0" fontId="12" fillId="0" borderId="38" xfId="0" applyFont="1" applyFill="1" applyBorder="1" applyAlignment="1">
      <alignment horizontal="center" vertical="top"/>
    </xf>
    <xf numFmtId="0" fontId="12" fillId="0" borderId="25" xfId="0" applyFont="1" applyFill="1" applyBorder="1" applyAlignment="1">
      <alignment horizontal="center" vertical="top"/>
    </xf>
    <xf numFmtId="0" fontId="12" fillId="4" borderId="25" xfId="0" applyFont="1" applyFill="1" applyBorder="1" applyAlignment="1">
      <alignment horizontal="center" vertical="top"/>
    </xf>
    <xf numFmtId="0" fontId="12" fillId="0" borderId="39" xfId="0" applyFont="1" applyFill="1" applyBorder="1" applyAlignment="1">
      <alignment horizontal="center" vertical="top"/>
    </xf>
    <xf numFmtId="0" fontId="10" fillId="6" borderId="40" xfId="0" applyFont="1" applyFill="1" applyBorder="1" applyAlignment="1">
      <alignment horizontal="center" vertical="top"/>
    </xf>
    <xf numFmtId="0" fontId="0" fillId="0" borderId="6" xfId="0" applyBorder="1" applyAlignment="1">
      <alignment horizontal="left" vertical="top" wrapText="1"/>
    </xf>
    <xf numFmtId="0" fontId="2" fillId="4" borderId="51" xfId="0" applyFont="1" applyFill="1" applyBorder="1" applyAlignment="1">
      <alignment horizontal="left" vertical="top" wrapText="1"/>
    </xf>
    <xf numFmtId="0" fontId="9" fillId="0" borderId="54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top" wrapText="1"/>
    </xf>
    <xf numFmtId="3" fontId="2" fillId="0" borderId="54" xfId="0" applyNumberFormat="1" applyFont="1" applyFill="1" applyBorder="1" applyAlignment="1">
      <alignment horizontal="right" vertical="top" wrapText="1"/>
    </xf>
    <xf numFmtId="3" fontId="2" fillId="0" borderId="25" xfId="0" applyNumberFormat="1" applyFont="1" applyFill="1" applyBorder="1" applyAlignment="1">
      <alignment horizontal="right" vertical="top" wrapText="1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4" borderId="23" xfId="0" applyNumberFormat="1" applyFont="1" applyFill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/>
    </xf>
    <xf numFmtId="0" fontId="2" fillId="0" borderId="53" xfId="0" applyFont="1" applyFill="1" applyBorder="1" applyAlignment="1">
      <alignment horizontal="left" vertical="top" wrapText="1"/>
    </xf>
    <xf numFmtId="49" fontId="4" fillId="0" borderId="17" xfId="0" applyNumberFormat="1" applyFont="1" applyBorder="1" applyAlignment="1">
      <alignment horizontal="center" vertical="top" wrapText="1"/>
    </xf>
    <xf numFmtId="0" fontId="2" fillId="0" borderId="17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3" fontId="2" fillId="6" borderId="25" xfId="0" applyNumberFormat="1" applyFont="1" applyFill="1" applyBorder="1" applyAlignment="1">
      <alignment horizontal="right" vertical="top"/>
    </xf>
    <xf numFmtId="3" fontId="2" fillId="6" borderId="78" xfId="0" applyNumberFormat="1" applyFont="1" applyFill="1" applyBorder="1" applyAlignment="1">
      <alignment horizontal="right" vertical="top"/>
    </xf>
    <xf numFmtId="3" fontId="2" fillId="6" borderId="39" xfId="0" applyNumberFormat="1" applyFont="1" applyFill="1" applyBorder="1" applyAlignment="1">
      <alignment horizontal="right" vertical="top"/>
    </xf>
    <xf numFmtId="3" fontId="2" fillId="0" borderId="51" xfId="0" applyNumberFormat="1" applyFont="1" applyFill="1" applyBorder="1" applyAlignment="1">
      <alignment horizontal="right" vertical="top"/>
    </xf>
    <xf numFmtId="3" fontId="2" fillId="0" borderId="39" xfId="0" applyNumberFormat="1" applyFont="1" applyFill="1" applyBorder="1" applyAlignment="1">
      <alignment horizontal="right" vertical="top"/>
    </xf>
    <xf numFmtId="3" fontId="4" fillId="6" borderId="97" xfId="0" applyNumberFormat="1" applyFont="1" applyFill="1" applyBorder="1" applyAlignment="1">
      <alignment horizontal="right" vertical="top"/>
    </xf>
    <xf numFmtId="3" fontId="2" fillId="6" borderId="50" xfId="0" applyNumberFormat="1" applyFont="1" applyFill="1" applyBorder="1" applyAlignment="1">
      <alignment horizontal="right" vertical="top"/>
    </xf>
    <xf numFmtId="3" fontId="2" fillId="0" borderId="38" xfId="0" applyNumberFormat="1" applyFont="1" applyFill="1" applyBorder="1" applyAlignment="1">
      <alignment horizontal="right" vertical="top"/>
    </xf>
    <xf numFmtId="3" fontId="2" fillId="6" borderId="42" xfId="0" applyNumberFormat="1" applyFont="1" applyFill="1" applyBorder="1" applyAlignment="1">
      <alignment horizontal="right" vertical="top"/>
    </xf>
    <xf numFmtId="3" fontId="2" fillId="0" borderId="25" xfId="0" applyNumberFormat="1" applyFont="1" applyFill="1" applyBorder="1" applyAlignment="1">
      <alignment horizontal="right" vertical="top"/>
    </xf>
    <xf numFmtId="3" fontId="2" fillId="6" borderId="52" xfId="0" applyNumberFormat="1" applyFont="1" applyFill="1" applyBorder="1" applyAlignment="1">
      <alignment horizontal="right" vertical="top"/>
    </xf>
    <xf numFmtId="3" fontId="4" fillId="6" borderId="22" xfId="0" applyNumberFormat="1" applyFont="1" applyFill="1" applyBorder="1" applyAlignment="1">
      <alignment horizontal="right" vertical="top"/>
    </xf>
    <xf numFmtId="3" fontId="4" fillId="6" borderId="40" xfId="0" applyNumberFormat="1" applyFont="1" applyFill="1" applyBorder="1" applyAlignment="1">
      <alignment horizontal="right" vertical="top"/>
    </xf>
    <xf numFmtId="3" fontId="4" fillId="6" borderId="26" xfId="0" applyNumberFormat="1" applyFont="1" applyFill="1" applyBorder="1" applyAlignment="1">
      <alignment horizontal="right" vertical="top"/>
    </xf>
    <xf numFmtId="3" fontId="4" fillId="6" borderId="61" xfId="0" applyNumberFormat="1" applyFont="1" applyFill="1" applyBorder="1" applyAlignment="1">
      <alignment horizontal="right" vertical="top"/>
    </xf>
    <xf numFmtId="3" fontId="2" fillId="6" borderId="24" xfId="0" applyNumberFormat="1" applyFont="1" applyFill="1" applyBorder="1" applyAlignment="1">
      <alignment horizontal="right" vertical="top"/>
    </xf>
    <xf numFmtId="3" fontId="2" fillId="0" borderId="45" xfId="0" applyNumberFormat="1" applyFont="1" applyFill="1" applyBorder="1" applyAlignment="1">
      <alignment horizontal="right" vertical="top"/>
    </xf>
    <xf numFmtId="3" fontId="2" fillId="0" borderId="24" xfId="0" applyNumberFormat="1" applyFont="1" applyFill="1" applyBorder="1" applyAlignment="1">
      <alignment horizontal="right" vertical="top"/>
    </xf>
    <xf numFmtId="3" fontId="4" fillId="2" borderId="32" xfId="0" applyNumberFormat="1" applyFont="1" applyFill="1" applyBorder="1" applyAlignment="1">
      <alignment horizontal="right" vertical="top"/>
    </xf>
    <xf numFmtId="0" fontId="2" fillId="0" borderId="100" xfId="0" applyFont="1" applyBorder="1" applyAlignment="1">
      <alignment horizontal="center" vertical="top"/>
    </xf>
    <xf numFmtId="0" fontId="2" fillId="0" borderId="101" xfId="0" applyFont="1" applyBorder="1" applyAlignment="1">
      <alignment horizontal="center" vertical="top"/>
    </xf>
    <xf numFmtId="3" fontId="2" fillId="6" borderId="38" xfId="0" applyNumberFormat="1" applyFont="1" applyFill="1" applyBorder="1" applyAlignment="1">
      <alignment horizontal="right" vertical="top"/>
    </xf>
    <xf numFmtId="3" fontId="2" fillId="0" borderId="53" xfId="0" applyNumberFormat="1" applyFont="1" applyFill="1" applyBorder="1" applyAlignment="1">
      <alignment horizontal="right" vertical="top"/>
    </xf>
    <xf numFmtId="3" fontId="2" fillId="0" borderId="54" xfId="0" applyNumberFormat="1" applyFont="1" applyFill="1" applyBorder="1" applyAlignment="1">
      <alignment horizontal="right" vertical="top"/>
    </xf>
    <xf numFmtId="3" fontId="4" fillId="6" borderId="41" xfId="0" applyNumberFormat="1" applyFont="1" applyFill="1" applyBorder="1" applyAlignment="1">
      <alignment horizontal="right" vertical="top"/>
    </xf>
    <xf numFmtId="3" fontId="4" fillId="2" borderId="33" xfId="0" applyNumberFormat="1" applyFont="1" applyFill="1" applyBorder="1" applyAlignment="1">
      <alignment horizontal="right" vertical="top"/>
    </xf>
    <xf numFmtId="0" fontId="7" fillId="0" borderId="1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3" fontId="2" fillId="0" borderId="43" xfId="0" applyNumberFormat="1" applyFont="1" applyFill="1" applyBorder="1" applyAlignment="1">
      <alignment horizontal="right" vertical="top"/>
    </xf>
    <xf numFmtId="3" fontId="2" fillId="4" borderId="25" xfId="0" applyNumberFormat="1" applyFont="1" applyFill="1" applyBorder="1" applyAlignment="1">
      <alignment horizontal="right" vertical="top"/>
    </xf>
    <xf numFmtId="3" fontId="4" fillId="6" borderId="24" xfId="0" applyNumberFormat="1" applyFont="1" applyFill="1" applyBorder="1" applyAlignment="1">
      <alignment horizontal="right" vertical="top"/>
    </xf>
    <xf numFmtId="3" fontId="2" fillId="6" borderId="105" xfId="0" applyNumberFormat="1" applyFont="1" applyFill="1" applyBorder="1" applyAlignment="1">
      <alignment horizontal="right" vertical="top"/>
    </xf>
    <xf numFmtId="3" fontId="4" fillId="4" borderId="84" xfId="0" applyNumberFormat="1" applyFont="1" applyFill="1" applyBorder="1" applyAlignment="1">
      <alignment horizontal="right" vertical="top"/>
    </xf>
    <xf numFmtId="3" fontId="4" fillId="4" borderId="78" xfId="0" applyNumberFormat="1" applyFont="1" applyFill="1" applyBorder="1" applyAlignment="1">
      <alignment horizontal="right" vertical="top"/>
    </xf>
    <xf numFmtId="3" fontId="2" fillId="6" borderId="95" xfId="0" applyNumberFormat="1" applyFont="1" applyFill="1" applyBorder="1" applyAlignment="1">
      <alignment horizontal="right" vertical="top"/>
    </xf>
    <xf numFmtId="3" fontId="4" fillId="4" borderId="104" xfId="0" applyNumberFormat="1" applyFont="1" applyFill="1" applyBorder="1" applyAlignment="1">
      <alignment horizontal="right" vertical="top"/>
    </xf>
    <xf numFmtId="3" fontId="4" fillId="4" borderId="105" xfId="0" applyNumberFormat="1" applyFont="1" applyFill="1" applyBorder="1" applyAlignment="1">
      <alignment horizontal="right" vertical="top"/>
    </xf>
    <xf numFmtId="3" fontId="2" fillId="6" borderId="96" xfId="0" applyNumberFormat="1" applyFont="1" applyFill="1" applyBorder="1" applyAlignment="1">
      <alignment horizontal="right" vertical="top"/>
    </xf>
    <xf numFmtId="3" fontId="2" fillId="0" borderId="87" xfId="0" applyNumberFormat="1" applyFont="1" applyFill="1" applyBorder="1" applyAlignment="1">
      <alignment horizontal="right" vertical="top"/>
    </xf>
    <xf numFmtId="3" fontId="2" fillId="0" borderId="96" xfId="0" applyNumberFormat="1" applyFont="1" applyFill="1" applyBorder="1" applyAlignment="1">
      <alignment horizontal="right" vertical="top"/>
    </xf>
    <xf numFmtId="3" fontId="2" fillId="0" borderId="84" xfId="0" applyNumberFormat="1" applyFont="1" applyFill="1" applyBorder="1" applyAlignment="1">
      <alignment horizontal="right" vertical="top"/>
    </xf>
    <xf numFmtId="3" fontId="2" fillId="0" borderId="78" xfId="0" applyNumberFormat="1" applyFont="1" applyFill="1" applyBorder="1" applyAlignment="1">
      <alignment horizontal="right" vertical="top"/>
    </xf>
    <xf numFmtId="3" fontId="4" fillId="2" borderId="21" xfId="0" applyNumberFormat="1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center" wrapText="1"/>
    </xf>
    <xf numFmtId="3" fontId="2" fillId="6" borderId="8" xfId="0" applyNumberFormat="1" applyFont="1" applyFill="1" applyBorder="1" applyAlignment="1">
      <alignment horizontal="right" vertical="top"/>
    </xf>
    <xf numFmtId="3" fontId="2" fillId="6" borderId="48" xfId="0" applyNumberFormat="1" applyFont="1" applyFill="1" applyBorder="1" applyAlignment="1">
      <alignment horizontal="right" vertical="top"/>
    </xf>
    <xf numFmtId="3" fontId="4" fillId="6" borderId="62" xfId="0" applyNumberFormat="1" applyFont="1" applyFill="1" applyBorder="1" applyAlignment="1">
      <alignment horizontal="right" vertical="top"/>
    </xf>
    <xf numFmtId="3" fontId="2" fillId="4" borderId="37" xfId="0" applyNumberFormat="1" applyFont="1" applyFill="1" applyBorder="1" applyAlignment="1">
      <alignment horizontal="right" vertical="top"/>
    </xf>
    <xf numFmtId="3" fontId="2" fillId="4" borderId="39" xfId="0" applyNumberFormat="1" applyFont="1" applyFill="1" applyBorder="1" applyAlignment="1">
      <alignment horizontal="right" vertical="top"/>
    </xf>
    <xf numFmtId="3" fontId="4" fillId="6" borderId="10" xfId="0" applyNumberFormat="1" applyFont="1" applyFill="1" applyBorder="1" applyAlignment="1">
      <alignment horizontal="right" vertical="top"/>
    </xf>
    <xf numFmtId="3" fontId="13" fillId="6" borderId="24" xfId="0" applyNumberFormat="1" applyFont="1" applyFill="1" applyBorder="1" applyAlignment="1">
      <alignment horizontal="right" vertical="top"/>
    </xf>
    <xf numFmtId="3" fontId="13" fillId="3" borderId="34" xfId="0" applyNumberFormat="1" applyFont="1" applyFill="1" applyBorder="1" applyAlignment="1">
      <alignment horizontal="right" vertical="top"/>
    </xf>
    <xf numFmtId="3" fontId="4" fillId="4" borderId="24" xfId="0" applyNumberFormat="1" applyFont="1" applyFill="1" applyBorder="1" applyAlignment="1">
      <alignment horizontal="right" vertical="top"/>
    </xf>
    <xf numFmtId="3" fontId="13" fillId="6" borderId="43" xfId="0" applyNumberFormat="1" applyFont="1" applyFill="1" applyBorder="1" applyAlignment="1">
      <alignment horizontal="right" vertical="top"/>
    </xf>
    <xf numFmtId="3" fontId="13" fillId="4" borderId="48" xfId="0" applyNumberFormat="1" applyFont="1" applyFill="1" applyBorder="1" applyAlignment="1">
      <alignment horizontal="right" vertical="top"/>
    </xf>
    <xf numFmtId="3" fontId="15" fillId="6" borderId="40" xfId="0" applyNumberFormat="1" applyFont="1" applyFill="1" applyBorder="1" applyAlignment="1">
      <alignment horizontal="right" vertical="top"/>
    </xf>
    <xf numFmtId="3" fontId="4" fillId="8" borderId="32" xfId="0" applyNumberFormat="1" applyFont="1" applyFill="1" applyBorder="1" applyAlignment="1">
      <alignment horizontal="right" vertical="top"/>
    </xf>
    <xf numFmtId="3" fontId="4" fillId="8" borderId="7" xfId="0" applyNumberFormat="1" applyFont="1" applyFill="1" applyBorder="1" applyAlignment="1">
      <alignment horizontal="right" vertical="top"/>
    </xf>
    <xf numFmtId="3" fontId="4" fillId="5" borderId="32" xfId="0" applyNumberFormat="1" applyFont="1" applyFill="1" applyBorder="1" applyAlignment="1">
      <alignment horizontal="right" vertical="top"/>
    </xf>
    <xf numFmtId="3" fontId="4" fillId="5" borderId="7" xfId="0" applyNumberFormat="1" applyFont="1" applyFill="1" applyBorder="1" applyAlignment="1">
      <alignment horizontal="right" vertical="top"/>
    </xf>
    <xf numFmtId="3" fontId="4" fillId="5" borderId="39" xfId="0" applyNumberFormat="1" applyFont="1" applyFill="1" applyBorder="1" applyAlignment="1">
      <alignment horizontal="right" vertical="top" wrapText="1"/>
    </xf>
    <xf numFmtId="3" fontId="4" fillId="6" borderId="39" xfId="0" applyNumberFormat="1" applyFont="1" applyFill="1" applyBorder="1" applyAlignment="1">
      <alignment horizontal="right" vertical="top" wrapText="1"/>
    </xf>
    <xf numFmtId="3" fontId="4" fillId="5" borderId="43" xfId="0" applyNumberFormat="1" applyFont="1" applyFill="1" applyBorder="1" applyAlignment="1">
      <alignment horizontal="right" vertical="top" wrapText="1"/>
    </xf>
    <xf numFmtId="3" fontId="4" fillId="6" borderId="26" xfId="0" applyNumberFormat="1" applyFont="1" applyFill="1" applyBorder="1" applyAlignment="1">
      <alignment horizontal="right" vertical="top" wrapText="1"/>
    </xf>
    <xf numFmtId="0" fontId="18" fillId="0" borderId="7" xfId="0" applyFont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left" vertical="top" wrapText="1"/>
    </xf>
    <xf numFmtId="49" fontId="4" fillId="0" borderId="35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0" fontId="2" fillId="0" borderId="63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vertical="top" wrapText="1"/>
    </xf>
    <xf numFmtId="0" fontId="2" fillId="0" borderId="83" xfId="0" applyFont="1" applyFill="1" applyBorder="1" applyAlignment="1">
      <alignment horizontal="left" vertical="top" wrapText="1"/>
    </xf>
    <xf numFmtId="0" fontId="2" fillId="0" borderId="88" xfId="0" applyFont="1" applyBorder="1" applyAlignment="1">
      <alignment horizontal="center" vertical="top"/>
    </xf>
    <xf numFmtId="0" fontId="2" fillId="0" borderId="80" xfId="0" applyFont="1" applyBorder="1" applyAlignment="1">
      <alignment horizontal="center" vertical="top"/>
    </xf>
    <xf numFmtId="0" fontId="2" fillId="0" borderId="86" xfId="0" applyFont="1" applyBorder="1" applyAlignment="1">
      <alignment horizontal="center" vertical="top"/>
    </xf>
    <xf numFmtId="0" fontId="2" fillId="0" borderId="83" xfId="0" applyFont="1" applyFill="1" applyBorder="1" applyAlignment="1">
      <alignment vertical="top" wrapText="1"/>
    </xf>
    <xf numFmtId="3" fontId="2" fillId="0" borderId="81" xfId="0" applyNumberFormat="1" applyFont="1" applyFill="1" applyBorder="1" applyAlignment="1">
      <alignment horizontal="center" vertical="top"/>
    </xf>
    <xf numFmtId="3" fontId="2" fillId="0" borderId="86" xfId="0" applyNumberFormat="1" applyFont="1" applyFill="1" applyBorder="1" applyAlignment="1">
      <alignment horizontal="center" vertical="top"/>
    </xf>
    <xf numFmtId="3" fontId="2" fillId="4" borderId="54" xfId="0" applyNumberFormat="1" applyFont="1" applyFill="1" applyBorder="1" applyAlignment="1">
      <alignment horizontal="right" vertical="top"/>
    </xf>
    <xf numFmtId="0" fontId="9" fillId="0" borderId="3" xfId="0" applyFont="1" applyFill="1" applyBorder="1" applyAlignment="1">
      <alignment vertical="center" textRotation="90"/>
    </xf>
    <xf numFmtId="0" fontId="20" fillId="0" borderId="23" xfId="0" applyFont="1" applyBorder="1" applyAlignment="1">
      <alignment vertical="center" textRotation="90"/>
    </xf>
    <xf numFmtId="0" fontId="2" fillId="0" borderId="54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42" xfId="0" applyFont="1" applyBorder="1" applyAlignment="1">
      <alignment horizontal="center" vertical="top"/>
    </xf>
    <xf numFmtId="49" fontId="4" fillId="0" borderId="103" xfId="0" applyNumberFormat="1" applyFont="1" applyBorder="1" applyAlignment="1">
      <alignment horizontal="center" vertical="top"/>
    </xf>
    <xf numFmtId="0" fontId="9" fillId="0" borderId="104" xfId="0" applyFont="1" applyFill="1" applyBorder="1" applyAlignment="1">
      <alignment horizontal="center" vertical="top"/>
    </xf>
    <xf numFmtId="3" fontId="2" fillId="4" borderId="105" xfId="0" applyNumberFormat="1" applyFont="1" applyFill="1" applyBorder="1" applyAlignment="1">
      <alignment horizontal="right" vertical="top"/>
    </xf>
    <xf numFmtId="49" fontId="4" fillId="0" borderId="71" xfId="0" applyNumberFormat="1" applyFont="1" applyBorder="1" applyAlignment="1">
      <alignment vertical="top"/>
    </xf>
    <xf numFmtId="0" fontId="2" fillId="0" borderId="79" xfId="0" applyFont="1" applyFill="1" applyBorder="1" applyAlignment="1">
      <alignment horizontal="left" vertical="center" wrapText="1"/>
    </xf>
    <xf numFmtId="0" fontId="2" fillId="0" borderId="92" xfId="0" applyFont="1" applyFill="1" applyBorder="1" applyAlignment="1">
      <alignment horizontal="center" vertical="top" wrapText="1"/>
    </xf>
    <xf numFmtId="49" fontId="4" fillId="0" borderId="94" xfId="0" applyNumberFormat="1" applyFont="1" applyBorder="1" applyAlignment="1">
      <alignment horizontal="center" vertical="top"/>
    </xf>
    <xf numFmtId="3" fontId="2" fillId="0" borderId="90" xfId="0" applyNumberFormat="1" applyFont="1" applyFill="1" applyBorder="1" applyAlignment="1">
      <alignment horizontal="center" vertical="top"/>
    </xf>
    <xf numFmtId="3" fontId="2" fillId="0" borderId="98" xfId="0" applyNumberFormat="1" applyFont="1" applyFill="1" applyBorder="1" applyAlignment="1">
      <alignment horizontal="center" vertical="top"/>
    </xf>
    <xf numFmtId="0" fontId="2" fillId="0" borderId="90" xfId="0" applyFont="1" applyFill="1" applyBorder="1" applyAlignment="1">
      <alignment vertical="top" wrapText="1"/>
    </xf>
    <xf numFmtId="0" fontId="2" fillId="0" borderId="92" xfId="0" applyFont="1" applyFill="1" applyBorder="1" applyAlignment="1">
      <alignment vertical="top" wrapText="1"/>
    </xf>
    <xf numFmtId="3" fontId="2" fillId="0" borderId="93" xfId="0" applyNumberFormat="1" applyFont="1" applyFill="1" applyBorder="1" applyAlignment="1">
      <alignment horizontal="center" vertical="top"/>
    </xf>
    <xf numFmtId="49" fontId="4" fillId="0" borderId="81" xfId="0" applyNumberFormat="1" applyFont="1" applyBorder="1" applyAlignment="1">
      <alignment horizontal="center" vertical="top"/>
    </xf>
    <xf numFmtId="0" fontId="2" fillId="0" borderId="84" xfId="0" applyFont="1" applyFill="1" applyBorder="1" applyAlignment="1">
      <alignment horizontal="left" vertical="top" wrapText="1"/>
    </xf>
    <xf numFmtId="0" fontId="9" fillId="0" borderId="80" xfId="0" applyFont="1" applyFill="1" applyBorder="1" applyAlignment="1">
      <alignment horizontal="center" vertical="top" wrapText="1"/>
    </xf>
    <xf numFmtId="0" fontId="9" fillId="0" borderId="96" xfId="0" applyFont="1" applyBorder="1" applyAlignment="1">
      <alignment horizontal="center" vertical="top" wrapText="1"/>
    </xf>
    <xf numFmtId="0" fontId="4" fillId="4" borderId="92" xfId="0" applyFont="1" applyFill="1" applyBorder="1" applyAlignment="1">
      <alignment horizontal="left" vertical="top" wrapText="1"/>
    </xf>
    <xf numFmtId="0" fontId="10" fillId="0" borderId="98" xfId="0" applyFont="1" applyFill="1" applyBorder="1" applyAlignment="1">
      <alignment horizontal="center" vertical="top"/>
    </xf>
    <xf numFmtId="3" fontId="4" fillId="6" borderId="98" xfId="0" applyNumberFormat="1" applyFont="1" applyFill="1" applyBorder="1" applyAlignment="1">
      <alignment horizontal="right" vertical="top"/>
    </xf>
    <xf numFmtId="3" fontId="2" fillId="0" borderId="90" xfId="0" applyNumberFormat="1" applyFont="1" applyFill="1" applyBorder="1" applyAlignment="1">
      <alignment horizontal="right" vertical="top"/>
    </xf>
    <xf numFmtId="3" fontId="2" fillId="0" borderId="98" xfId="0" applyNumberFormat="1" applyFont="1" applyFill="1" applyBorder="1" applyAlignment="1">
      <alignment horizontal="right" vertical="top"/>
    </xf>
    <xf numFmtId="0" fontId="2" fillId="0" borderId="91" xfId="0" applyFont="1" applyFill="1" applyBorder="1" applyAlignment="1">
      <alignment horizontal="left" wrapText="1"/>
    </xf>
    <xf numFmtId="3" fontId="2" fillId="0" borderId="92" xfId="0" applyNumberFormat="1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left" vertical="top" wrapText="1"/>
    </xf>
    <xf numFmtId="3" fontId="2" fillId="6" borderId="84" xfId="0" applyNumberFormat="1" applyFont="1" applyFill="1" applyBorder="1" applyAlignment="1">
      <alignment horizontal="right" vertical="top"/>
    </xf>
    <xf numFmtId="3" fontId="2" fillId="4" borderId="38" xfId="0" applyNumberFormat="1" applyFont="1" applyFill="1" applyBorder="1" applyAlignment="1">
      <alignment horizontal="right" vertical="top"/>
    </xf>
    <xf numFmtId="3" fontId="2" fillId="4" borderId="95" xfId="0" applyNumberFormat="1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17" xfId="0" applyNumberFormat="1" applyFont="1" applyFill="1" applyBorder="1" applyAlignment="1">
      <alignment horizontal="center"/>
    </xf>
    <xf numFmtId="0" fontId="2" fillId="0" borderId="54" xfId="0" applyFont="1" applyBorder="1" applyAlignment="1">
      <alignment horizontal="center" vertical="top"/>
    </xf>
    <xf numFmtId="3" fontId="2" fillId="6" borderId="54" xfId="0" applyNumberFormat="1" applyFont="1" applyFill="1" applyBorder="1" applyAlignment="1">
      <alignment horizontal="right" vertical="top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29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vertical="top"/>
    </xf>
    <xf numFmtId="0" fontId="9" fillId="4" borderId="53" xfId="0" applyFont="1" applyFill="1" applyBorder="1" applyAlignment="1">
      <alignment horizontal="center" vertical="top"/>
    </xf>
    <xf numFmtId="0" fontId="9" fillId="4" borderId="54" xfId="0" applyFont="1" applyFill="1" applyBorder="1" applyAlignment="1">
      <alignment horizontal="center" vertical="top"/>
    </xf>
    <xf numFmtId="3" fontId="2" fillId="4" borderId="53" xfId="0" applyNumberFormat="1" applyFont="1" applyFill="1" applyBorder="1" applyAlignment="1">
      <alignment horizontal="right" vertical="top"/>
    </xf>
    <xf numFmtId="49" fontId="4" fillId="8" borderId="20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0" fontId="2" fillId="0" borderId="69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center" vertical="center" wrapText="1"/>
    </xf>
    <xf numFmtId="49" fontId="4" fillId="8" borderId="60" xfId="0" applyNumberFormat="1" applyFont="1" applyFill="1" applyBorder="1" applyAlignment="1">
      <alignment horizontal="center" vertical="top"/>
    </xf>
    <xf numFmtId="49" fontId="4" fillId="2" borderId="58" xfId="0" applyNumberFormat="1" applyFont="1" applyFill="1" applyBorder="1" applyAlignment="1">
      <alignment horizontal="center" vertical="top"/>
    </xf>
    <xf numFmtId="0" fontId="2" fillId="0" borderId="37" xfId="0" applyFont="1" applyFill="1" applyBorder="1" applyAlignment="1">
      <alignment horizontal="left" vertical="top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70" xfId="0" applyFont="1" applyFill="1" applyBorder="1" applyAlignment="1">
      <alignment horizontal="center" vertical="top"/>
    </xf>
    <xf numFmtId="3" fontId="2" fillId="6" borderId="77" xfId="0" applyNumberFormat="1" applyFont="1" applyFill="1" applyBorder="1" applyAlignment="1">
      <alignment horizontal="right" vertical="top"/>
    </xf>
    <xf numFmtId="3" fontId="2" fillId="0" borderId="70" xfId="0" applyNumberFormat="1" applyFont="1" applyFill="1" applyBorder="1" applyAlignment="1">
      <alignment horizontal="right" vertical="top"/>
    </xf>
    <xf numFmtId="3" fontId="2" fillId="0" borderId="77" xfId="0" applyNumberFormat="1" applyFont="1" applyFill="1" applyBorder="1" applyAlignment="1">
      <alignment horizontal="right" vertical="top"/>
    </xf>
    <xf numFmtId="0" fontId="2" fillId="3" borderId="16" xfId="0" applyFont="1" applyFill="1" applyBorder="1" applyAlignment="1">
      <alignment horizontal="left" vertical="top" wrapText="1"/>
    </xf>
    <xf numFmtId="0" fontId="2" fillId="3" borderId="30" xfId="0" applyFont="1" applyFill="1" applyBorder="1" applyAlignment="1">
      <alignment horizontal="left" vertical="top" wrapText="1"/>
    </xf>
    <xf numFmtId="0" fontId="9" fillId="0" borderId="67" xfId="0" applyFont="1" applyBorder="1" applyAlignment="1">
      <alignment horizontal="center" vertical="top"/>
    </xf>
    <xf numFmtId="3" fontId="2" fillId="6" borderId="97" xfId="0" applyNumberFormat="1" applyFont="1" applyFill="1" applyBorder="1" applyAlignment="1">
      <alignment horizontal="right" vertical="top"/>
    </xf>
    <xf numFmtId="3" fontId="2" fillId="0" borderId="67" xfId="0" applyNumberFormat="1" applyFont="1" applyFill="1" applyBorder="1" applyAlignment="1">
      <alignment horizontal="right" vertical="top" wrapText="1"/>
    </xf>
    <xf numFmtId="3" fontId="2" fillId="0" borderId="97" xfId="0" applyNumberFormat="1" applyFont="1" applyFill="1" applyBorder="1" applyAlignment="1">
      <alignment horizontal="right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9" fillId="4" borderId="70" xfId="0" applyFont="1" applyFill="1" applyBorder="1" applyAlignment="1">
      <alignment horizontal="center" vertical="top" wrapText="1"/>
    </xf>
    <xf numFmtId="3" fontId="2" fillId="4" borderId="72" xfId="0" applyNumberFormat="1" applyFont="1" applyFill="1" applyBorder="1" applyAlignment="1">
      <alignment horizontal="right" vertical="top"/>
    </xf>
    <xf numFmtId="3" fontId="2" fillId="4" borderId="77" xfId="0" applyNumberFormat="1" applyFont="1" applyFill="1" applyBorder="1" applyAlignment="1">
      <alignment horizontal="right" vertical="top"/>
    </xf>
    <xf numFmtId="0" fontId="9" fillId="4" borderId="89" xfId="0" applyFont="1" applyFill="1" applyBorder="1" applyAlignment="1">
      <alignment horizontal="center" vertical="top" wrapText="1"/>
    </xf>
    <xf numFmtId="3" fontId="2" fillId="4" borderId="106" xfId="0" applyNumberFormat="1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49" fontId="4" fillId="8" borderId="20" xfId="0" applyNumberFormat="1" applyFont="1" applyFill="1" applyBorder="1" applyAlignment="1">
      <alignment horizontal="center" vertical="top"/>
    </xf>
    <xf numFmtId="49" fontId="4" fillId="8" borderId="16" xfId="0" applyNumberFormat="1" applyFont="1" applyFill="1" applyBorder="1" applyAlignment="1">
      <alignment horizontal="center" vertical="top"/>
    </xf>
    <xf numFmtId="49" fontId="4" fillId="8" borderId="21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2" borderId="6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49" fontId="4" fillId="4" borderId="6" xfId="0" applyNumberFormat="1" applyFont="1" applyFill="1" applyBorder="1" applyAlignment="1">
      <alignment horizontal="center" vertical="top" wrapText="1"/>
    </xf>
    <xf numFmtId="0" fontId="2" fillId="0" borderId="63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49" fontId="4" fillId="0" borderId="23" xfId="0" applyNumberFormat="1" applyFont="1" applyBorder="1" applyAlignment="1">
      <alignment horizontal="center" vertical="top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8" borderId="21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top" wrapText="1"/>
    </xf>
    <xf numFmtId="49" fontId="4" fillId="8" borderId="20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2" fillId="0" borderId="17" xfId="0" applyNumberFormat="1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0" fontId="2" fillId="4" borderId="74" xfId="0" applyFont="1" applyFill="1" applyBorder="1" applyAlignment="1">
      <alignment horizontal="left" vertical="top" wrapText="1"/>
    </xf>
    <xf numFmtId="3" fontId="2" fillId="0" borderId="89" xfId="0" applyNumberFormat="1" applyFont="1" applyFill="1" applyBorder="1" applyAlignment="1">
      <alignment horizontal="right" vertical="top"/>
    </xf>
    <xf numFmtId="0" fontId="2" fillId="0" borderId="41" xfId="0" applyFont="1" applyFill="1" applyBorder="1" applyAlignment="1">
      <alignment horizontal="left" vertical="top" wrapText="1"/>
    </xf>
    <xf numFmtId="165" fontId="2" fillId="0" borderId="31" xfId="0" applyNumberFormat="1" applyFont="1" applyFill="1" applyBorder="1" applyAlignment="1">
      <alignment horizontal="center" vertical="top"/>
    </xf>
    <xf numFmtId="165" fontId="2" fillId="0" borderId="4" xfId="0" applyNumberFormat="1" applyFont="1" applyFill="1" applyBorder="1" applyAlignment="1">
      <alignment horizontal="center" vertical="top"/>
    </xf>
    <xf numFmtId="0" fontId="9" fillId="4" borderId="67" xfId="0" applyFont="1" applyFill="1" applyBorder="1" applyAlignment="1">
      <alignment horizontal="center" vertical="top"/>
    </xf>
    <xf numFmtId="0" fontId="9" fillId="0" borderId="90" xfId="0" applyFont="1" applyFill="1" applyBorder="1" applyAlignment="1">
      <alignment horizontal="center" vertical="top"/>
    </xf>
    <xf numFmtId="0" fontId="9" fillId="0" borderId="89" xfId="0" applyFont="1" applyFill="1" applyBorder="1" applyAlignment="1">
      <alignment horizontal="center" vertical="top" wrapText="1"/>
    </xf>
    <xf numFmtId="0" fontId="9" fillId="4" borderId="51" xfId="0" applyFont="1" applyFill="1" applyBorder="1" applyAlignment="1">
      <alignment horizontal="center" vertical="top"/>
    </xf>
    <xf numFmtId="3" fontId="2" fillId="6" borderId="98" xfId="0" applyNumberFormat="1" applyFont="1" applyFill="1" applyBorder="1" applyAlignment="1">
      <alignment horizontal="center" vertical="top"/>
    </xf>
    <xf numFmtId="3" fontId="2" fillId="0" borderId="104" xfId="0" applyNumberFormat="1" applyFont="1" applyFill="1" applyBorder="1" applyAlignment="1">
      <alignment horizontal="right" vertical="top"/>
    </xf>
    <xf numFmtId="165" fontId="2" fillId="0" borderId="23" xfId="0" applyNumberFormat="1" applyFont="1" applyFill="1" applyBorder="1" applyAlignment="1">
      <alignment horizontal="center" vertical="top"/>
    </xf>
    <xf numFmtId="0" fontId="2" fillId="0" borderId="89" xfId="0" applyFont="1" applyFill="1" applyBorder="1" applyAlignment="1">
      <alignment horizontal="left" vertical="top" wrapText="1"/>
    </xf>
    <xf numFmtId="0" fontId="2" fillId="0" borderId="73" xfId="0" applyFont="1" applyFill="1" applyBorder="1" applyAlignment="1">
      <alignment horizontal="center" vertical="top" wrapText="1"/>
    </xf>
    <xf numFmtId="0" fontId="2" fillId="0" borderId="74" xfId="0" applyFont="1" applyFill="1" applyBorder="1" applyAlignment="1">
      <alignment horizontal="center" vertical="top" wrapText="1"/>
    </xf>
    <xf numFmtId="165" fontId="2" fillId="0" borderId="85" xfId="0" applyNumberFormat="1" applyFont="1" applyFill="1" applyBorder="1" applyAlignment="1">
      <alignment horizontal="center" vertical="top"/>
    </xf>
    <xf numFmtId="0" fontId="9" fillId="0" borderId="47" xfId="0" applyFont="1" applyFill="1" applyBorder="1" applyAlignment="1">
      <alignment horizontal="center" vertical="top" wrapText="1"/>
    </xf>
    <xf numFmtId="3" fontId="2" fillId="6" borderId="43" xfId="0" applyNumberFormat="1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vertical="top" wrapText="1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49" fontId="4" fillId="8" borderId="16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0" fontId="2" fillId="0" borderId="30" xfId="0" applyFont="1" applyFill="1" applyBorder="1" applyAlignment="1">
      <alignment vertical="top" wrapText="1"/>
    </xf>
    <xf numFmtId="165" fontId="2" fillId="0" borderId="28" xfId="0" applyNumberFormat="1" applyFont="1" applyFill="1" applyBorder="1" applyAlignment="1">
      <alignment horizontal="center" vertical="top"/>
    </xf>
    <xf numFmtId="49" fontId="4" fillId="4" borderId="0" xfId="0" applyNumberFormat="1" applyFont="1" applyFill="1" applyBorder="1" applyAlignment="1">
      <alignment horizontal="center" vertical="top" wrapText="1"/>
    </xf>
    <xf numFmtId="0" fontId="2" fillId="0" borderId="42" xfId="0" applyNumberFormat="1" applyFont="1" applyFill="1" applyBorder="1" applyAlignment="1">
      <alignment horizontal="center" vertical="top"/>
    </xf>
    <xf numFmtId="49" fontId="29" fillId="0" borderId="84" xfId="0" applyNumberFormat="1" applyFont="1" applyFill="1" applyBorder="1" applyAlignment="1">
      <alignment horizontal="center" vertical="top"/>
    </xf>
    <xf numFmtId="0" fontId="19" fillId="0" borderId="54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center" vertical="top" wrapText="1"/>
    </xf>
    <xf numFmtId="0" fontId="28" fillId="4" borderId="6" xfId="0" applyFont="1" applyFill="1" applyBorder="1" applyAlignment="1">
      <alignment horizontal="center" vertical="top" wrapText="1"/>
    </xf>
    <xf numFmtId="0" fontId="10" fillId="0" borderId="38" xfId="0" applyFont="1" applyFill="1" applyBorder="1" applyAlignment="1">
      <alignment horizontal="center" vertical="top"/>
    </xf>
    <xf numFmtId="3" fontId="4" fillId="6" borderId="38" xfId="0" applyNumberFormat="1" applyFont="1" applyFill="1" applyBorder="1" applyAlignment="1">
      <alignment horizontal="right" vertical="top"/>
    </xf>
    <xf numFmtId="0" fontId="9" fillId="0" borderId="78" xfId="0" applyFont="1" applyBorder="1" applyAlignment="1">
      <alignment horizontal="center" vertical="top" wrapText="1"/>
    </xf>
    <xf numFmtId="0" fontId="2" fillId="0" borderId="80" xfId="0" applyFont="1" applyFill="1" applyBorder="1" applyAlignment="1">
      <alignment horizontal="center" vertical="top" wrapText="1"/>
    </xf>
    <xf numFmtId="0" fontId="2" fillId="0" borderId="82" xfId="0" applyNumberFormat="1" applyFont="1" applyFill="1" applyBorder="1" applyAlignment="1">
      <alignment horizontal="center" vertical="top"/>
    </xf>
    <xf numFmtId="49" fontId="13" fillId="0" borderId="87" xfId="0" applyNumberFormat="1" applyFont="1" applyFill="1" applyBorder="1" applyAlignment="1">
      <alignment horizontal="center" vertical="top"/>
    </xf>
    <xf numFmtId="0" fontId="2" fillId="0" borderId="87" xfId="0" applyFont="1" applyFill="1" applyBorder="1" applyAlignment="1">
      <alignment horizontal="left" vertical="top" wrapText="1"/>
    </xf>
    <xf numFmtId="0" fontId="2" fillId="0" borderId="75" xfId="0" applyFont="1" applyFill="1" applyBorder="1" applyAlignment="1">
      <alignment horizontal="center" vertical="top" wrapText="1"/>
    </xf>
    <xf numFmtId="0" fontId="2" fillId="0" borderId="107" xfId="0" applyNumberFormat="1" applyFont="1" applyFill="1" applyBorder="1" applyAlignment="1">
      <alignment horizontal="center" vertical="top"/>
    </xf>
    <xf numFmtId="3" fontId="2" fillId="6" borderId="45" xfId="0" applyNumberFormat="1" applyFont="1" applyFill="1" applyBorder="1" applyAlignment="1">
      <alignment horizontal="right" vertical="top"/>
    </xf>
    <xf numFmtId="3" fontId="2" fillId="6" borderId="89" xfId="0" applyNumberFormat="1" applyFont="1" applyFill="1" applyBorder="1" applyAlignment="1">
      <alignment horizontal="right" vertical="top"/>
    </xf>
    <xf numFmtId="3" fontId="2" fillId="6" borderId="70" xfId="0" applyNumberFormat="1" applyFont="1" applyFill="1" applyBorder="1" applyAlignment="1">
      <alignment horizontal="right" vertical="top"/>
    </xf>
    <xf numFmtId="49" fontId="29" fillId="0" borderId="87" xfId="0" applyNumberFormat="1" applyFont="1" applyFill="1" applyBorder="1" applyAlignment="1">
      <alignment horizontal="center" vertical="top"/>
    </xf>
    <xf numFmtId="3" fontId="19" fillId="6" borderId="78" xfId="0" applyNumberFormat="1" applyFont="1" applyFill="1" applyBorder="1" applyAlignment="1">
      <alignment horizontal="right" vertical="top"/>
    </xf>
    <xf numFmtId="3" fontId="19" fillId="0" borderId="84" xfId="0" applyNumberFormat="1" applyFont="1" applyFill="1" applyBorder="1" applyAlignment="1">
      <alignment horizontal="right" vertical="top"/>
    </xf>
    <xf numFmtId="3" fontId="19" fillId="0" borderId="39" xfId="0" applyNumberFormat="1" applyFont="1" applyFill="1" applyBorder="1" applyAlignment="1">
      <alignment horizontal="right" vertical="top"/>
    </xf>
    <xf numFmtId="3" fontId="13" fillId="6" borderId="45" xfId="0" applyNumberFormat="1" applyFont="1" applyFill="1" applyBorder="1" applyAlignment="1">
      <alignment horizontal="right" vertical="top"/>
    </xf>
    <xf numFmtId="3" fontId="13" fillId="6" borderId="47" xfId="0" applyNumberFormat="1" applyFont="1" applyFill="1" applyBorder="1" applyAlignment="1">
      <alignment horizontal="right" vertical="top"/>
    </xf>
    <xf numFmtId="3" fontId="15" fillId="6" borderId="41" xfId="0" applyNumberFormat="1" applyFont="1" applyFill="1" applyBorder="1" applyAlignment="1">
      <alignment horizontal="right" vertical="top"/>
    </xf>
    <xf numFmtId="3" fontId="4" fillId="8" borderId="33" xfId="0" applyNumberFormat="1" applyFont="1" applyFill="1" applyBorder="1" applyAlignment="1">
      <alignment horizontal="right" vertical="top"/>
    </xf>
    <xf numFmtId="3" fontId="4" fillId="5" borderId="33" xfId="0" applyNumberFormat="1" applyFont="1" applyFill="1" applyBorder="1" applyAlignment="1">
      <alignment horizontal="right" vertical="top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top" wrapText="1"/>
    </xf>
    <xf numFmtId="3" fontId="30" fillId="6" borderId="26" xfId="0" applyNumberFormat="1" applyFont="1" applyFill="1" applyBorder="1" applyAlignment="1">
      <alignment horizontal="right" vertical="top"/>
    </xf>
    <xf numFmtId="3" fontId="30" fillId="2" borderId="21" xfId="0" applyNumberFormat="1" applyFont="1" applyFill="1" applyBorder="1" applyAlignment="1">
      <alignment horizontal="right" vertical="top"/>
    </xf>
    <xf numFmtId="3" fontId="13" fillId="3" borderId="38" xfId="0" applyNumberFormat="1" applyFont="1" applyFill="1" applyBorder="1" applyAlignment="1">
      <alignment horizontal="right" vertical="top"/>
    </xf>
    <xf numFmtId="3" fontId="13" fillId="4" borderId="43" xfId="0" applyNumberFormat="1" applyFont="1" applyFill="1" applyBorder="1" applyAlignment="1">
      <alignment horizontal="right" vertical="top"/>
    </xf>
    <xf numFmtId="3" fontId="30" fillId="6" borderId="26" xfId="0" applyNumberFormat="1" applyFont="1" applyFill="1" applyBorder="1" applyAlignment="1">
      <alignment horizontal="right" vertical="top" wrapText="1"/>
    </xf>
    <xf numFmtId="3" fontId="30" fillId="8" borderId="32" xfId="0" applyNumberFormat="1" applyFont="1" applyFill="1" applyBorder="1" applyAlignment="1">
      <alignment horizontal="right" vertical="top"/>
    </xf>
    <xf numFmtId="3" fontId="30" fillId="5" borderId="32" xfId="0" applyNumberFormat="1" applyFont="1" applyFill="1" applyBorder="1" applyAlignment="1">
      <alignment horizontal="right" vertical="top"/>
    </xf>
    <xf numFmtId="3" fontId="19" fillId="0" borderId="38" xfId="0" applyNumberFormat="1" applyFont="1" applyFill="1" applyBorder="1" applyAlignment="1">
      <alignment horizontal="right" vertical="top"/>
    </xf>
    <xf numFmtId="0" fontId="2" fillId="4" borderId="16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2" xfId="0" applyFont="1" applyFill="1" applyBorder="1" applyAlignment="1">
      <alignment horizontal="center" vertical="top"/>
    </xf>
    <xf numFmtId="0" fontId="2" fillId="4" borderId="16" xfId="0" applyFont="1" applyFill="1" applyBorder="1" applyAlignment="1">
      <alignment vertical="top" wrapText="1"/>
    </xf>
    <xf numFmtId="3" fontId="2" fillId="4" borderId="23" xfId="0" applyNumberFormat="1" applyFont="1" applyFill="1" applyBorder="1" applyAlignment="1">
      <alignment horizontal="center" vertical="top"/>
    </xf>
    <xf numFmtId="3" fontId="2" fillId="4" borderId="4" xfId="0" applyNumberFormat="1" applyFont="1" applyFill="1" applyBorder="1" applyAlignment="1">
      <alignment horizontal="center" vertical="top"/>
    </xf>
    <xf numFmtId="3" fontId="2" fillId="4" borderId="42" xfId="0" applyNumberFormat="1" applyFont="1" applyFill="1" applyBorder="1" applyAlignment="1">
      <alignment horizontal="center" vertical="top"/>
    </xf>
    <xf numFmtId="0" fontId="12" fillId="0" borderId="105" xfId="0" applyFont="1" applyFill="1" applyBorder="1" applyAlignment="1">
      <alignment horizontal="center" vertical="top"/>
    </xf>
    <xf numFmtId="3" fontId="2" fillId="6" borderId="101" xfId="0" applyNumberFormat="1" applyFont="1" applyFill="1" applyBorder="1" applyAlignment="1">
      <alignment horizontal="right" vertical="top"/>
    </xf>
    <xf numFmtId="0" fontId="12" fillId="4" borderId="96" xfId="0" applyFont="1" applyFill="1" applyBorder="1" applyAlignment="1">
      <alignment horizontal="center" vertical="top"/>
    </xf>
    <xf numFmtId="3" fontId="2" fillId="6" borderId="107" xfId="0" applyNumberFormat="1" applyFont="1" applyFill="1" applyBorder="1" applyAlignment="1">
      <alignment horizontal="right" vertical="top"/>
    </xf>
    <xf numFmtId="3" fontId="2" fillId="4" borderId="96" xfId="0" applyNumberFormat="1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6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4" fillId="0" borderId="35" xfId="0" applyFont="1" applyFill="1" applyBorder="1" applyAlignment="1">
      <alignment horizontal="left" vertical="top" wrapText="1"/>
    </xf>
    <xf numFmtId="49" fontId="4" fillId="0" borderId="35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49" fontId="4" fillId="0" borderId="36" xfId="0" applyNumberFormat="1" applyFont="1" applyBorder="1" applyAlignment="1">
      <alignment horizontal="center" vertical="top"/>
    </xf>
    <xf numFmtId="0" fontId="2" fillId="0" borderId="65" xfId="0" applyFont="1" applyFill="1" applyBorder="1" applyAlignment="1">
      <alignment horizontal="left" vertical="top" wrapText="1"/>
    </xf>
    <xf numFmtId="0" fontId="2" fillId="4" borderId="64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vertical="top" wrapText="1"/>
    </xf>
    <xf numFmtId="49" fontId="4" fillId="8" borderId="16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49" fontId="4" fillId="4" borderId="58" xfId="0" applyNumberFormat="1" applyFont="1" applyFill="1" applyBorder="1" applyAlignment="1">
      <alignment horizontal="center" vertical="top"/>
    </xf>
    <xf numFmtId="0" fontId="2" fillId="0" borderId="15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4" fillId="6" borderId="47" xfId="0" applyFont="1" applyFill="1" applyBorder="1" applyAlignment="1">
      <alignment horizontal="right" wrapText="1"/>
    </xf>
    <xf numFmtId="0" fontId="0" fillId="6" borderId="48" xfId="0" applyFill="1" applyBorder="1" applyAlignment="1">
      <alignment horizontal="right" wrapText="1"/>
    </xf>
    <xf numFmtId="0" fontId="0" fillId="6" borderId="44" xfId="0" applyFill="1" applyBorder="1" applyAlignment="1">
      <alignment horizontal="right" wrapText="1"/>
    </xf>
    <xf numFmtId="0" fontId="2" fillId="0" borderId="51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52" xfId="0" applyFont="1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right" vertical="top" wrapText="1"/>
    </xf>
    <xf numFmtId="0" fontId="4" fillId="5" borderId="37" xfId="0" applyFont="1" applyFill="1" applyBorder="1" applyAlignment="1">
      <alignment horizontal="right" vertical="top" wrapText="1"/>
    </xf>
    <xf numFmtId="0" fontId="4" fillId="5" borderId="52" xfId="0" applyFont="1" applyFill="1" applyBorder="1" applyAlignment="1">
      <alignment horizontal="right" vertical="top" wrapText="1"/>
    </xf>
    <xf numFmtId="49" fontId="4" fillId="8" borderId="9" xfId="0" applyNumberFormat="1" applyFont="1" applyFill="1" applyBorder="1" applyAlignment="1">
      <alignment horizontal="right" vertical="top"/>
    </xf>
    <xf numFmtId="49" fontId="4" fillId="8" borderId="7" xfId="0" applyNumberFormat="1" applyFont="1" applyFill="1" applyBorder="1" applyAlignment="1">
      <alignment horizontal="right" vertical="top"/>
    </xf>
    <xf numFmtId="49" fontId="14" fillId="0" borderId="2" xfId="0" applyNumberFormat="1" applyFont="1" applyFill="1" applyBorder="1" applyAlignment="1">
      <alignment horizontal="center" vertical="top"/>
    </xf>
    <xf numFmtId="49" fontId="14" fillId="0" borderId="12" xfId="0" applyNumberFormat="1" applyFont="1" applyFill="1" applyBorder="1" applyAlignment="1">
      <alignment horizontal="center" vertical="top"/>
    </xf>
    <xf numFmtId="49" fontId="14" fillId="0" borderId="5" xfId="0" applyNumberFormat="1" applyFont="1" applyFill="1" applyBorder="1" applyAlignment="1">
      <alignment horizontal="center" vertical="top"/>
    </xf>
    <xf numFmtId="0" fontId="2" fillId="8" borderId="7" xfId="0" applyFont="1" applyFill="1" applyBorder="1" applyAlignment="1">
      <alignment horizontal="center" vertical="top"/>
    </xf>
    <xf numFmtId="0" fontId="2" fillId="8" borderId="19" xfId="0" applyFont="1" applyFill="1" applyBorder="1" applyAlignment="1">
      <alignment horizontal="center" vertical="top"/>
    </xf>
    <xf numFmtId="0" fontId="2" fillId="5" borderId="7" xfId="0" applyFont="1" applyFill="1" applyBorder="1" applyAlignment="1">
      <alignment horizontal="center" vertical="top"/>
    </xf>
    <xf numFmtId="0" fontId="2" fillId="5" borderId="19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2" fillId="4" borderId="63" xfId="0" applyFont="1" applyFill="1" applyBorder="1" applyAlignment="1">
      <alignment vertical="top" wrapText="1"/>
    </xf>
    <xf numFmtId="0" fontId="2" fillId="4" borderId="64" xfId="0" applyFont="1" applyFill="1" applyBorder="1" applyAlignment="1">
      <alignment vertical="top" wrapText="1"/>
    </xf>
    <xf numFmtId="0" fontId="0" fillId="0" borderId="65" xfId="0" applyBorder="1" applyAlignment="1">
      <alignment vertical="top" wrapText="1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8" borderId="21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49" fontId="4" fillId="4" borderId="6" xfId="0" applyNumberFormat="1" applyFont="1" applyFill="1" applyBorder="1" applyAlignment="1">
      <alignment horizontal="center" vertical="top" wrapText="1"/>
    </xf>
    <xf numFmtId="0" fontId="4" fillId="4" borderId="23" xfId="0" applyFont="1" applyFill="1" applyBorder="1" applyAlignment="1">
      <alignment horizontal="left" vertical="top" wrapText="1"/>
    </xf>
    <xf numFmtId="0" fontId="4" fillId="4" borderId="36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textRotation="90"/>
    </xf>
    <xf numFmtId="0" fontId="4" fillId="3" borderId="4" xfId="0" applyFont="1" applyFill="1" applyBorder="1" applyAlignment="1">
      <alignment horizontal="center" vertical="center" textRotation="90"/>
    </xf>
    <xf numFmtId="0" fontId="0" fillId="0" borderId="6" xfId="0" applyBorder="1" applyAlignment="1">
      <alignment vertical="center" textRotation="90"/>
    </xf>
    <xf numFmtId="0" fontId="2" fillId="0" borderId="63" xfId="0" applyFont="1" applyFill="1" applyBorder="1" applyAlignment="1">
      <alignment horizontal="left" vertical="top" wrapText="1"/>
    </xf>
    <xf numFmtId="0" fontId="2" fillId="0" borderId="64" xfId="0" applyFont="1" applyFill="1" applyBorder="1" applyAlignment="1">
      <alignment horizontal="left" vertical="top" wrapText="1"/>
    </xf>
    <xf numFmtId="0" fontId="2" fillId="0" borderId="65" xfId="0" applyFont="1" applyFill="1" applyBorder="1" applyAlignment="1">
      <alignment horizontal="left" vertical="top" wrapText="1"/>
    </xf>
    <xf numFmtId="0" fontId="2" fillId="0" borderId="5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56" xfId="0" applyFont="1" applyBorder="1" applyAlignment="1">
      <alignment horizontal="left" vertical="top" wrapText="1"/>
    </xf>
    <xf numFmtId="49" fontId="4" fillId="8" borderId="20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0" fontId="4" fillId="4" borderId="35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49" fontId="4" fillId="0" borderId="35" xfId="0" applyNumberFormat="1" applyFont="1" applyBorder="1" applyAlignment="1">
      <alignment horizontal="center" vertical="top" wrapText="1"/>
    </xf>
    <xf numFmtId="49" fontId="4" fillId="0" borderId="23" xfId="0" applyNumberFormat="1" applyFont="1" applyBorder="1" applyAlignment="1">
      <alignment horizontal="center" vertical="top" wrapText="1"/>
    </xf>
    <xf numFmtId="49" fontId="4" fillId="0" borderId="36" xfId="0" applyNumberFormat="1" applyFont="1" applyBorder="1" applyAlignment="1">
      <alignment horizontal="center" vertical="top" wrapText="1"/>
    </xf>
    <xf numFmtId="49" fontId="4" fillId="5" borderId="9" xfId="0" applyNumberFormat="1" applyFont="1" applyFill="1" applyBorder="1" applyAlignment="1">
      <alignment horizontal="right" vertical="top"/>
    </xf>
    <xf numFmtId="49" fontId="4" fillId="5" borderId="7" xfId="0" applyNumberFormat="1" applyFont="1" applyFill="1" applyBorder="1" applyAlignment="1">
      <alignment horizontal="right" vertical="top"/>
    </xf>
    <xf numFmtId="0" fontId="2" fillId="0" borderId="0" xfId="0" applyNumberFormat="1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49" fontId="4" fillId="2" borderId="9" xfId="0" applyNumberFormat="1" applyFont="1" applyFill="1" applyBorder="1" applyAlignment="1">
      <alignment horizontal="right" vertical="top"/>
    </xf>
    <xf numFmtId="49" fontId="4" fillId="2" borderId="7" xfId="0" applyNumberFormat="1" applyFont="1" applyFill="1" applyBorder="1" applyAlignment="1">
      <alignment horizontal="right" vertical="top"/>
    </xf>
    <xf numFmtId="49" fontId="14" fillId="8" borderId="45" xfId="0" applyNumberFormat="1" applyFont="1" applyFill="1" applyBorder="1" applyAlignment="1">
      <alignment horizontal="center" vertical="top"/>
    </xf>
    <xf numFmtId="49" fontId="14" fillId="8" borderId="47" xfId="0" applyNumberFormat="1" applyFont="1" applyFill="1" applyBorder="1" applyAlignment="1">
      <alignment horizontal="center" vertical="top"/>
    </xf>
    <xf numFmtId="49" fontId="14" fillId="8" borderId="61" xfId="0" applyNumberFormat="1" applyFont="1" applyFill="1" applyBorder="1" applyAlignment="1">
      <alignment horizontal="center" vertical="top"/>
    </xf>
    <xf numFmtId="49" fontId="14" fillId="2" borderId="2" xfId="0" applyNumberFormat="1" applyFont="1" applyFill="1" applyBorder="1" applyAlignment="1">
      <alignment horizontal="center" vertical="top"/>
    </xf>
    <xf numFmtId="49" fontId="14" fillId="2" borderId="12" xfId="0" applyNumberFormat="1" applyFont="1" applyFill="1" applyBorder="1" applyAlignment="1">
      <alignment horizontal="center" vertical="top"/>
    </xf>
    <xf numFmtId="49" fontId="14" fillId="2" borderId="5" xfId="0" applyNumberFormat="1" applyFont="1" applyFill="1" applyBorder="1" applyAlignment="1">
      <alignment horizontal="center" vertical="top"/>
    </xf>
    <xf numFmtId="49" fontId="14" fillId="4" borderId="8" xfId="0" applyNumberFormat="1" applyFont="1" applyFill="1" applyBorder="1" applyAlignment="1">
      <alignment horizontal="center" vertical="top"/>
    </xf>
    <xf numFmtId="49" fontId="14" fillId="4" borderId="48" xfId="0" applyNumberFormat="1" applyFont="1" applyFill="1" applyBorder="1" applyAlignment="1">
      <alignment horizontal="center" vertical="top"/>
    </xf>
    <xf numFmtId="49" fontId="14" fillId="4" borderId="62" xfId="0" applyNumberFormat="1" applyFont="1" applyFill="1" applyBorder="1" applyAlignment="1">
      <alignment horizontal="center" vertical="top"/>
    </xf>
    <xf numFmtId="0" fontId="4" fillId="4" borderId="27" xfId="0" applyFont="1" applyFill="1" applyBorder="1" applyAlignment="1">
      <alignment horizontal="left" vertical="top" wrapText="1"/>
    </xf>
    <xf numFmtId="0" fontId="4" fillId="4" borderId="49" xfId="0" applyFont="1" applyFill="1" applyBorder="1" applyAlignment="1">
      <alignment horizontal="left" vertical="top" wrapText="1"/>
    </xf>
    <xf numFmtId="0" fontId="4" fillId="4" borderId="66" xfId="0" applyFont="1" applyFill="1" applyBorder="1" applyAlignment="1">
      <alignment horizontal="left" vertical="top" wrapText="1"/>
    </xf>
    <xf numFmtId="164" fontId="18" fillId="0" borderId="2" xfId="0" applyNumberFormat="1" applyFont="1" applyFill="1" applyBorder="1" applyAlignment="1">
      <alignment horizontal="center" vertical="center" textRotation="90" wrapText="1"/>
    </xf>
    <xf numFmtId="164" fontId="1" fillId="0" borderId="12" xfId="0" applyNumberFormat="1" applyFont="1" applyFill="1" applyBorder="1" applyAlignment="1">
      <alignment horizontal="center" vertical="center" textRotation="90" wrapText="1"/>
    </xf>
    <xf numFmtId="164" fontId="1" fillId="0" borderId="5" xfId="0" applyNumberFormat="1" applyFont="1" applyFill="1" applyBorder="1" applyAlignment="1">
      <alignment horizontal="center" vertical="center" textRotation="90" wrapText="1"/>
    </xf>
    <xf numFmtId="0" fontId="4" fillId="6" borderId="41" xfId="0" applyFont="1" applyFill="1" applyBorder="1" applyAlignment="1">
      <alignment horizontal="right" vertical="top" wrapText="1"/>
    </xf>
    <xf numFmtId="0" fontId="4" fillId="6" borderId="10" xfId="0" applyFont="1" applyFill="1" applyBorder="1" applyAlignment="1">
      <alignment horizontal="right" vertical="top" wrapText="1"/>
    </xf>
    <xf numFmtId="0" fontId="4" fillId="6" borderId="22" xfId="0" applyFont="1" applyFill="1" applyBorder="1" applyAlignment="1">
      <alignment horizontal="right" vertical="top" wrapText="1"/>
    </xf>
    <xf numFmtId="0" fontId="2" fillId="3" borderId="55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56" xfId="0" applyFont="1" applyFill="1" applyBorder="1" applyAlignment="1">
      <alignment horizontal="left" vertical="top" wrapText="1"/>
    </xf>
    <xf numFmtId="0" fontId="2" fillId="6" borderId="47" xfId="0" applyFont="1" applyFill="1" applyBorder="1" applyAlignment="1">
      <alignment horizontal="left" vertical="top" wrapText="1"/>
    </xf>
    <xf numFmtId="0" fontId="2" fillId="6" borderId="48" xfId="0" applyFont="1" applyFill="1" applyBorder="1" applyAlignment="1">
      <alignment horizontal="left" vertical="top" wrapText="1"/>
    </xf>
    <xf numFmtId="0" fontId="2" fillId="6" borderId="44" xfId="0" applyFont="1" applyFill="1" applyBorder="1" applyAlignment="1">
      <alignment horizontal="left" vertical="top" wrapText="1"/>
    </xf>
    <xf numFmtId="0" fontId="4" fillId="5" borderId="47" xfId="0" applyFont="1" applyFill="1" applyBorder="1" applyAlignment="1">
      <alignment horizontal="right" vertical="top" wrapText="1"/>
    </xf>
    <xf numFmtId="0" fontId="4" fillId="5" borderId="48" xfId="0" applyFont="1" applyFill="1" applyBorder="1" applyAlignment="1">
      <alignment horizontal="right" vertical="top" wrapText="1"/>
    </xf>
    <xf numFmtId="0" fontId="4" fillId="5" borderId="44" xfId="0" applyFont="1" applyFill="1" applyBorder="1" applyAlignment="1">
      <alignment horizontal="right" vertical="top" wrapText="1"/>
    </xf>
    <xf numFmtId="0" fontId="2" fillId="0" borderId="47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left" vertical="top" wrapText="1"/>
    </xf>
    <xf numFmtId="0" fontId="2" fillId="0" borderId="44" xfId="0" applyFont="1" applyBorder="1" applyAlignment="1">
      <alignment horizontal="left" vertical="top" wrapText="1"/>
    </xf>
    <xf numFmtId="0" fontId="7" fillId="0" borderId="48" xfId="0" applyFont="1" applyBorder="1" applyAlignment="1">
      <alignment horizontal="left" vertical="top" wrapText="1"/>
    </xf>
    <xf numFmtId="0" fontId="7" fillId="0" borderId="44" xfId="0" applyFont="1" applyBorder="1" applyAlignment="1">
      <alignment horizontal="left" vertical="top" wrapText="1"/>
    </xf>
    <xf numFmtId="0" fontId="4" fillId="0" borderId="35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horizontal="left" vertical="top" wrapText="1"/>
    </xf>
    <xf numFmtId="0" fontId="4" fillId="0" borderId="36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49" fontId="4" fillId="0" borderId="35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49" fontId="4" fillId="0" borderId="36" xfId="0" applyNumberFormat="1" applyFont="1" applyBorder="1" applyAlignment="1">
      <alignment horizontal="center" vertical="top"/>
    </xf>
    <xf numFmtId="49" fontId="4" fillId="2" borderId="10" xfId="0" applyNumberFormat="1" applyFont="1" applyFill="1" applyBorder="1" applyAlignment="1">
      <alignment horizontal="right" vertical="top"/>
    </xf>
    <xf numFmtId="0" fontId="2" fillId="2" borderId="41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center" textRotation="90" wrapText="1"/>
    </xf>
    <xf numFmtId="0" fontId="20" fillId="0" borderId="4" xfId="0" applyFont="1" applyBorder="1" applyAlignment="1">
      <alignment wrapText="1"/>
    </xf>
    <xf numFmtId="0" fontId="20" fillId="0" borderId="6" xfId="0" applyFont="1" applyBorder="1" applyAlignment="1"/>
    <xf numFmtId="0" fontId="2" fillId="0" borderId="16" xfId="0" applyFont="1" applyFill="1" applyBorder="1" applyAlignment="1">
      <alignment horizontal="left" vertical="top" wrapText="1"/>
    </xf>
    <xf numFmtId="0" fontId="7" fillId="0" borderId="21" xfId="0" applyFont="1" applyBorder="1" applyAlignment="1">
      <alignment vertical="top" wrapText="1"/>
    </xf>
    <xf numFmtId="0" fontId="2" fillId="4" borderId="100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6" xfId="0" applyFont="1" applyBorder="1" applyAlignment="1">
      <alignment vertical="top"/>
    </xf>
    <xf numFmtId="49" fontId="4" fillId="8" borderId="20" xfId="0" applyNumberFormat="1" applyFont="1" applyFill="1" applyBorder="1" applyAlignment="1">
      <alignment horizontal="center" vertical="top"/>
    </xf>
    <xf numFmtId="49" fontId="4" fillId="8" borderId="21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6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/>
    </xf>
    <xf numFmtId="49" fontId="4" fillId="4" borderId="6" xfId="0" applyNumberFormat="1" applyFont="1" applyFill="1" applyBorder="1" applyAlignment="1">
      <alignment horizontal="center" vertical="top"/>
    </xf>
    <xf numFmtId="0" fontId="2" fillId="4" borderId="35" xfId="0" applyFont="1" applyFill="1" applyBorder="1" applyAlignment="1">
      <alignment vertical="top" wrapText="1"/>
    </xf>
    <xf numFmtId="0" fontId="2" fillId="4" borderId="36" xfId="0" applyFont="1" applyFill="1" applyBorder="1" applyAlignment="1">
      <alignment vertical="top" wrapText="1"/>
    </xf>
    <xf numFmtId="0" fontId="24" fillId="0" borderId="3" xfId="0" applyFont="1" applyFill="1" applyBorder="1" applyAlignment="1">
      <alignment horizontal="center" vertical="top" textRotation="90" wrapText="1"/>
    </xf>
    <xf numFmtId="0" fontId="24" fillId="0" borderId="6" xfId="0" applyFont="1" applyFill="1" applyBorder="1" applyAlignment="1">
      <alignment horizontal="center" vertical="top" textRotation="90" wrapText="1"/>
    </xf>
    <xf numFmtId="49" fontId="4" fillId="0" borderId="3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0" fontId="7" fillId="0" borderId="65" xfId="0" applyFont="1" applyBorder="1" applyAlignment="1">
      <alignment vertical="top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58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center" textRotation="90" wrapText="1"/>
    </xf>
    <xf numFmtId="0" fontId="0" fillId="0" borderId="58" xfId="0" applyBorder="1" applyAlignment="1">
      <alignment horizontal="left" vertical="center" textRotation="90" wrapText="1"/>
    </xf>
    <xf numFmtId="0" fontId="2" fillId="0" borderId="64" xfId="0" applyFont="1" applyBorder="1" applyAlignment="1">
      <alignment vertical="top" wrapText="1"/>
    </xf>
    <xf numFmtId="0" fontId="0" fillId="0" borderId="64" xfId="0" applyBorder="1" applyAlignment="1">
      <alignment wrapText="1"/>
    </xf>
    <xf numFmtId="0" fontId="2" fillId="4" borderId="100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0" fillId="0" borderId="75" xfId="0" applyBorder="1" applyAlignment="1">
      <alignment vertical="top" wrapText="1"/>
    </xf>
    <xf numFmtId="0" fontId="9" fillId="0" borderId="100" xfId="0" applyFont="1" applyFill="1" applyBorder="1" applyAlignment="1">
      <alignment vertical="center" textRotation="90"/>
    </xf>
    <xf numFmtId="0" fontId="9" fillId="0" borderId="23" xfId="0" applyFont="1" applyFill="1" applyBorder="1" applyAlignment="1">
      <alignment vertical="center" textRotation="90"/>
    </xf>
    <xf numFmtId="0" fontId="0" fillId="0" borderId="76" xfId="0" applyBorder="1" applyAlignment="1">
      <alignment vertical="center" textRotation="90"/>
    </xf>
    <xf numFmtId="0" fontId="0" fillId="0" borderId="6" xfId="0" applyBorder="1" applyAlignment="1">
      <alignment vertical="top" wrapText="1"/>
    </xf>
    <xf numFmtId="49" fontId="4" fillId="2" borderId="9" xfId="0" applyNumberFormat="1" applyFont="1" applyFill="1" applyBorder="1" applyAlignment="1">
      <alignment horizontal="left" vertical="top"/>
    </xf>
    <xf numFmtId="49" fontId="4" fillId="2" borderId="7" xfId="0" applyNumberFormat="1" applyFont="1" applyFill="1" applyBorder="1" applyAlignment="1">
      <alignment horizontal="left" vertical="top"/>
    </xf>
    <xf numFmtId="49" fontId="4" fillId="2" borderId="19" xfId="0" applyNumberFormat="1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8" xfId="0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center" textRotation="90" wrapText="1"/>
    </xf>
    <xf numFmtId="0" fontId="2" fillId="4" borderId="11" xfId="0" applyFont="1" applyFill="1" applyBorder="1" applyAlignment="1">
      <alignment horizontal="left" vertical="top" wrapText="1"/>
    </xf>
    <xf numFmtId="49" fontId="4" fillId="8" borderId="16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0" fontId="2" fillId="4" borderId="2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top" textRotation="90" wrapText="1"/>
    </xf>
    <xf numFmtId="0" fontId="9" fillId="0" borderId="4" xfId="0" applyFont="1" applyFill="1" applyBorder="1" applyAlignment="1">
      <alignment horizontal="center" vertical="top" textRotation="90" wrapText="1"/>
    </xf>
    <xf numFmtId="0" fontId="9" fillId="0" borderId="6" xfId="0" applyFont="1" applyFill="1" applyBorder="1" applyAlignment="1">
      <alignment horizontal="center" vertical="top" textRotation="90" wrapText="1"/>
    </xf>
    <xf numFmtId="49" fontId="4" fillId="0" borderId="4" xfId="0" applyNumberFormat="1" applyFont="1" applyBorder="1" applyAlignment="1">
      <alignment horizontal="center" vertical="top"/>
    </xf>
    <xf numFmtId="0" fontId="2" fillId="0" borderId="63" xfId="0" applyFont="1" applyFill="1" applyBorder="1" applyAlignment="1">
      <alignment vertical="top" wrapText="1"/>
    </xf>
    <xf numFmtId="0" fontId="2" fillId="0" borderId="64" xfId="0" applyFont="1" applyFill="1" applyBorder="1" applyAlignment="1">
      <alignment vertical="top" wrapText="1"/>
    </xf>
    <xf numFmtId="49" fontId="2" fillId="3" borderId="3" xfId="0" applyNumberFormat="1" applyFont="1" applyFill="1" applyBorder="1" applyAlignment="1">
      <alignment horizontal="center" vertical="center" textRotation="90" wrapText="1"/>
    </xf>
    <xf numFmtId="49" fontId="0" fillId="0" borderId="6" xfId="0" applyNumberFormat="1" applyBorder="1" applyAlignment="1">
      <alignment horizontal="center" vertical="center" textRotation="90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4" borderId="35" xfId="0" applyFont="1" applyFill="1" applyBorder="1" applyAlignment="1">
      <alignment horizontal="left" vertical="top" wrapText="1"/>
    </xf>
    <xf numFmtId="0" fontId="2" fillId="4" borderId="36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4" fillId="4" borderId="35" xfId="0" applyFont="1" applyFill="1" applyBorder="1" applyAlignment="1">
      <alignment vertical="top" wrapText="1"/>
    </xf>
    <xf numFmtId="0" fontId="4" fillId="4" borderId="23" xfId="0" applyFont="1" applyFill="1" applyBorder="1" applyAlignment="1">
      <alignment vertical="top" wrapText="1"/>
    </xf>
    <xf numFmtId="0" fontId="4" fillId="4" borderId="36" xfId="0" applyFont="1" applyFill="1" applyBorder="1" applyAlignment="1">
      <alignment vertical="top" wrapText="1"/>
    </xf>
    <xf numFmtId="49" fontId="8" fillId="0" borderId="23" xfId="0" applyNumberFormat="1" applyFont="1" applyBorder="1" applyAlignment="1">
      <alignment horizontal="center" vertical="top"/>
    </xf>
    <xf numFmtId="0" fontId="11" fillId="4" borderId="100" xfId="0" applyFont="1" applyFill="1" applyBorder="1" applyAlignment="1">
      <alignment horizontal="left" vertical="top" wrapText="1"/>
    </xf>
    <xf numFmtId="0" fontId="0" fillId="0" borderId="75" xfId="0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textRotation="90" wrapText="1"/>
    </xf>
    <xf numFmtId="0" fontId="17" fillId="0" borderId="6" xfId="0" applyFont="1" applyBorder="1" applyAlignment="1">
      <alignment horizontal="center" vertical="top" textRotation="90" wrapText="1"/>
    </xf>
    <xf numFmtId="0" fontId="4" fillId="5" borderId="47" xfId="0" applyFont="1" applyFill="1" applyBorder="1" applyAlignment="1">
      <alignment horizontal="left" vertical="top" wrapText="1"/>
    </xf>
    <xf numFmtId="0" fontId="4" fillId="5" borderId="48" xfId="0" applyFont="1" applyFill="1" applyBorder="1" applyAlignment="1">
      <alignment horizontal="left" vertical="top" wrapText="1"/>
    </xf>
    <xf numFmtId="0" fontId="4" fillId="5" borderId="44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/>
    </xf>
    <xf numFmtId="0" fontId="4" fillId="8" borderId="48" xfId="0" applyFont="1" applyFill="1" applyBorder="1" applyAlignment="1">
      <alignment horizontal="left" vertical="top"/>
    </xf>
    <xf numFmtId="0" fontId="4" fillId="8" borderId="44" xfId="0" applyFont="1" applyFill="1" applyBorder="1" applyAlignment="1">
      <alignment horizontal="left" vertical="top"/>
    </xf>
    <xf numFmtId="0" fontId="4" fillId="2" borderId="49" xfId="0" applyFont="1" applyFill="1" applyBorder="1" applyAlignment="1">
      <alignment horizontal="left" vertical="top" wrapText="1"/>
    </xf>
    <xf numFmtId="0" fontId="4" fillId="2" borderId="48" xfId="0" applyFont="1" applyFill="1" applyBorder="1" applyAlignment="1">
      <alignment horizontal="left" vertical="top" wrapText="1"/>
    </xf>
    <xf numFmtId="0" fontId="4" fillId="2" borderId="4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99" xfId="0" applyFont="1" applyBorder="1" applyAlignment="1">
      <alignment vertical="top"/>
    </xf>
    <xf numFmtId="0" fontId="0" fillId="0" borderId="21" xfId="0" applyBorder="1" applyAlignment="1">
      <alignment vertical="top"/>
    </xf>
    <xf numFmtId="0" fontId="2" fillId="4" borderId="23" xfId="0" applyFont="1" applyFill="1" applyBorder="1" applyAlignment="1">
      <alignment horizontal="left" vertical="top" wrapText="1"/>
    </xf>
    <xf numFmtId="0" fontId="2" fillId="0" borderId="3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49" fontId="4" fillId="7" borderId="45" xfId="0" applyNumberFormat="1" applyFont="1" applyFill="1" applyBorder="1" applyAlignment="1">
      <alignment horizontal="left" vertical="top" wrapText="1"/>
    </xf>
    <xf numFmtId="49" fontId="4" fillId="7" borderId="8" xfId="0" applyNumberFormat="1" applyFont="1" applyFill="1" applyBorder="1" applyAlignment="1">
      <alignment horizontal="left" vertical="top" wrapText="1"/>
    </xf>
    <xf numFmtId="49" fontId="4" fillId="7" borderId="46" xfId="0" applyNumberFormat="1" applyFont="1" applyFill="1" applyBorder="1" applyAlignment="1">
      <alignment horizontal="left" vertical="top" wrapText="1"/>
    </xf>
    <xf numFmtId="0" fontId="2" fillId="0" borderId="38" xfId="0" applyFont="1" applyBorder="1" applyAlignment="1">
      <alignment horizontal="center" vertical="center" textRotation="90" shrinkToFit="1"/>
    </xf>
    <xf numFmtId="0" fontId="2" fillId="0" borderId="25" xfId="0" applyFont="1" applyBorder="1" applyAlignment="1">
      <alignment horizontal="center" vertical="center" textRotation="90" shrinkToFit="1"/>
    </xf>
    <xf numFmtId="0" fontId="2" fillId="0" borderId="40" xfId="0" applyFont="1" applyBorder="1" applyAlignment="1">
      <alignment horizontal="center" vertical="center" textRotation="90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2" fillId="0" borderId="15" xfId="0" applyNumberFormat="1" applyFont="1" applyBorder="1" applyAlignment="1">
      <alignment horizontal="center" vertical="center" textRotation="90" shrinkToFit="1"/>
    </xf>
    <xf numFmtId="0" fontId="2" fillId="0" borderId="17" xfId="0" applyNumberFormat="1" applyFont="1" applyBorder="1" applyAlignment="1">
      <alignment horizontal="center" vertical="center" textRotation="90" shrinkToFit="1"/>
    </xf>
    <xf numFmtId="0" fontId="2" fillId="0" borderId="18" xfId="0" applyNumberFormat="1" applyFont="1" applyBorder="1" applyAlignment="1">
      <alignment horizontal="center" vertical="center" textRotation="90" shrinkToFit="1"/>
    </xf>
    <xf numFmtId="0" fontId="2" fillId="0" borderId="38" xfId="0" applyFont="1" applyBorder="1" applyAlignment="1">
      <alignment horizontal="center" vertical="center" textRotation="90" wrapText="1" shrinkToFit="1" readingOrder="1"/>
    </xf>
    <xf numFmtId="0" fontId="0" fillId="0" borderId="25" xfId="0" applyBorder="1" applyAlignment="1">
      <alignment horizontal="center" vertical="center" textRotation="90" wrapText="1" shrinkToFit="1" readingOrder="1"/>
    </xf>
    <xf numFmtId="0" fontId="0" fillId="0" borderId="40" xfId="0" applyBorder="1" applyAlignment="1">
      <alignment horizontal="center" vertical="center" textRotation="90" wrapText="1" shrinkToFit="1" readingOrder="1"/>
    </xf>
    <xf numFmtId="2" fontId="8" fillId="0" borderId="11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2" fillId="0" borderId="20" xfId="0" applyFont="1" applyBorder="1" applyAlignment="1">
      <alignment horizontal="center" vertical="center" textRotation="90" shrinkToFit="1"/>
    </xf>
    <xf numFmtId="0" fontId="2" fillId="0" borderId="16" xfId="0" applyFont="1" applyBorder="1" applyAlignment="1">
      <alignment horizontal="center" vertical="center" textRotation="90" shrinkToFit="1"/>
    </xf>
    <xf numFmtId="0" fontId="2" fillId="0" borderId="21" xfId="0" applyFont="1" applyBorder="1" applyAlignment="1">
      <alignment horizontal="center" vertical="center" textRotation="90" shrinkToFit="1"/>
    </xf>
    <xf numFmtId="0" fontId="2" fillId="0" borderId="3" xfId="0" applyFont="1" applyBorder="1" applyAlignment="1">
      <alignment horizontal="center" vertical="center" textRotation="90" shrinkToFit="1"/>
    </xf>
    <xf numFmtId="0" fontId="2" fillId="0" borderId="4" xfId="0" applyFont="1" applyBorder="1" applyAlignment="1">
      <alignment horizontal="center" vertical="center" textRotation="90" shrinkToFit="1"/>
    </xf>
    <xf numFmtId="0" fontId="2" fillId="0" borderId="6" xfId="0" applyFont="1" applyBorder="1" applyAlignment="1">
      <alignment horizontal="center" vertical="center" textRotation="90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textRotation="90" shrinkToFit="1"/>
    </xf>
    <xf numFmtId="0" fontId="2" fillId="0" borderId="23" xfId="0" applyFont="1" applyBorder="1" applyAlignment="1">
      <alignment horizontal="center" vertical="center" textRotation="90" shrinkToFit="1"/>
    </xf>
    <xf numFmtId="0" fontId="2" fillId="0" borderId="36" xfId="0" applyFont="1" applyBorder="1" applyAlignment="1">
      <alignment horizontal="center" vertical="center" textRotation="90" shrinkToFit="1"/>
    </xf>
    <xf numFmtId="0" fontId="25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2" fillId="4" borderId="38" xfId="0" applyFont="1" applyFill="1" applyBorder="1" applyAlignment="1">
      <alignment horizontal="center" vertical="center" textRotation="90" wrapText="1" shrinkToFit="1"/>
    </xf>
    <xf numFmtId="0" fontId="2" fillId="4" borderId="25" xfId="0" applyFont="1" applyFill="1" applyBorder="1" applyAlignment="1">
      <alignment horizontal="center" vertical="center" textRotation="90" wrapText="1" shrinkToFit="1"/>
    </xf>
    <xf numFmtId="0" fontId="2" fillId="4" borderId="40" xfId="0" applyFont="1" applyFill="1" applyBorder="1" applyAlignment="1">
      <alignment horizontal="center" vertical="center" textRotation="90" wrapText="1" shrinkToFit="1"/>
    </xf>
    <xf numFmtId="0" fontId="7" fillId="0" borderId="75" xfId="0" applyFont="1" applyBorder="1" applyAlignment="1">
      <alignment horizontal="left" vertical="top" wrapText="1"/>
    </xf>
    <xf numFmtId="2" fontId="8" fillId="0" borderId="4" xfId="0" applyNumberFormat="1" applyFont="1" applyBorder="1" applyAlignment="1">
      <alignment vertical="top" wrapText="1"/>
    </xf>
    <xf numFmtId="0" fontId="2" fillId="0" borderId="102" xfId="0" applyFont="1" applyBorder="1" applyAlignment="1">
      <alignment vertical="top"/>
    </xf>
    <xf numFmtId="0" fontId="0" fillId="0" borderId="65" xfId="0" applyBorder="1" applyAlignment="1">
      <alignment vertical="top"/>
    </xf>
    <xf numFmtId="0" fontId="2" fillId="3" borderId="63" xfId="0" applyFont="1" applyFill="1" applyBorder="1" applyAlignment="1">
      <alignment horizontal="left" vertical="top" wrapText="1"/>
    </xf>
    <xf numFmtId="0" fontId="2" fillId="3" borderId="65" xfId="0" applyFont="1" applyFill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center" vertical="center" textRotation="90" wrapText="1"/>
    </xf>
    <xf numFmtId="0" fontId="7" fillId="0" borderId="76" xfId="0" applyFont="1" applyBorder="1" applyAlignment="1">
      <alignment vertical="center" textRotation="90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75" xfId="0" applyFont="1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19" fillId="4" borderId="100" xfId="0" applyFont="1" applyFill="1" applyBorder="1" applyAlignment="1">
      <alignment horizontal="left" vertical="top" wrapText="1"/>
    </xf>
    <xf numFmtId="0" fontId="19" fillId="4" borderId="4" xfId="0" applyFont="1" applyFill="1" applyBorder="1" applyAlignment="1">
      <alignment horizontal="left" vertical="top" wrapText="1"/>
    </xf>
    <xf numFmtId="0" fontId="27" fillId="0" borderId="4" xfId="0" applyFont="1" applyBorder="1" applyAlignment="1">
      <alignment horizontal="left" vertical="top" wrapText="1"/>
    </xf>
    <xf numFmtId="0" fontId="27" fillId="0" borderId="6" xfId="0" applyFont="1" applyBorder="1" applyAlignment="1">
      <alignment vertical="top"/>
    </xf>
    <xf numFmtId="0" fontId="19" fillId="0" borderId="16" xfId="0" applyFont="1" applyFill="1" applyBorder="1" applyAlignment="1">
      <alignment horizontal="left" vertical="top" wrapText="1"/>
    </xf>
    <xf numFmtId="0" fontId="27" fillId="0" borderId="21" xfId="0" applyFont="1" applyBorder="1" applyAlignment="1">
      <alignment vertical="top" wrapText="1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colors>
    <mruColors>
      <color rgb="FFFFFF99"/>
      <color rgb="FFFFCCFF"/>
      <color rgb="FFFFFFCC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11"/>
  <sheetViews>
    <sheetView tabSelected="1" view="pageBreakPreview" zoomScaleNormal="100" zoomScaleSheetLayoutView="100" workbookViewId="0">
      <selection activeCell="U15" sqref="U15"/>
    </sheetView>
  </sheetViews>
  <sheetFormatPr defaultRowHeight="12.75"/>
  <cols>
    <col min="1" max="3" width="2.7109375" style="3" customWidth="1"/>
    <col min="4" max="4" width="32.85546875" style="3" customWidth="1"/>
    <col min="5" max="5" width="3.5703125" style="3" customWidth="1"/>
    <col min="6" max="6" width="3.42578125" style="12" customWidth="1"/>
    <col min="7" max="7" width="7.85546875" style="7" customWidth="1"/>
    <col min="8" max="8" width="9.140625" style="21" customWidth="1"/>
    <col min="9" max="9" width="10.28515625" style="21" customWidth="1"/>
    <col min="10" max="10" width="9.5703125" style="21" customWidth="1"/>
    <col min="11" max="11" width="32.5703125" style="3" customWidth="1"/>
    <col min="12" max="12" width="4.28515625" style="3" customWidth="1"/>
    <col min="13" max="13" width="4.42578125" style="3" customWidth="1"/>
    <col min="14" max="14" width="4.28515625" style="21" customWidth="1"/>
    <col min="15" max="16384" width="9.140625" style="2"/>
  </cols>
  <sheetData>
    <row r="1" spans="1:23" ht="15.75">
      <c r="A1" s="705" t="s">
        <v>115</v>
      </c>
      <c r="B1" s="705"/>
      <c r="C1" s="705"/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</row>
    <row r="2" spans="1:23" ht="15.75">
      <c r="A2" s="706" t="s">
        <v>30</v>
      </c>
      <c r="B2" s="706"/>
      <c r="C2" s="706"/>
      <c r="D2" s="706"/>
      <c r="E2" s="706"/>
      <c r="F2" s="706"/>
      <c r="G2" s="706"/>
      <c r="H2" s="706"/>
      <c r="I2" s="706"/>
      <c r="J2" s="706"/>
      <c r="K2" s="706"/>
      <c r="L2" s="706"/>
      <c r="M2" s="706"/>
      <c r="N2" s="706"/>
    </row>
    <row r="3" spans="1:23" ht="15.75">
      <c r="A3" s="707" t="s">
        <v>17</v>
      </c>
      <c r="B3" s="707"/>
      <c r="C3" s="707"/>
      <c r="D3" s="707"/>
      <c r="E3" s="707"/>
      <c r="F3" s="707"/>
      <c r="G3" s="707"/>
      <c r="H3" s="707"/>
      <c r="I3" s="707"/>
      <c r="J3" s="707"/>
      <c r="K3" s="707"/>
      <c r="L3" s="707"/>
      <c r="M3" s="707"/>
      <c r="N3" s="707"/>
    </row>
    <row r="4" spans="1:23" ht="13.5" thickBot="1">
      <c r="L4" s="708" t="s">
        <v>121</v>
      </c>
      <c r="M4" s="709"/>
      <c r="N4" s="709"/>
    </row>
    <row r="5" spans="1:23" ht="32.25" customHeight="1">
      <c r="A5" s="710" t="s">
        <v>18</v>
      </c>
      <c r="B5" s="713" t="s">
        <v>0</v>
      </c>
      <c r="C5" s="713" t="s">
        <v>1</v>
      </c>
      <c r="D5" s="716" t="s">
        <v>12</v>
      </c>
      <c r="E5" s="719" t="s">
        <v>2</v>
      </c>
      <c r="F5" s="698" t="s">
        <v>3</v>
      </c>
      <c r="G5" s="692" t="s">
        <v>4</v>
      </c>
      <c r="H5" s="701" t="s">
        <v>86</v>
      </c>
      <c r="I5" s="692" t="s">
        <v>60</v>
      </c>
      <c r="J5" s="692" t="s">
        <v>87</v>
      </c>
      <c r="K5" s="695" t="s">
        <v>11</v>
      </c>
      <c r="L5" s="696"/>
      <c r="M5" s="696"/>
      <c r="N5" s="697"/>
    </row>
    <row r="6" spans="1:23" ht="14.25" customHeight="1">
      <c r="A6" s="711"/>
      <c r="B6" s="714"/>
      <c r="C6" s="714"/>
      <c r="D6" s="717"/>
      <c r="E6" s="720"/>
      <c r="F6" s="699"/>
      <c r="G6" s="693"/>
      <c r="H6" s="702"/>
      <c r="I6" s="693"/>
      <c r="J6" s="693"/>
      <c r="K6" s="684" t="s">
        <v>12</v>
      </c>
      <c r="L6" s="686" t="s">
        <v>122</v>
      </c>
      <c r="M6" s="687"/>
      <c r="N6" s="688"/>
    </row>
    <row r="7" spans="1:23" ht="78.75" customHeight="1" thickBot="1">
      <c r="A7" s="712"/>
      <c r="B7" s="715"/>
      <c r="C7" s="715"/>
      <c r="D7" s="718"/>
      <c r="E7" s="721"/>
      <c r="F7" s="700"/>
      <c r="G7" s="694"/>
      <c r="H7" s="703"/>
      <c r="I7" s="694"/>
      <c r="J7" s="694"/>
      <c r="K7" s="685"/>
      <c r="L7" s="111" t="s">
        <v>25</v>
      </c>
      <c r="M7" s="111" t="s">
        <v>75</v>
      </c>
      <c r="N7" s="112" t="s">
        <v>88</v>
      </c>
    </row>
    <row r="8" spans="1:23" s="13" customFormat="1">
      <c r="A8" s="689" t="s">
        <v>61</v>
      </c>
      <c r="B8" s="690"/>
      <c r="C8" s="690"/>
      <c r="D8" s="690"/>
      <c r="E8" s="690"/>
      <c r="F8" s="690"/>
      <c r="G8" s="690"/>
      <c r="H8" s="690"/>
      <c r="I8" s="690"/>
      <c r="J8" s="690"/>
      <c r="K8" s="690"/>
      <c r="L8" s="690"/>
      <c r="M8" s="690"/>
      <c r="N8" s="691"/>
    </row>
    <row r="9" spans="1:23" s="13" customFormat="1" ht="12.75" customHeight="1">
      <c r="A9" s="671" t="s">
        <v>49</v>
      </c>
      <c r="B9" s="672"/>
      <c r="C9" s="672"/>
      <c r="D9" s="672"/>
      <c r="E9" s="672"/>
      <c r="F9" s="672"/>
      <c r="G9" s="672"/>
      <c r="H9" s="672"/>
      <c r="I9" s="672"/>
      <c r="J9" s="672"/>
      <c r="K9" s="672"/>
      <c r="L9" s="672"/>
      <c r="M9" s="672"/>
      <c r="N9" s="673"/>
    </row>
    <row r="10" spans="1:23" ht="15.75" customHeight="1">
      <c r="A10" s="88" t="s">
        <v>5</v>
      </c>
      <c r="B10" s="674" t="s">
        <v>46</v>
      </c>
      <c r="C10" s="675"/>
      <c r="D10" s="675"/>
      <c r="E10" s="675"/>
      <c r="F10" s="675"/>
      <c r="G10" s="675"/>
      <c r="H10" s="675"/>
      <c r="I10" s="675"/>
      <c r="J10" s="675"/>
      <c r="K10" s="675"/>
      <c r="L10" s="675"/>
      <c r="M10" s="675"/>
      <c r="N10" s="676"/>
    </row>
    <row r="11" spans="1:23">
      <c r="A11" s="89" t="s">
        <v>5</v>
      </c>
      <c r="B11" s="32" t="s">
        <v>5</v>
      </c>
      <c r="C11" s="677" t="s">
        <v>43</v>
      </c>
      <c r="D11" s="678"/>
      <c r="E11" s="678"/>
      <c r="F11" s="678"/>
      <c r="G11" s="678"/>
      <c r="H11" s="678"/>
      <c r="I11" s="678"/>
      <c r="J11" s="678"/>
      <c r="K11" s="678"/>
      <c r="L11" s="678"/>
      <c r="M11" s="678"/>
      <c r="N11" s="679"/>
    </row>
    <row r="12" spans="1:23" ht="12.75" customHeight="1">
      <c r="A12" s="90" t="s">
        <v>5</v>
      </c>
      <c r="B12" s="8" t="s">
        <v>5</v>
      </c>
      <c r="C12" s="44" t="s">
        <v>5</v>
      </c>
      <c r="D12" s="704" t="s">
        <v>58</v>
      </c>
      <c r="E12" s="680" t="s">
        <v>62</v>
      </c>
      <c r="F12" s="649" t="s">
        <v>28</v>
      </c>
      <c r="G12" s="342" t="s">
        <v>76</v>
      </c>
      <c r="H12" s="343">
        <f>(17158.8+180-875)/3.4528*1000</f>
        <v>4768246</v>
      </c>
      <c r="I12" s="344">
        <f>17283/3.4528*1000</f>
        <v>5005503</v>
      </c>
      <c r="J12" s="345">
        <f>17283/3.4528*1000</f>
        <v>5005503</v>
      </c>
      <c r="K12" s="341"/>
      <c r="L12" s="98"/>
      <c r="M12" s="50"/>
      <c r="N12" s="99"/>
    </row>
    <row r="13" spans="1:23" ht="12.75" customHeight="1">
      <c r="A13" s="90"/>
      <c r="B13" s="8"/>
      <c r="C13" s="44"/>
      <c r="D13" s="627"/>
      <c r="E13" s="680"/>
      <c r="F13" s="649"/>
      <c r="G13" s="342" t="s">
        <v>78</v>
      </c>
      <c r="H13" s="343">
        <v>246200</v>
      </c>
      <c r="I13" s="344"/>
      <c r="J13" s="345"/>
      <c r="K13" s="340"/>
      <c r="L13" s="142"/>
      <c r="M13" s="143"/>
      <c r="N13" s="144"/>
    </row>
    <row r="14" spans="1:23" ht="26.25" customHeight="1">
      <c r="A14" s="90"/>
      <c r="B14" s="8"/>
      <c r="C14" s="44"/>
      <c r="D14" s="145" t="s">
        <v>31</v>
      </c>
      <c r="E14" s="680"/>
      <c r="F14" s="649"/>
      <c r="G14" s="117"/>
      <c r="H14" s="204"/>
      <c r="I14" s="192"/>
      <c r="J14" s="193"/>
      <c r="K14" s="146" t="s">
        <v>123</v>
      </c>
      <c r="L14" s="142">
        <v>67</v>
      </c>
      <c r="M14" s="143">
        <v>67</v>
      </c>
      <c r="N14" s="144">
        <v>67</v>
      </c>
    </row>
    <row r="15" spans="1:23" ht="15" customHeight="1">
      <c r="A15" s="90"/>
      <c r="B15" s="8"/>
      <c r="C15" s="44"/>
      <c r="D15" s="683" t="s">
        <v>59</v>
      </c>
      <c r="E15" s="680"/>
      <c r="F15" s="649"/>
      <c r="G15" s="33"/>
      <c r="H15" s="206"/>
      <c r="I15" s="207"/>
      <c r="J15" s="208"/>
      <c r="K15" s="681" t="s">
        <v>123</v>
      </c>
      <c r="L15" s="223">
        <v>1.7</v>
      </c>
      <c r="M15" s="223">
        <v>1.7</v>
      </c>
      <c r="N15" s="224">
        <v>1.7</v>
      </c>
      <c r="P15" s="48"/>
      <c r="Q15" s="48"/>
      <c r="R15" s="48"/>
      <c r="S15" s="48"/>
      <c r="T15" s="48"/>
      <c r="U15" s="48"/>
      <c r="V15" s="48"/>
      <c r="W15" s="48"/>
    </row>
    <row r="16" spans="1:23" ht="15.75" customHeight="1" thickBot="1">
      <c r="A16" s="91"/>
      <c r="B16" s="9"/>
      <c r="C16" s="45"/>
      <c r="D16" s="657"/>
      <c r="E16" s="659"/>
      <c r="F16" s="615"/>
      <c r="G16" s="152" t="s">
        <v>6</v>
      </c>
      <c r="H16" s="209">
        <f>SUM(H12:H15)</f>
        <v>5014446</v>
      </c>
      <c r="I16" s="209">
        <f t="shared" ref="I16:J16" si="0">SUM(I12:I15)</f>
        <v>5005503</v>
      </c>
      <c r="J16" s="209">
        <f t="shared" si="0"/>
        <v>5005503</v>
      </c>
      <c r="K16" s="682"/>
      <c r="L16" s="18"/>
      <c r="M16" s="81"/>
      <c r="N16" s="74"/>
      <c r="P16" s="48"/>
      <c r="Q16" s="48"/>
      <c r="R16" s="48"/>
      <c r="S16" s="48"/>
      <c r="T16" s="48"/>
      <c r="U16" s="48"/>
      <c r="V16" s="48"/>
      <c r="W16" s="48"/>
    </row>
    <row r="17" spans="1:23" ht="38.25">
      <c r="A17" s="90" t="s">
        <v>5</v>
      </c>
      <c r="B17" s="8" t="s">
        <v>5</v>
      </c>
      <c r="C17" s="46" t="s">
        <v>7</v>
      </c>
      <c r="D17" s="97" t="s">
        <v>63</v>
      </c>
      <c r="E17" s="22" t="s">
        <v>62</v>
      </c>
      <c r="F17" s="182" t="s">
        <v>28</v>
      </c>
      <c r="G17" s="183" t="s">
        <v>36</v>
      </c>
      <c r="H17" s="210">
        <f>90448</f>
        <v>90448</v>
      </c>
      <c r="I17" s="211">
        <f>(260+59)/3.4528*1000</f>
        <v>92389</v>
      </c>
      <c r="J17" s="211">
        <f>(260+59)/3.4528*1000</f>
        <v>92389</v>
      </c>
      <c r="K17" s="273"/>
      <c r="L17" s="23"/>
      <c r="M17" s="27"/>
      <c r="N17" s="75"/>
      <c r="O17" s="323"/>
      <c r="P17" s="48"/>
      <c r="Q17" s="48"/>
      <c r="R17" s="48"/>
      <c r="S17" s="48"/>
      <c r="T17" s="48"/>
      <c r="U17" s="48"/>
      <c r="V17" s="48"/>
      <c r="W17" s="48"/>
    </row>
    <row r="18" spans="1:23" ht="25.5">
      <c r="A18" s="642"/>
      <c r="B18" s="643"/>
      <c r="C18" s="644"/>
      <c r="D18" s="666" t="s">
        <v>84</v>
      </c>
      <c r="E18" s="668"/>
      <c r="F18" s="665"/>
      <c r="G18" s="184"/>
      <c r="H18" s="212"/>
      <c r="I18" s="213"/>
      <c r="J18" s="213"/>
      <c r="K18" s="276" t="s">
        <v>70</v>
      </c>
      <c r="L18" s="277">
        <v>1.3</v>
      </c>
      <c r="M18" s="278">
        <v>1.3</v>
      </c>
      <c r="N18" s="279">
        <v>1.3</v>
      </c>
      <c r="P18" s="48"/>
      <c r="Q18" s="48"/>
      <c r="R18" s="48"/>
      <c r="S18" s="48"/>
      <c r="T18" s="48"/>
      <c r="U18" s="48"/>
      <c r="V18" s="48"/>
      <c r="W18" s="48"/>
    </row>
    <row r="19" spans="1:23">
      <c r="A19" s="642"/>
      <c r="B19" s="643"/>
      <c r="C19" s="644"/>
      <c r="D19" s="667"/>
      <c r="E19" s="668"/>
      <c r="F19" s="665"/>
      <c r="G19" s="185"/>
      <c r="H19" s="212"/>
      <c r="I19" s="213"/>
      <c r="J19" s="213"/>
      <c r="K19" s="280" t="s">
        <v>41</v>
      </c>
      <c r="L19" s="281">
        <v>160</v>
      </c>
      <c r="M19" s="103">
        <v>160</v>
      </c>
      <c r="N19" s="282">
        <v>160</v>
      </c>
      <c r="P19" s="48"/>
      <c r="Q19" s="48"/>
      <c r="R19" s="48"/>
      <c r="S19" s="48"/>
      <c r="T19" s="48"/>
      <c r="U19" s="48"/>
      <c r="V19" s="48"/>
      <c r="W19" s="48"/>
    </row>
    <row r="20" spans="1:23">
      <c r="A20" s="642"/>
      <c r="B20" s="643"/>
      <c r="C20" s="644"/>
      <c r="D20" s="275" t="s">
        <v>40</v>
      </c>
      <c r="E20" s="668"/>
      <c r="F20" s="665"/>
      <c r="G20" s="186"/>
      <c r="H20" s="214"/>
      <c r="I20" s="208"/>
      <c r="J20" s="208"/>
      <c r="K20" s="178" t="s">
        <v>42</v>
      </c>
      <c r="L20" s="24">
        <v>50</v>
      </c>
      <c r="M20" s="6">
        <v>50</v>
      </c>
      <c r="N20" s="76">
        <v>50</v>
      </c>
      <c r="P20" s="48"/>
      <c r="Q20" s="48"/>
      <c r="R20" s="48"/>
      <c r="S20" s="48"/>
      <c r="T20" s="48"/>
      <c r="U20" s="48"/>
      <c r="V20" s="48"/>
      <c r="W20" s="48"/>
    </row>
    <row r="21" spans="1:23" ht="13.5" thickBot="1">
      <c r="A21" s="128"/>
      <c r="B21" s="123"/>
      <c r="C21" s="125"/>
      <c r="D21" s="26"/>
      <c r="E21" s="127"/>
      <c r="F21" s="177"/>
      <c r="G21" s="187" t="s">
        <v>6</v>
      </c>
      <c r="H21" s="215">
        <f>SUM(H17:H20)</f>
        <v>90448</v>
      </c>
      <c r="I21" s="216">
        <f>SUM(I17:I20)</f>
        <v>92389</v>
      </c>
      <c r="J21" s="216">
        <f>SUM(J17:J20)</f>
        <v>92389</v>
      </c>
      <c r="K21" s="179"/>
      <c r="L21" s="70"/>
      <c r="M21" s="28"/>
      <c r="N21" s="77"/>
      <c r="P21" s="48"/>
      <c r="Q21" s="48"/>
      <c r="R21" s="48"/>
      <c r="S21" s="48"/>
      <c r="T21" s="48"/>
      <c r="U21" s="48"/>
      <c r="V21" s="48"/>
      <c r="W21" s="48"/>
    </row>
    <row r="22" spans="1:23" ht="12.75" customHeight="1">
      <c r="A22" s="604" t="s">
        <v>5</v>
      </c>
      <c r="B22" s="606" t="s">
        <v>5</v>
      </c>
      <c r="C22" s="608" t="s">
        <v>27</v>
      </c>
      <c r="D22" s="656" t="s">
        <v>54</v>
      </c>
      <c r="E22" s="658" t="s">
        <v>62</v>
      </c>
      <c r="F22" s="614" t="s">
        <v>28</v>
      </c>
      <c r="G22" s="150" t="s">
        <v>76</v>
      </c>
      <c r="H22" s="206">
        <f>161.2/3.4528*1000</f>
        <v>46687</v>
      </c>
      <c r="I22" s="207">
        <f>100/3.4528*1000</f>
        <v>28962</v>
      </c>
      <c r="J22" s="207">
        <f>100/3.4528*1000</f>
        <v>28962</v>
      </c>
      <c r="K22" s="660" t="s">
        <v>55</v>
      </c>
      <c r="L22" s="71">
        <v>100</v>
      </c>
      <c r="M22" s="49">
        <v>100</v>
      </c>
      <c r="N22" s="78">
        <v>100</v>
      </c>
      <c r="P22" s="48"/>
      <c r="Q22" s="48"/>
      <c r="R22" s="48"/>
      <c r="S22" s="48"/>
      <c r="T22" s="48"/>
      <c r="U22" s="48"/>
      <c r="V22" s="48"/>
      <c r="W22" s="48"/>
    </row>
    <row r="23" spans="1:23" ht="13.5" thickBot="1">
      <c r="A23" s="642"/>
      <c r="B23" s="607"/>
      <c r="C23" s="609"/>
      <c r="D23" s="657"/>
      <c r="E23" s="659"/>
      <c r="F23" s="615"/>
      <c r="G23" s="39" t="s">
        <v>6</v>
      </c>
      <c r="H23" s="217">
        <f t="shared" ref="H23:J23" si="1">SUM(H22:H22)</f>
        <v>46687</v>
      </c>
      <c r="I23" s="218">
        <f t="shared" si="1"/>
        <v>28962</v>
      </c>
      <c r="J23" s="217">
        <f t="shared" si="1"/>
        <v>28962</v>
      </c>
      <c r="K23" s="661"/>
      <c r="L23" s="72"/>
      <c r="M23" s="47"/>
      <c r="N23" s="79"/>
      <c r="P23" s="48"/>
      <c r="Q23" s="48"/>
      <c r="R23" s="48"/>
      <c r="S23" s="48"/>
      <c r="T23" s="48"/>
      <c r="U23" s="48"/>
      <c r="V23" s="48"/>
      <c r="W23" s="48"/>
    </row>
    <row r="24" spans="1:23" ht="12.75" customHeight="1">
      <c r="A24" s="604" t="s">
        <v>5</v>
      </c>
      <c r="B24" s="606" t="s">
        <v>5</v>
      </c>
      <c r="C24" s="608" t="s">
        <v>33</v>
      </c>
      <c r="D24" s="662" t="s">
        <v>117</v>
      </c>
      <c r="E24" s="133" t="s">
        <v>57</v>
      </c>
      <c r="F24" s="614" t="s">
        <v>28</v>
      </c>
      <c r="G24" s="116" t="s">
        <v>78</v>
      </c>
      <c r="H24" s="219">
        <f>(3245.3+33.4)/3.4528*1000</f>
        <v>949577</v>
      </c>
      <c r="I24" s="220">
        <f>1650.2/3.4528*1000</f>
        <v>477931</v>
      </c>
      <c r="J24" s="220">
        <f>1650.2/3.4528*1000</f>
        <v>477931</v>
      </c>
      <c r="K24" s="654" t="s">
        <v>116</v>
      </c>
      <c r="L24" s="24">
        <f>59+50</f>
        <v>109</v>
      </c>
      <c r="M24" s="6">
        <v>30</v>
      </c>
      <c r="N24" s="76">
        <v>30</v>
      </c>
      <c r="P24" s="48"/>
      <c r="Q24" s="48"/>
      <c r="R24" s="48"/>
      <c r="S24" s="48"/>
      <c r="T24" s="48"/>
      <c r="U24" s="48"/>
      <c r="V24" s="48"/>
      <c r="W24" s="48"/>
    </row>
    <row r="25" spans="1:23">
      <c r="A25" s="642"/>
      <c r="B25" s="643"/>
      <c r="C25" s="644"/>
      <c r="D25" s="663"/>
      <c r="E25" s="669" t="s">
        <v>81</v>
      </c>
      <c r="F25" s="649"/>
      <c r="G25" s="117" t="s">
        <v>78</v>
      </c>
      <c r="H25" s="204">
        <f>37.3/3.4528*1000</f>
        <v>10803</v>
      </c>
      <c r="I25" s="207"/>
      <c r="J25" s="208"/>
      <c r="K25" s="598"/>
      <c r="L25" s="24"/>
      <c r="M25" s="6"/>
      <c r="N25" s="76"/>
      <c r="P25" s="48"/>
      <c r="Q25" s="48"/>
      <c r="R25" s="48"/>
      <c r="S25" s="48"/>
      <c r="T25" s="48"/>
      <c r="U25" s="48"/>
      <c r="V25" s="48"/>
      <c r="W25" s="48"/>
    </row>
    <row r="26" spans="1:23" ht="13.5" thickBot="1">
      <c r="A26" s="605"/>
      <c r="B26" s="607"/>
      <c r="C26" s="609"/>
      <c r="D26" s="664"/>
      <c r="E26" s="670"/>
      <c r="F26" s="615"/>
      <c r="G26" s="39" t="s">
        <v>6</v>
      </c>
      <c r="H26" s="217">
        <f>SUM(H24:H25)</f>
        <v>960380</v>
      </c>
      <c r="I26" s="218">
        <f t="shared" ref="I26:J26" si="2">SUM(I24:I25)</f>
        <v>477931</v>
      </c>
      <c r="J26" s="217">
        <f t="shared" si="2"/>
        <v>477931</v>
      </c>
      <c r="K26" s="655"/>
      <c r="L26" s="70"/>
      <c r="M26" s="28"/>
      <c r="N26" s="77"/>
      <c r="P26" s="48"/>
      <c r="Q26" s="48"/>
      <c r="R26" s="48"/>
      <c r="S26" s="48"/>
      <c r="T26" s="48"/>
      <c r="U26" s="48"/>
      <c r="V26" s="48"/>
      <c r="W26" s="48"/>
    </row>
    <row r="27" spans="1:23" ht="12.75" customHeight="1">
      <c r="A27" s="604" t="s">
        <v>5</v>
      </c>
      <c r="B27" s="606" t="s">
        <v>5</v>
      </c>
      <c r="C27" s="532" t="s">
        <v>32</v>
      </c>
      <c r="D27" s="533" t="s">
        <v>64</v>
      </c>
      <c r="E27" s="581" t="s">
        <v>57</v>
      </c>
      <c r="F27" s="614" t="s">
        <v>38</v>
      </c>
      <c r="G27" s="60" t="s">
        <v>65</v>
      </c>
      <c r="H27" s="206">
        <f>404.9/3.4528*1000</f>
        <v>117267</v>
      </c>
      <c r="I27" s="207"/>
      <c r="J27" s="208"/>
      <c r="K27" s="654" t="s">
        <v>100</v>
      </c>
      <c r="L27" s="23"/>
      <c r="M27" s="27"/>
      <c r="N27" s="75"/>
      <c r="P27" s="48"/>
      <c r="Q27" s="48"/>
      <c r="R27" s="48"/>
      <c r="S27" s="48"/>
      <c r="T27" s="48"/>
      <c r="U27" s="48"/>
      <c r="V27" s="48"/>
      <c r="W27" s="48"/>
    </row>
    <row r="28" spans="1:23">
      <c r="A28" s="642"/>
      <c r="B28" s="643"/>
      <c r="C28" s="517"/>
      <c r="D28" s="519"/>
      <c r="E28" s="582"/>
      <c r="F28" s="649"/>
      <c r="G28" s="60" t="s">
        <v>50</v>
      </c>
      <c r="H28" s="204">
        <f>3643.8/3.4528*1000</f>
        <v>1055317</v>
      </c>
      <c r="I28" s="207"/>
      <c r="J28" s="208"/>
      <c r="K28" s="598"/>
      <c r="L28" s="24"/>
      <c r="M28" s="6"/>
      <c r="N28" s="76"/>
    </row>
    <row r="29" spans="1:23" ht="13.5" thickBot="1">
      <c r="A29" s="605"/>
      <c r="B29" s="607"/>
      <c r="C29" s="518"/>
      <c r="D29" s="520"/>
      <c r="E29" s="583"/>
      <c r="F29" s="615"/>
      <c r="G29" s="141" t="s">
        <v>6</v>
      </c>
      <c r="H29" s="217">
        <f t="shared" ref="H29" si="3">SUM(H27:H28)</f>
        <v>1172584</v>
      </c>
      <c r="I29" s="218"/>
      <c r="J29" s="217"/>
      <c r="K29" s="655"/>
      <c r="L29" s="73">
        <v>100</v>
      </c>
      <c r="M29" s="20"/>
      <c r="N29" s="80"/>
    </row>
    <row r="30" spans="1:23" ht="13.5" customHeight="1">
      <c r="A30" s="604" t="s">
        <v>5</v>
      </c>
      <c r="B30" s="606" t="s">
        <v>5</v>
      </c>
      <c r="C30" s="608" t="s">
        <v>29</v>
      </c>
      <c r="D30" s="656" t="s">
        <v>104</v>
      </c>
      <c r="E30" s="658"/>
      <c r="F30" s="614" t="s">
        <v>28</v>
      </c>
      <c r="G30" s="57" t="s">
        <v>51</v>
      </c>
      <c r="H30" s="219">
        <f>164.8/3.4528*1000</f>
        <v>47729</v>
      </c>
      <c r="I30" s="220"/>
      <c r="J30" s="221"/>
      <c r="K30" s="660" t="s">
        <v>105</v>
      </c>
      <c r="L30" s="652">
        <v>1600</v>
      </c>
      <c r="M30" s="49"/>
      <c r="N30" s="78"/>
      <c r="P30" s="48"/>
      <c r="Q30" s="48"/>
      <c r="R30" s="48"/>
      <c r="S30" s="48"/>
      <c r="T30" s="48"/>
      <c r="U30" s="48"/>
      <c r="V30" s="48"/>
      <c r="W30" s="48"/>
    </row>
    <row r="31" spans="1:23" ht="13.5" thickBot="1">
      <c r="A31" s="642"/>
      <c r="B31" s="607"/>
      <c r="C31" s="609"/>
      <c r="D31" s="657"/>
      <c r="E31" s="659"/>
      <c r="F31" s="615"/>
      <c r="G31" s="39" t="s">
        <v>6</v>
      </c>
      <c r="H31" s="217">
        <f>H30</f>
        <v>47729</v>
      </c>
      <c r="I31" s="218">
        <f t="shared" ref="I31:J31" si="4">SUM(I30:I30)</f>
        <v>0</v>
      </c>
      <c r="J31" s="217">
        <f t="shared" si="4"/>
        <v>0</v>
      </c>
      <c r="K31" s="661"/>
      <c r="L31" s="653"/>
      <c r="M31" s="47"/>
      <c r="N31" s="79"/>
      <c r="P31" s="48"/>
      <c r="Q31" s="48"/>
      <c r="R31" s="48"/>
      <c r="S31" s="48"/>
      <c r="T31" s="48"/>
      <c r="U31" s="48"/>
      <c r="V31" s="48"/>
      <c r="W31" s="48"/>
    </row>
    <row r="32" spans="1:23" ht="13.5" thickBot="1">
      <c r="A32" s="92" t="s">
        <v>5</v>
      </c>
      <c r="B32" s="4" t="s">
        <v>5</v>
      </c>
      <c r="C32" s="545" t="s">
        <v>8</v>
      </c>
      <c r="D32" s="545"/>
      <c r="E32" s="545"/>
      <c r="F32" s="545"/>
      <c r="G32" s="545"/>
      <c r="H32" s="222">
        <f>H29+H26+H23+H21+H16+H31</f>
        <v>7332274</v>
      </c>
      <c r="I32" s="222">
        <f>I29+I26+I23+I21+I16</f>
        <v>5604785</v>
      </c>
      <c r="J32" s="222">
        <f>J29+J26+J23+J21+J16</f>
        <v>5604785</v>
      </c>
      <c r="K32" s="55"/>
      <c r="L32" s="134"/>
      <c r="M32" s="134"/>
      <c r="N32" s="135"/>
    </row>
    <row r="33" spans="1:19" ht="13.5" thickBot="1">
      <c r="A33" s="92" t="s">
        <v>5</v>
      </c>
      <c r="B33" s="4" t="s">
        <v>7</v>
      </c>
      <c r="C33" s="632" t="s">
        <v>47</v>
      </c>
      <c r="D33" s="633"/>
      <c r="E33" s="633"/>
      <c r="F33" s="633"/>
      <c r="G33" s="633"/>
      <c r="H33" s="633"/>
      <c r="I33" s="633"/>
      <c r="J33" s="633"/>
      <c r="K33" s="633"/>
      <c r="L33" s="633"/>
      <c r="M33" s="633"/>
      <c r="N33" s="634"/>
    </row>
    <row r="34" spans="1:19" ht="12.75" customHeight="1">
      <c r="A34" s="604" t="s">
        <v>5</v>
      </c>
      <c r="B34" s="606" t="s">
        <v>7</v>
      </c>
      <c r="C34" s="608" t="s">
        <v>5</v>
      </c>
      <c r="D34" s="610" t="s">
        <v>34</v>
      </c>
      <c r="E34" s="646" t="s">
        <v>73</v>
      </c>
      <c r="F34" s="614" t="s">
        <v>28</v>
      </c>
      <c r="G34" s="324" t="s">
        <v>36</v>
      </c>
      <c r="H34" s="225">
        <f>165/3.4528*1000</f>
        <v>47787</v>
      </c>
      <c r="I34" s="326">
        <f>108/3.4528*1000</f>
        <v>31279</v>
      </c>
      <c r="J34" s="314">
        <f>150/3.4528*1000</f>
        <v>43443</v>
      </c>
      <c r="K34" s="650" t="s">
        <v>71</v>
      </c>
      <c r="L34" s="82">
        <v>4</v>
      </c>
      <c r="M34" s="201">
        <v>5</v>
      </c>
      <c r="N34" s="29">
        <v>5</v>
      </c>
    </row>
    <row r="35" spans="1:19">
      <c r="A35" s="642"/>
      <c r="B35" s="643"/>
      <c r="C35" s="644"/>
      <c r="D35" s="645"/>
      <c r="E35" s="647"/>
      <c r="F35" s="649"/>
      <c r="G35" s="325"/>
      <c r="H35" s="204"/>
      <c r="I35" s="283"/>
      <c r="J35" s="233"/>
      <c r="K35" s="651"/>
      <c r="L35" s="83"/>
      <c r="M35" s="203"/>
      <c r="N35" s="34"/>
    </row>
    <row r="36" spans="1:19">
      <c r="A36" s="642"/>
      <c r="B36" s="643"/>
      <c r="C36" s="644"/>
      <c r="D36" s="645"/>
      <c r="E36" s="647"/>
      <c r="F36" s="649"/>
      <c r="G36" s="325"/>
      <c r="H36" s="206"/>
      <c r="I36" s="207"/>
      <c r="J36" s="208"/>
      <c r="K36" s="651"/>
      <c r="L36" s="83"/>
      <c r="M36" s="203"/>
      <c r="N36" s="34"/>
    </row>
    <row r="37" spans="1:19" ht="18" customHeight="1" thickBot="1">
      <c r="A37" s="605"/>
      <c r="B37" s="607"/>
      <c r="C37" s="609"/>
      <c r="D37" s="611"/>
      <c r="E37" s="648"/>
      <c r="F37" s="615"/>
      <c r="G37" s="39" t="s">
        <v>6</v>
      </c>
      <c r="H37" s="216">
        <f t="shared" ref="H37" si="5">SUM(H34:H36)</f>
        <v>47787</v>
      </c>
      <c r="I37" s="228">
        <f t="shared" ref="I37:J37" si="6">SUM(I34:I36)</f>
        <v>31279</v>
      </c>
      <c r="J37" s="216">
        <f t="shared" si="6"/>
        <v>43443</v>
      </c>
      <c r="K37" s="58" t="s">
        <v>48</v>
      </c>
      <c r="L37" s="84">
        <v>1</v>
      </c>
      <c r="M37" s="202">
        <v>1</v>
      </c>
      <c r="N37" s="30">
        <v>1</v>
      </c>
    </row>
    <row r="38" spans="1:19" ht="12.75" customHeight="1">
      <c r="A38" s="604" t="s">
        <v>5</v>
      </c>
      <c r="B38" s="606" t="s">
        <v>7</v>
      </c>
      <c r="C38" s="608" t="s">
        <v>7</v>
      </c>
      <c r="D38" s="610" t="s">
        <v>35</v>
      </c>
      <c r="E38" s="612" t="s">
        <v>92</v>
      </c>
      <c r="F38" s="614" t="s">
        <v>28</v>
      </c>
      <c r="G38" s="116" t="s">
        <v>36</v>
      </c>
      <c r="H38" s="219">
        <f>9/3.4528*1000</f>
        <v>2607</v>
      </c>
      <c r="I38" s="220">
        <f>7.4/3.4528*1000</f>
        <v>2143</v>
      </c>
      <c r="J38" s="221">
        <f>7.4/3.4528*1000</f>
        <v>2143</v>
      </c>
      <c r="K38" s="524" t="s">
        <v>39</v>
      </c>
      <c r="L38" s="82">
        <v>1</v>
      </c>
      <c r="M38" s="201">
        <v>1</v>
      </c>
      <c r="N38" s="29">
        <v>1</v>
      </c>
    </row>
    <row r="39" spans="1:19" ht="13.5" thickBot="1">
      <c r="A39" s="605"/>
      <c r="B39" s="607"/>
      <c r="C39" s="609"/>
      <c r="D39" s="611"/>
      <c r="E39" s="613"/>
      <c r="F39" s="615"/>
      <c r="G39" s="39" t="s">
        <v>6</v>
      </c>
      <c r="H39" s="217">
        <f t="shared" ref="H39:J39" si="7">SUM(H38:H38)</f>
        <v>2607</v>
      </c>
      <c r="I39" s="218">
        <f t="shared" si="7"/>
        <v>2143</v>
      </c>
      <c r="J39" s="217">
        <f t="shared" si="7"/>
        <v>2143</v>
      </c>
      <c r="K39" s="616"/>
      <c r="L39" s="230"/>
      <c r="M39" s="231"/>
      <c r="N39" s="30"/>
    </row>
    <row r="40" spans="1:19" ht="13.5" thickBot="1">
      <c r="A40" s="93" t="s">
        <v>5</v>
      </c>
      <c r="B40" s="4" t="s">
        <v>7</v>
      </c>
      <c r="C40" s="545" t="s">
        <v>8</v>
      </c>
      <c r="D40" s="545"/>
      <c r="E40" s="545"/>
      <c r="F40" s="545"/>
      <c r="G40" s="545"/>
      <c r="H40" s="222">
        <f t="shared" ref="H40" si="8">H39+H37</f>
        <v>50394</v>
      </c>
      <c r="I40" s="229">
        <f>I39+I37</f>
        <v>33422</v>
      </c>
      <c r="J40" s="222">
        <f>J39+J37</f>
        <v>45586</v>
      </c>
      <c r="K40" s="508"/>
      <c r="L40" s="508"/>
      <c r="M40" s="508"/>
      <c r="N40" s="509"/>
    </row>
    <row r="41" spans="1:19" ht="15" customHeight="1" thickBot="1">
      <c r="A41" s="92" t="s">
        <v>5</v>
      </c>
      <c r="B41" s="4" t="s">
        <v>27</v>
      </c>
      <c r="C41" s="632" t="s">
        <v>103</v>
      </c>
      <c r="D41" s="633"/>
      <c r="E41" s="633"/>
      <c r="F41" s="633"/>
      <c r="G41" s="633"/>
      <c r="H41" s="633"/>
      <c r="I41" s="633"/>
      <c r="J41" s="633"/>
      <c r="K41" s="633"/>
      <c r="L41" s="633"/>
      <c r="M41" s="633"/>
      <c r="N41" s="634"/>
    </row>
    <row r="42" spans="1:19">
      <c r="A42" s="120" t="s">
        <v>5</v>
      </c>
      <c r="B42" s="122" t="s">
        <v>27</v>
      </c>
      <c r="C42" s="124" t="s">
        <v>5</v>
      </c>
      <c r="D42" s="101" t="s">
        <v>66</v>
      </c>
      <c r="E42" s="294"/>
      <c r="F42" s="295" t="s">
        <v>28</v>
      </c>
      <c r="G42" s="385"/>
      <c r="H42" s="388"/>
      <c r="I42" s="296"/>
      <c r="J42" s="297"/>
      <c r="K42" s="298"/>
      <c r="L42" s="299"/>
      <c r="M42" s="299"/>
      <c r="N42" s="300"/>
    </row>
    <row r="43" spans="1:19" ht="24.75" customHeight="1">
      <c r="A43" s="121"/>
      <c r="B43" s="129"/>
      <c r="C43" s="130"/>
      <c r="D43" s="145" t="s">
        <v>44</v>
      </c>
      <c r="E43" s="635" t="s">
        <v>101</v>
      </c>
      <c r="F43" s="301"/>
      <c r="G43" s="290" t="s">
        <v>36</v>
      </c>
      <c r="H43" s="235">
        <f>41.6/3.4528*1000</f>
        <v>12048</v>
      </c>
      <c r="I43" s="389">
        <f>41.6/3.4528*1000</f>
        <v>12048</v>
      </c>
      <c r="J43" s="245">
        <f>41.6/3.4528*1000</f>
        <v>12048</v>
      </c>
      <c r="K43" s="302" t="s">
        <v>52</v>
      </c>
      <c r="L43" s="303">
        <v>17</v>
      </c>
      <c r="M43" s="303">
        <v>17</v>
      </c>
      <c r="N43" s="104">
        <v>17</v>
      </c>
    </row>
    <row r="44" spans="1:19" ht="32.25" customHeight="1">
      <c r="A44" s="121"/>
      <c r="B44" s="129"/>
      <c r="C44" s="130"/>
      <c r="D44" s="368" t="s">
        <v>111</v>
      </c>
      <c r="E44" s="636"/>
      <c r="F44" s="272"/>
      <c r="G44" s="395" t="s">
        <v>36</v>
      </c>
      <c r="H44" s="396">
        <f>50/3.4528*1000</f>
        <v>14481</v>
      </c>
      <c r="I44" s="232">
        <f>50/3.4528*1000</f>
        <v>14481</v>
      </c>
      <c r="J44" s="208">
        <f>50/3.4528*1000</f>
        <v>14481</v>
      </c>
      <c r="K44" s="391" t="s">
        <v>93</v>
      </c>
      <c r="L44" s="392">
        <v>6.6</v>
      </c>
      <c r="M44" s="393">
        <v>6.6</v>
      </c>
      <c r="N44" s="394">
        <v>6.6</v>
      </c>
    </row>
    <row r="45" spans="1:19" ht="17.25" customHeight="1">
      <c r="A45" s="355"/>
      <c r="B45" s="358"/>
      <c r="C45" s="360"/>
      <c r="D45" s="641" t="s">
        <v>56</v>
      </c>
      <c r="E45" s="636"/>
      <c r="F45" s="369"/>
      <c r="G45" s="384" t="s">
        <v>51</v>
      </c>
      <c r="H45" s="204">
        <v>9902</v>
      </c>
      <c r="I45" s="227"/>
      <c r="J45" s="227"/>
      <c r="K45" s="398" t="s">
        <v>133</v>
      </c>
      <c r="L45" s="390">
        <v>44.3</v>
      </c>
      <c r="M45" s="397"/>
      <c r="N45" s="59"/>
    </row>
    <row r="46" spans="1:19" ht="13.5" customHeight="1">
      <c r="A46" s="355"/>
      <c r="B46" s="358"/>
      <c r="C46" s="360"/>
      <c r="D46" s="602"/>
      <c r="E46" s="636"/>
      <c r="F46" s="369"/>
      <c r="G46" s="387"/>
      <c r="H46" s="204"/>
      <c r="I46" s="227"/>
      <c r="J46" s="227"/>
      <c r="K46" s="398" t="s">
        <v>134</v>
      </c>
      <c r="L46" s="383">
        <v>5.2</v>
      </c>
      <c r="M46" s="397"/>
      <c r="N46" s="59"/>
    </row>
    <row r="47" spans="1:19" ht="13.5" customHeight="1" thickBot="1">
      <c r="A47" s="121"/>
      <c r="B47" s="129"/>
      <c r="C47" s="130"/>
      <c r="D47" s="366"/>
      <c r="E47" s="636"/>
      <c r="F47" s="272"/>
      <c r="G47" s="39" t="s">
        <v>6</v>
      </c>
      <c r="H47" s="217">
        <f>H44+H43+H45</f>
        <v>36431</v>
      </c>
      <c r="I47" s="217">
        <f t="shared" ref="I47:J47" si="9">I44+I43+I45</f>
        <v>26529</v>
      </c>
      <c r="J47" s="217">
        <f t="shared" si="9"/>
        <v>26529</v>
      </c>
      <c r="K47" s="100"/>
      <c r="L47" s="274"/>
      <c r="M47" s="274"/>
      <c r="N47" s="34"/>
      <c r="P47" s="48"/>
      <c r="Q47" s="48"/>
      <c r="R47" s="48"/>
      <c r="S47" s="48"/>
    </row>
    <row r="48" spans="1:19" ht="24.75" customHeight="1">
      <c r="A48" s="120" t="s">
        <v>5</v>
      </c>
      <c r="B48" s="122" t="s">
        <v>27</v>
      </c>
      <c r="C48" s="124" t="s">
        <v>7</v>
      </c>
      <c r="D48" s="270" t="s">
        <v>107</v>
      </c>
      <c r="E48" s="284"/>
      <c r="F48" s="271" t="s">
        <v>28</v>
      </c>
      <c r="G48" s="14"/>
      <c r="H48" s="225"/>
      <c r="I48" s="226"/>
      <c r="J48" s="309"/>
      <c r="K48" s="310"/>
      <c r="L48" s="311"/>
      <c r="M48" s="311"/>
      <c r="N48" s="300"/>
    </row>
    <row r="49" spans="1:14" ht="77.25" customHeight="1">
      <c r="A49" s="90"/>
      <c r="B49" s="8"/>
      <c r="C49" s="46"/>
      <c r="D49" s="625" t="s">
        <v>82</v>
      </c>
      <c r="E49" s="628" t="s">
        <v>128</v>
      </c>
      <c r="F49" s="289"/>
      <c r="G49" s="290" t="s">
        <v>36</v>
      </c>
      <c r="H49" s="235">
        <f>420.797/3.4528*1000</f>
        <v>121871</v>
      </c>
      <c r="I49" s="291">
        <f>420/3.4528*1000</f>
        <v>121640</v>
      </c>
      <c r="J49" s="233">
        <f>420/3.4528*1000</f>
        <v>121640</v>
      </c>
      <c r="K49" s="312" t="s">
        <v>131</v>
      </c>
      <c r="L49" s="6">
        <v>237</v>
      </c>
      <c r="M49" s="6">
        <v>230</v>
      </c>
      <c r="N49" s="34">
        <v>230</v>
      </c>
    </row>
    <row r="50" spans="1:14" ht="26.25" customHeight="1">
      <c r="A50" s="90"/>
      <c r="B50" s="8"/>
      <c r="C50" s="46"/>
      <c r="D50" s="626"/>
      <c r="E50" s="629"/>
      <c r="F50" s="272"/>
      <c r="G50" s="15"/>
      <c r="H50" s="204"/>
      <c r="I50" s="283"/>
      <c r="J50" s="233"/>
      <c r="K50" s="105" t="s">
        <v>132</v>
      </c>
      <c r="L50" s="103">
        <v>50</v>
      </c>
      <c r="M50" s="103">
        <v>50</v>
      </c>
      <c r="N50" s="104">
        <v>50</v>
      </c>
    </row>
    <row r="51" spans="1:14" ht="23.25" customHeight="1">
      <c r="A51" s="90"/>
      <c r="B51" s="8"/>
      <c r="C51" s="46"/>
      <c r="D51" s="627"/>
      <c r="E51" s="630"/>
      <c r="F51" s="292"/>
      <c r="G51" s="109"/>
      <c r="H51" s="241"/>
      <c r="I51" s="242"/>
      <c r="J51" s="243"/>
      <c r="K51" s="293" t="s">
        <v>94</v>
      </c>
      <c r="L51" s="103">
        <v>1</v>
      </c>
      <c r="M51" s="103">
        <v>1</v>
      </c>
      <c r="N51" s="104">
        <v>1</v>
      </c>
    </row>
    <row r="52" spans="1:14" ht="17.25" customHeight="1">
      <c r="A52" s="90"/>
      <c r="B52" s="8"/>
      <c r="C52" s="46"/>
      <c r="D52" s="626" t="s">
        <v>95</v>
      </c>
      <c r="E52" s="285"/>
      <c r="F52" s="166"/>
      <c r="G52" s="36" t="s">
        <v>36</v>
      </c>
      <c r="H52" s="206">
        <f>30/3.4528*1000</f>
        <v>8689</v>
      </c>
      <c r="I52" s="207"/>
      <c r="J52" s="208"/>
      <c r="K52" s="286" t="s">
        <v>96</v>
      </c>
      <c r="L52" s="287">
        <v>1</v>
      </c>
      <c r="M52" s="287"/>
      <c r="N52" s="288"/>
    </row>
    <row r="53" spans="1:14" ht="13.5" thickBot="1">
      <c r="A53" s="90"/>
      <c r="B53" s="8"/>
      <c r="C53" s="46"/>
      <c r="D53" s="631"/>
      <c r="E53" s="161"/>
      <c r="F53" s="164"/>
      <c r="G53" s="152" t="s">
        <v>6</v>
      </c>
      <c r="H53" s="209">
        <f>H52+H49</f>
        <v>130560</v>
      </c>
      <c r="I53" s="209">
        <f t="shared" ref="I53:J53" si="10">I52+I49</f>
        <v>121640</v>
      </c>
      <c r="J53" s="209">
        <f t="shared" si="10"/>
        <v>121640</v>
      </c>
      <c r="K53" s="147"/>
      <c r="L53" s="148"/>
      <c r="M53" s="87"/>
      <c r="N53" s="31"/>
    </row>
    <row r="54" spans="1:14" ht="16.5" customHeight="1">
      <c r="A54" s="327" t="s">
        <v>5</v>
      </c>
      <c r="B54" s="328" t="s">
        <v>27</v>
      </c>
      <c r="C54" s="329" t="s">
        <v>27</v>
      </c>
      <c r="D54" s="35" t="s">
        <v>112</v>
      </c>
      <c r="E54" s="162" t="s">
        <v>57</v>
      </c>
      <c r="F54" s="165" t="s">
        <v>38</v>
      </c>
      <c r="G54" s="149"/>
      <c r="H54" s="234"/>
      <c r="I54" s="220"/>
      <c r="J54" s="221"/>
      <c r="K54" s="151"/>
      <c r="L54" s="247"/>
      <c r="M54" s="247"/>
      <c r="N54" s="102"/>
    </row>
    <row r="55" spans="1:14" ht="15.75" customHeight="1">
      <c r="A55" s="478"/>
      <c r="B55" s="479"/>
      <c r="C55" s="481"/>
      <c r="D55" s="617" t="s">
        <v>83</v>
      </c>
      <c r="E55" s="163"/>
      <c r="F55" s="139"/>
      <c r="G55" s="115" t="s">
        <v>36</v>
      </c>
      <c r="H55" s="235">
        <f>80/3.4528*1000</f>
        <v>23170</v>
      </c>
      <c r="I55" s="227"/>
      <c r="J55" s="213"/>
      <c r="K55" s="620" t="s">
        <v>72</v>
      </c>
      <c r="L55" s="160">
        <v>100</v>
      </c>
      <c r="M55" s="160"/>
      <c r="N55" s="56"/>
    </row>
    <row r="56" spans="1:14" ht="26.25" customHeight="1">
      <c r="A56" s="478"/>
      <c r="B56" s="479"/>
      <c r="C56" s="481"/>
      <c r="D56" s="618"/>
      <c r="E56" s="621" t="s">
        <v>80</v>
      </c>
      <c r="F56" s="166"/>
      <c r="G56" s="115" t="s">
        <v>37</v>
      </c>
      <c r="H56" s="235">
        <v>26500</v>
      </c>
      <c r="I56" s="236"/>
      <c r="J56" s="237"/>
      <c r="K56" s="620"/>
      <c r="L56" s="160"/>
      <c r="M56" s="160"/>
      <c r="N56" s="34"/>
    </row>
    <row r="57" spans="1:14" ht="15.75" customHeight="1">
      <c r="A57" s="478"/>
      <c r="B57" s="479"/>
      <c r="C57" s="481"/>
      <c r="D57" s="619"/>
      <c r="E57" s="622"/>
      <c r="F57" s="166"/>
      <c r="G57" s="150" t="s">
        <v>50</v>
      </c>
      <c r="H57" s="238"/>
      <c r="I57" s="239"/>
      <c r="J57" s="240"/>
      <c r="K57" s="482"/>
      <c r="L57" s="160"/>
      <c r="M57" s="160"/>
      <c r="N57" s="34"/>
    </row>
    <row r="58" spans="1:14" ht="27" customHeight="1">
      <c r="A58" s="478"/>
      <c r="B58" s="479"/>
      <c r="C58" s="480"/>
      <c r="D58" s="617" t="s">
        <v>126</v>
      </c>
      <c r="E58" s="640" t="s">
        <v>80</v>
      </c>
      <c r="F58" s="139"/>
      <c r="G58" s="336" t="s">
        <v>26</v>
      </c>
      <c r="H58" s="337">
        <f>58/3.4528*1000</f>
        <v>16798</v>
      </c>
      <c r="I58" s="338"/>
      <c r="J58" s="339"/>
      <c r="K58" s="330" t="s">
        <v>119</v>
      </c>
      <c r="L58" s="85">
        <v>100</v>
      </c>
      <c r="M58" s="331"/>
      <c r="N58" s="114"/>
    </row>
    <row r="59" spans="1:14" ht="26.25" customHeight="1">
      <c r="A59" s="332"/>
      <c r="B59" s="333"/>
      <c r="C59" s="483"/>
      <c r="D59" s="639"/>
      <c r="E59" s="622"/>
      <c r="F59" s="164"/>
      <c r="G59" s="36" t="s">
        <v>37</v>
      </c>
      <c r="H59" s="206">
        <v>994</v>
      </c>
      <c r="I59" s="207"/>
      <c r="J59" s="208"/>
      <c r="K59" s="334"/>
      <c r="L59" s="87"/>
      <c r="M59" s="335"/>
      <c r="N59" s="110"/>
    </row>
    <row r="60" spans="1:14" ht="12.75" customHeight="1">
      <c r="A60" s="121"/>
      <c r="B60" s="129"/>
      <c r="C60" s="132"/>
      <c r="D60" s="618" t="s">
        <v>74</v>
      </c>
      <c r="E60" s="621" t="s">
        <v>80</v>
      </c>
      <c r="F60" s="166"/>
      <c r="G60" s="109" t="s">
        <v>26</v>
      </c>
      <c r="H60" s="241"/>
      <c r="I60" s="242">
        <f>10/3.4528*1000</f>
        <v>2896</v>
      </c>
      <c r="J60" s="243"/>
      <c r="K60" s="2" t="s">
        <v>99</v>
      </c>
      <c r="L60" s="248"/>
      <c r="M60" s="248">
        <v>1</v>
      </c>
      <c r="N60" s="51"/>
    </row>
    <row r="61" spans="1:14">
      <c r="A61" s="121"/>
      <c r="B61" s="129"/>
      <c r="C61" s="132"/>
      <c r="D61" s="618"/>
      <c r="E61" s="637"/>
      <c r="F61" s="166"/>
      <c r="G61" s="115" t="s">
        <v>53</v>
      </c>
      <c r="H61" s="204"/>
      <c r="I61" s="227"/>
      <c r="J61" s="213">
        <f>88.1/3.4528*1000</f>
        <v>25516</v>
      </c>
      <c r="K61" s="623" t="s">
        <v>120</v>
      </c>
      <c r="L61" s="248"/>
      <c r="M61" s="248">
        <v>70</v>
      </c>
      <c r="N61" s="51">
        <v>100</v>
      </c>
    </row>
    <row r="62" spans="1:14">
      <c r="A62" s="121"/>
      <c r="B62" s="129"/>
      <c r="C62" s="132"/>
      <c r="D62" s="618"/>
      <c r="E62" s="637"/>
      <c r="F62" s="166"/>
      <c r="G62" s="113" t="s">
        <v>51</v>
      </c>
      <c r="H62" s="205"/>
      <c r="I62" s="244"/>
      <c r="J62" s="245">
        <f>88.1/3.4528*1000</f>
        <v>25516</v>
      </c>
      <c r="K62" s="624"/>
      <c r="L62" s="248"/>
      <c r="M62" s="248"/>
      <c r="N62" s="51"/>
    </row>
    <row r="63" spans="1:14">
      <c r="A63" s="121"/>
      <c r="B63" s="129"/>
      <c r="C63" s="130"/>
      <c r="D63" s="618"/>
      <c r="E63" s="637"/>
      <c r="F63" s="166"/>
      <c r="G63" s="36" t="s">
        <v>50</v>
      </c>
      <c r="H63" s="206"/>
      <c r="I63" s="207"/>
      <c r="J63" s="208">
        <f>998.4/3.4528*1000</f>
        <v>289157</v>
      </c>
      <c r="K63" s="190"/>
      <c r="L63" s="248"/>
      <c r="M63" s="248"/>
      <c r="N63" s="51"/>
    </row>
    <row r="64" spans="1:14" ht="14.25" customHeight="1" thickBot="1">
      <c r="A64" s="121"/>
      <c r="B64" s="129"/>
      <c r="C64" s="132"/>
      <c r="D64" s="188"/>
      <c r="E64" s="638"/>
      <c r="F64" s="166"/>
      <c r="G64" s="39" t="s">
        <v>6</v>
      </c>
      <c r="H64" s="217">
        <f>SUM(H55:H63)</f>
        <v>67462</v>
      </c>
      <c r="I64" s="217">
        <f>SUM(I56:I63)</f>
        <v>2896</v>
      </c>
      <c r="J64" s="217">
        <f>SUM(J56:J63)</f>
        <v>340189</v>
      </c>
      <c r="K64" s="189"/>
      <c r="L64" s="87"/>
      <c r="M64" s="203"/>
      <c r="N64" s="56"/>
    </row>
    <row r="65" spans="1:14" ht="15.75" customHeight="1">
      <c r="A65" s="136" t="s">
        <v>5</v>
      </c>
      <c r="B65" s="137" t="s">
        <v>27</v>
      </c>
      <c r="C65" s="131" t="s">
        <v>33</v>
      </c>
      <c r="D65" s="305" t="s">
        <v>106</v>
      </c>
      <c r="E65" s="595" t="s">
        <v>108</v>
      </c>
      <c r="F65" s="197" t="s">
        <v>28</v>
      </c>
      <c r="G65" s="414"/>
      <c r="H65" s="415"/>
      <c r="I65" s="226"/>
      <c r="J65" s="211"/>
      <c r="K65" s="198"/>
      <c r="L65" s="201"/>
      <c r="M65" s="201"/>
      <c r="N65" s="29"/>
    </row>
    <row r="66" spans="1:14" ht="26.25" customHeight="1">
      <c r="A66" s="194"/>
      <c r="B66" s="195"/>
      <c r="C66" s="196"/>
      <c r="D66" s="401" t="s">
        <v>45</v>
      </c>
      <c r="E66" s="596"/>
      <c r="F66" s="199"/>
      <c r="G66" s="416" t="s">
        <v>36</v>
      </c>
      <c r="H66" s="205">
        <f>130.2/3.4528*1000</f>
        <v>37709</v>
      </c>
      <c r="I66" s="244">
        <f>130/3.4528*1000</f>
        <v>37651</v>
      </c>
      <c r="J66" s="244">
        <f>130/3.4528*1000</f>
        <v>37651</v>
      </c>
      <c r="K66" s="302" t="s">
        <v>124</v>
      </c>
      <c r="L66" s="417">
        <v>1.3</v>
      </c>
      <c r="M66" s="417">
        <v>1.3</v>
      </c>
      <c r="N66" s="418">
        <v>1.3</v>
      </c>
    </row>
    <row r="67" spans="1:14" ht="17.25" customHeight="1">
      <c r="A67" s="399"/>
      <c r="B67" s="400"/>
      <c r="C67" s="408"/>
      <c r="D67" s="600" t="s">
        <v>89</v>
      </c>
      <c r="E67" s="596"/>
      <c r="F67" s="199"/>
      <c r="G67" s="108" t="s">
        <v>137</v>
      </c>
      <c r="H67" s="205">
        <v>93962</v>
      </c>
      <c r="I67" s="227"/>
      <c r="J67" s="227"/>
      <c r="K67" s="100" t="s">
        <v>139</v>
      </c>
      <c r="L67" s="437">
        <v>1</v>
      </c>
      <c r="M67" s="402"/>
      <c r="N67" s="409"/>
    </row>
    <row r="68" spans="1:14" ht="26.25" customHeight="1">
      <c r="A68" s="435"/>
      <c r="B68" s="436"/>
      <c r="C68" s="408"/>
      <c r="D68" s="601"/>
      <c r="E68" s="596"/>
      <c r="F68" s="199"/>
      <c r="G68" s="108"/>
      <c r="H68" s="205"/>
      <c r="I68" s="244"/>
      <c r="J68" s="245"/>
      <c r="K68" s="100" t="s">
        <v>140</v>
      </c>
      <c r="L68" s="437">
        <v>3.5</v>
      </c>
      <c r="M68" s="437"/>
      <c r="N68" s="409"/>
    </row>
    <row r="69" spans="1:14" ht="15.75" customHeight="1">
      <c r="A69" s="399"/>
      <c r="B69" s="400"/>
      <c r="C69" s="408"/>
      <c r="D69" s="602"/>
      <c r="E69" s="596"/>
      <c r="F69" s="199"/>
      <c r="G69" s="419"/>
      <c r="H69" s="204"/>
      <c r="I69" s="227"/>
      <c r="J69" s="227"/>
      <c r="K69" s="598" t="s">
        <v>97</v>
      </c>
      <c r="L69" s="402">
        <v>14.5</v>
      </c>
      <c r="M69" s="402"/>
      <c r="N69" s="409"/>
    </row>
    <row r="70" spans="1:14" ht="13.5" thickBot="1">
      <c r="A70" s="128"/>
      <c r="B70" s="123"/>
      <c r="C70" s="140"/>
      <c r="D70" s="603"/>
      <c r="E70" s="597"/>
      <c r="F70" s="167"/>
      <c r="G70" s="41" t="s">
        <v>6</v>
      </c>
      <c r="H70" s="217">
        <f>SUM(H66:H69)</f>
        <v>131671</v>
      </c>
      <c r="I70" s="217">
        <f t="shared" ref="I70:J70" si="11">SUM(I66:I69)</f>
        <v>37651</v>
      </c>
      <c r="J70" s="217">
        <f t="shared" si="11"/>
        <v>37651</v>
      </c>
      <c r="K70" s="599"/>
      <c r="L70" s="154"/>
      <c r="M70" s="154"/>
      <c r="N70" s="153"/>
    </row>
    <row r="71" spans="1:14" ht="13.5" thickBot="1">
      <c r="A71" s="94" t="s">
        <v>5</v>
      </c>
      <c r="B71" s="123" t="s">
        <v>27</v>
      </c>
      <c r="C71" s="587" t="s">
        <v>8</v>
      </c>
      <c r="D71" s="587"/>
      <c r="E71" s="587"/>
      <c r="F71" s="587"/>
      <c r="G71" s="587"/>
      <c r="H71" s="246">
        <f>H70+H64+H53+H47</f>
        <v>366124</v>
      </c>
      <c r="I71" s="246">
        <f>I70+I64+I53+I47</f>
        <v>188716</v>
      </c>
      <c r="J71" s="246">
        <f>J70+J64+J53+J47</f>
        <v>526009</v>
      </c>
      <c r="K71" s="588"/>
      <c r="L71" s="589"/>
      <c r="M71" s="589"/>
      <c r="N71" s="590"/>
    </row>
    <row r="72" spans="1:14" ht="13.5" thickBot="1">
      <c r="A72" s="92" t="s">
        <v>5</v>
      </c>
      <c r="B72" s="4" t="s">
        <v>33</v>
      </c>
      <c r="C72" s="591" t="s">
        <v>127</v>
      </c>
      <c r="D72" s="592"/>
      <c r="E72" s="592"/>
      <c r="F72" s="592"/>
      <c r="G72" s="593"/>
      <c r="H72" s="593"/>
      <c r="I72" s="593"/>
      <c r="J72" s="593"/>
      <c r="K72" s="592"/>
      <c r="L72" s="592"/>
      <c r="M72" s="592"/>
      <c r="N72" s="594"/>
    </row>
    <row r="73" spans="1:14" ht="12.75" customHeight="1">
      <c r="A73" s="168" t="s">
        <v>5</v>
      </c>
      <c r="B73" s="171" t="s">
        <v>33</v>
      </c>
      <c r="C73" s="174" t="s">
        <v>5</v>
      </c>
      <c r="D73" s="578" t="s">
        <v>85</v>
      </c>
      <c r="E73" s="581" t="s">
        <v>57</v>
      </c>
      <c r="F73" s="584" t="s">
        <v>38</v>
      </c>
      <c r="G73" s="180" t="s">
        <v>36</v>
      </c>
      <c r="H73" s="249">
        <f>6.8/3.4528*1000</f>
        <v>1969</v>
      </c>
      <c r="I73" s="221"/>
      <c r="J73" s="221"/>
      <c r="K73" s="524" t="s">
        <v>102</v>
      </c>
      <c r="L73" s="82"/>
      <c r="M73" s="126"/>
      <c r="N73" s="29"/>
    </row>
    <row r="74" spans="1:14">
      <c r="A74" s="169"/>
      <c r="B74" s="172"/>
      <c r="C74" s="175"/>
      <c r="D74" s="579"/>
      <c r="E74" s="582"/>
      <c r="F74" s="585"/>
      <c r="G74" s="181" t="s">
        <v>26</v>
      </c>
      <c r="H74" s="250">
        <f>152.6/3.4528*1000</f>
        <v>44196</v>
      </c>
      <c r="I74" s="232"/>
      <c r="J74" s="232"/>
      <c r="K74" s="525"/>
      <c r="L74" s="83">
        <v>100</v>
      </c>
      <c r="M74" s="203"/>
      <c r="N74" s="34"/>
    </row>
    <row r="75" spans="1:14" ht="16.5" customHeight="1" thickBot="1">
      <c r="A75" s="170"/>
      <c r="B75" s="173"/>
      <c r="C75" s="176"/>
      <c r="D75" s="580"/>
      <c r="E75" s="583"/>
      <c r="F75" s="586"/>
      <c r="G75" s="42" t="s">
        <v>6</v>
      </c>
      <c r="H75" s="251">
        <f>H74+H73</f>
        <v>46165</v>
      </c>
      <c r="I75" s="217"/>
      <c r="J75" s="217"/>
      <c r="K75" s="526"/>
      <c r="L75" s="84"/>
      <c r="M75" s="202"/>
      <c r="N75" s="30"/>
    </row>
    <row r="76" spans="1:14" ht="21" customHeight="1">
      <c r="A76" s="513" t="s">
        <v>5</v>
      </c>
      <c r="B76" s="515" t="s">
        <v>33</v>
      </c>
      <c r="C76" s="517" t="s">
        <v>7</v>
      </c>
      <c r="D76" s="519" t="s">
        <v>130</v>
      </c>
      <c r="E76" s="521" t="s">
        <v>109</v>
      </c>
      <c r="F76" s="322" t="s">
        <v>38</v>
      </c>
      <c r="G76" s="52" t="s">
        <v>36</v>
      </c>
      <c r="H76" s="219">
        <f>32.4/3.4528*1000</f>
        <v>9384</v>
      </c>
      <c r="I76" s="252"/>
      <c r="J76" s="253"/>
      <c r="K76" s="510" t="s">
        <v>125</v>
      </c>
      <c r="L76" s="156">
        <v>100</v>
      </c>
      <c r="M76" s="159"/>
      <c r="N76" s="62"/>
    </row>
    <row r="77" spans="1:14" ht="16.5" customHeight="1">
      <c r="A77" s="513"/>
      <c r="B77" s="515"/>
      <c r="C77" s="517"/>
      <c r="D77" s="519"/>
      <c r="E77" s="522"/>
      <c r="F77" s="320" t="s">
        <v>28</v>
      </c>
      <c r="G77" s="347" t="s">
        <v>36</v>
      </c>
      <c r="H77" s="337">
        <f>49.9/3.4528*1000</f>
        <v>14452</v>
      </c>
      <c r="I77" s="348"/>
      <c r="J77" s="349"/>
      <c r="K77" s="511"/>
      <c r="L77" s="157"/>
      <c r="M77" s="160"/>
      <c r="N77" s="63"/>
    </row>
    <row r="78" spans="1:14" ht="16.5" customHeight="1">
      <c r="A78" s="513"/>
      <c r="B78" s="515"/>
      <c r="C78" s="517"/>
      <c r="D78" s="519"/>
      <c r="E78" s="522"/>
      <c r="F78" s="346"/>
      <c r="G78" s="350" t="s">
        <v>37</v>
      </c>
      <c r="H78" s="238">
        <v>25343</v>
      </c>
      <c r="I78" s="351"/>
      <c r="J78" s="315"/>
      <c r="K78" s="511"/>
      <c r="L78" s="157"/>
      <c r="M78" s="160"/>
      <c r="N78" s="63"/>
    </row>
    <row r="79" spans="1:14" ht="15" customHeight="1" thickBot="1">
      <c r="A79" s="514"/>
      <c r="B79" s="516"/>
      <c r="C79" s="518"/>
      <c r="D79" s="520"/>
      <c r="E79" s="523"/>
      <c r="F79" s="321"/>
      <c r="G79" s="40" t="s">
        <v>6</v>
      </c>
      <c r="H79" s="216">
        <f>SUM(H76:H78)</f>
        <v>49179</v>
      </c>
      <c r="I79" s="216"/>
      <c r="J79" s="216"/>
      <c r="K79" s="512"/>
      <c r="L79" s="158"/>
      <c r="M79" s="191"/>
      <c r="N79" s="61"/>
    </row>
    <row r="80" spans="1:14" ht="12.75" customHeight="1">
      <c r="A80" s="530" t="s">
        <v>5</v>
      </c>
      <c r="B80" s="531" t="s">
        <v>33</v>
      </c>
      <c r="C80" s="532" t="s">
        <v>27</v>
      </c>
      <c r="D80" s="533" t="s">
        <v>67</v>
      </c>
      <c r="E80" s="534" t="s">
        <v>57</v>
      </c>
      <c r="F80" s="537" t="s">
        <v>38</v>
      </c>
      <c r="G80" s="155" t="s">
        <v>26</v>
      </c>
      <c r="H80" s="313">
        <f>135.4/3.4528*1000</f>
        <v>39215</v>
      </c>
      <c r="I80" s="211"/>
      <c r="J80" s="211"/>
      <c r="K80" s="524" t="s">
        <v>114</v>
      </c>
      <c r="L80" s="82"/>
      <c r="M80" s="201"/>
      <c r="N80" s="484"/>
    </row>
    <row r="81" spans="1:31">
      <c r="A81" s="513"/>
      <c r="B81" s="515"/>
      <c r="C81" s="517"/>
      <c r="D81" s="519"/>
      <c r="E81" s="535"/>
      <c r="F81" s="538"/>
      <c r="G81" s="155" t="s">
        <v>53</v>
      </c>
      <c r="H81" s="205">
        <f>630.9/3.4528*1000</f>
        <v>182721</v>
      </c>
      <c r="I81" s="245"/>
      <c r="J81" s="245"/>
      <c r="K81" s="525"/>
      <c r="L81" s="83">
        <v>100</v>
      </c>
      <c r="M81" s="203"/>
      <c r="N81" s="485"/>
    </row>
    <row r="82" spans="1:31">
      <c r="A82" s="513"/>
      <c r="B82" s="515"/>
      <c r="C82" s="517"/>
      <c r="D82" s="519"/>
      <c r="E82" s="535"/>
      <c r="F82" s="538"/>
      <c r="G82" s="318"/>
      <c r="H82" s="319"/>
      <c r="I82" s="213"/>
      <c r="J82" s="213"/>
      <c r="K82" s="525"/>
      <c r="L82" s="83"/>
      <c r="M82" s="316"/>
      <c r="N82" s="317"/>
    </row>
    <row r="83" spans="1:31" ht="13.5" thickBot="1">
      <c r="A83" s="514"/>
      <c r="B83" s="516"/>
      <c r="C83" s="518"/>
      <c r="D83" s="520"/>
      <c r="E83" s="536"/>
      <c r="F83" s="539"/>
      <c r="G83" s="39" t="s">
        <v>6</v>
      </c>
      <c r="H83" s="218">
        <f>SUM(H80:H82)</f>
        <v>221936</v>
      </c>
      <c r="I83" s="217"/>
      <c r="J83" s="217"/>
      <c r="K83" s="526"/>
      <c r="L83" s="84"/>
      <c r="M83" s="202"/>
      <c r="N83" s="30"/>
    </row>
    <row r="84" spans="1:31" ht="16.5" customHeight="1">
      <c r="A84" s="546" t="s">
        <v>5</v>
      </c>
      <c r="B84" s="549" t="s">
        <v>33</v>
      </c>
      <c r="C84" s="552" t="s">
        <v>33</v>
      </c>
      <c r="D84" s="555" t="s">
        <v>98</v>
      </c>
      <c r="E84" s="558" t="s">
        <v>113</v>
      </c>
      <c r="F84" s="501" t="s">
        <v>38</v>
      </c>
      <c r="G84" s="37" t="s">
        <v>50</v>
      </c>
      <c r="H84" s="255"/>
      <c r="I84" s="256"/>
      <c r="J84" s="257"/>
      <c r="K84" s="138" t="s">
        <v>118</v>
      </c>
      <c r="L84" s="159"/>
      <c r="M84" s="159"/>
      <c r="N84" s="62"/>
    </row>
    <row r="85" spans="1:31" ht="13.5" customHeight="1">
      <c r="A85" s="547"/>
      <c r="B85" s="550"/>
      <c r="C85" s="553"/>
      <c r="D85" s="556"/>
      <c r="E85" s="559"/>
      <c r="F85" s="502"/>
      <c r="G85" s="38" t="s">
        <v>36</v>
      </c>
      <c r="H85" s="258"/>
      <c r="I85" s="259">
        <f>133/3.4528*1000</f>
        <v>38519</v>
      </c>
      <c r="J85" s="253"/>
      <c r="L85" s="160"/>
      <c r="M85" s="160">
        <v>1</v>
      </c>
      <c r="N85" s="63"/>
    </row>
    <row r="86" spans="1:31" ht="13.5" thickBot="1">
      <c r="A86" s="548"/>
      <c r="B86" s="551"/>
      <c r="C86" s="554"/>
      <c r="D86" s="557"/>
      <c r="E86" s="560"/>
      <c r="F86" s="503"/>
      <c r="G86" s="43" t="s">
        <v>6</v>
      </c>
      <c r="H86" s="260">
        <f>H85</f>
        <v>0</v>
      </c>
      <c r="I86" s="254">
        <f>I85</f>
        <v>38519</v>
      </c>
      <c r="J86" s="216"/>
      <c r="K86" s="119"/>
      <c r="L86" s="106"/>
      <c r="M86" s="106"/>
      <c r="N86" s="107"/>
    </row>
    <row r="87" spans="1:31" ht="13.5" thickBot="1">
      <c r="A87" s="128" t="s">
        <v>7</v>
      </c>
      <c r="B87" s="123" t="s">
        <v>33</v>
      </c>
      <c r="C87" s="544" t="s">
        <v>8</v>
      </c>
      <c r="D87" s="545"/>
      <c r="E87" s="545"/>
      <c r="F87" s="545"/>
      <c r="G87" s="545"/>
      <c r="H87" s="222">
        <f>H86+H79+H75+H83</f>
        <v>317280</v>
      </c>
      <c r="I87" s="222">
        <f t="shared" ref="I87:J87" si="12">I86+I79+I75+I83</f>
        <v>38519</v>
      </c>
      <c r="J87" s="222">
        <f t="shared" si="12"/>
        <v>0</v>
      </c>
      <c r="K87" s="508"/>
      <c r="L87" s="508"/>
      <c r="M87" s="508"/>
      <c r="N87" s="509"/>
    </row>
    <row r="88" spans="1:31" ht="13.5" thickBot="1">
      <c r="A88" s="93" t="s">
        <v>5</v>
      </c>
      <c r="B88" s="499" t="s">
        <v>9</v>
      </c>
      <c r="C88" s="500"/>
      <c r="D88" s="500"/>
      <c r="E88" s="500"/>
      <c r="F88" s="500"/>
      <c r="G88" s="500"/>
      <c r="H88" s="261">
        <f>H87+H71+H40+H32</f>
        <v>8066072</v>
      </c>
      <c r="I88" s="262">
        <f>I87+I71+I40+I32</f>
        <v>5865442</v>
      </c>
      <c r="J88" s="261">
        <f>J87+J71+J40+J32</f>
        <v>6176380</v>
      </c>
      <c r="K88" s="504"/>
      <c r="L88" s="504"/>
      <c r="M88" s="504"/>
      <c r="N88" s="505"/>
    </row>
    <row r="89" spans="1:31" ht="13.5" thickBot="1">
      <c r="A89" s="11" t="s">
        <v>32</v>
      </c>
      <c r="B89" s="540" t="s">
        <v>68</v>
      </c>
      <c r="C89" s="541"/>
      <c r="D89" s="541"/>
      <c r="E89" s="541"/>
      <c r="F89" s="541"/>
      <c r="G89" s="541"/>
      <c r="H89" s="263">
        <f>H88</f>
        <v>8066072</v>
      </c>
      <c r="I89" s="264">
        <f>I88</f>
        <v>5865442</v>
      </c>
      <c r="J89" s="263">
        <f t="shared" ref="J89" si="13">J88</f>
        <v>6176380</v>
      </c>
      <c r="K89" s="506"/>
      <c r="L89" s="506"/>
      <c r="M89" s="506"/>
      <c r="N89" s="507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</row>
    <row r="90" spans="1:31" s="16" customFormat="1" ht="12.75" customHeight="1">
      <c r="A90" s="542"/>
      <c r="B90" s="543"/>
      <c r="C90" s="543"/>
      <c r="D90" s="543"/>
      <c r="E90" s="543"/>
      <c r="F90" s="543"/>
      <c r="G90" s="543"/>
      <c r="H90" s="64"/>
      <c r="I90" s="65"/>
      <c r="J90" s="65"/>
      <c r="K90" s="25"/>
      <c r="L90" s="25"/>
      <c r="M90" s="25"/>
      <c r="N90" s="25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</row>
    <row r="91" spans="1:31" s="16" customFormat="1" ht="16.5" customHeight="1" thickBot="1">
      <c r="A91" s="492" t="s">
        <v>13</v>
      </c>
      <c r="B91" s="492"/>
      <c r="C91" s="492"/>
      <c r="D91" s="492"/>
      <c r="E91" s="492"/>
      <c r="F91" s="492"/>
      <c r="G91" s="492"/>
      <c r="H91" s="68"/>
      <c r="I91" s="68"/>
      <c r="J91" s="68"/>
      <c r="K91" s="69"/>
      <c r="L91" s="1"/>
      <c r="M91" s="1"/>
      <c r="N91" s="1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</row>
    <row r="92" spans="1:31" ht="45" customHeight="1" thickBot="1">
      <c r="A92" s="493" t="s">
        <v>10</v>
      </c>
      <c r="B92" s="494"/>
      <c r="C92" s="494"/>
      <c r="D92" s="494"/>
      <c r="E92" s="494"/>
      <c r="F92" s="494"/>
      <c r="G92" s="495"/>
      <c r="H92" s="269" t="s">
        <v>86</v>
      </c>
      <c r="I92" s="54" t="s">
        <v>90</v>
      </c>
      <c r="J92" s="54" t="s">
        <v>91</v>
      </c>
      <c r="N92" s="3"/>
    </row>
    <row r="93" spans="1:31">
      <c r="A93" s="496" t="s">
        <v>14</v>
      </c>
      <c r="B93" s="497"/>
      <c r="C93" s="497"/>
      <c r="D93" s="497"/>
      <c r="E93" s="497"/>
      <c r="F93" s="497"/>
      <c r="G93" s="498"/>
      <c r="H93" s="265">
        <f>H94+H100+H101</f>
        <v>6835857</v>
      </c>
      <c r="I93" s="265">
        <f>I94+I100+I101</f>
        <v>5865442</v>
      </c>
      <c r="J93" s="265">
        <f ca="1">J94+J100+J101</f>
        <v>5861707</v>
      </c>
      <c r="K93" s="5"/>
    </row>
    <row r="94" spans="1:31" ht="12.75" customHeight="1">
      <c r="A94" s="486" t="s">
        <v>110</v>
      </c>
      <c r="B94" s="487"/>
      <c r="C94" s="487"/>
      <c r="D94" s="487"/>
      <c r="E94" s="487"/>
      <c r="F94" s="487"/>
      <c r="G94" s="488"/>
      <c r="H94" s="266">
        <f>H95+H96+H97+H98+H99</f>
        <v>5576440</v>
      </c>
      <c r="I94" s="266">
        <f>I95+I96+I97+I98</f>
        <v>5387511</v>
      </c>
      <c r="J94" s="266">
        <f ca="1">J95+J96+J97+J98</f>
        <v>5383776</v>
      </c>
      <c r="K94" s="5"/>
    </row>
    <row r="95" spans="1:31">
      <c r="A95" s="489" t="s">
        <v>19</v>
      </c>
      <c r="B95" s="490"/>
      <c r="C95" s="490"/>
      <c r="D95" s="490"/>
      <c r="E95" s="490"/>
      <c r="F95" s="490"/>
      <c r="G95" s="491"/>
      <c r="H95" s="208">
        <f>SUMIF(G12:G89,"SB",H12:H89)</f>
        <v>100209</v>
      </c>
      <c r="I95" s="208">
        <f>SUMIF(G12:G89,"SB",I12:I89)</f>
        <v>2896</v>
      </c>
      <c r="J95" s="208">
        <f>SUMIF(G12:G89,"SB",J12:J89)</f>
        <v>0</v>
      </c>
      <c r="K95" s="95"/>
      <c r="L95" s="10"/>
      <c r="M95" s="10"/>
    </row>
    <row r="96" spans="1:31" ht="30" customHeight="1">
      <c r="A96" s="573" t="s">
        <v>20</v>
      </c>
      <c r="B96" s="574"/>
      <c r="C96" s="574"/>
      <c r="D96" s="574"/>
      <c r="E96" s="574"/>
      <c r="F96" s="574"/>
      <c r="G96" s="575"/>
      <c r="H96" s="208">
        <f>SUMIF(G12:G88,"SB(AA)",H12:H88)</f>
        <v>384615</v>
      </c>
      <c r="I96" s="208">
        <f>SUMIF(G12:G88,"SB(AA)",I12:I88)</f>
        <v>350150</v>
      </c>
      <c r="J96" s="208">
        <f ca="1">SUMIF(G12:G89,"SB(AA)",J12:J88)</f>
        <v>323795</v>
      </c>
      <c r="K96" s="5"/>
    </row>
    <row r="97" spans="1:15">
      <c r="A97" s="573" t="s">
        <v>77</v>
      </c>
      <c r="B97" s="574"/>
      <c r="C97" s="574"/>
      <c r="D97" s="574"/>
      <c r="E97" s="574"/>
      <c r="F97" s="574"/>
      <c r="G97" s="575"/>
      <c r="H97" s="208">
        <f>SUMIF(G12:G89,"SB(VR)",H12:H89)</f>
        <v>4814933</v>
      </c>
      <c r="I97" s="208">
        <f>SUMIF(G12:G89,"SB(VR)",I12:I89)</f>
        <v>5034465</v>
      </c>
      <c r="J97" s="208">
        <f>SUMIF(G12:G89,"SB(VR)",J12:J89)</f>
        <v>5034465</v>
      </c>
      <c r="K97" s="95"/>
      <c r="L97" s="10"/>
      <c r="M97" s="10"/>
    </row>
    <row r="98" spans="1:15">
      <c r="A98" s="573" t="s">
        <v>22</v>
      </c>
      <c r="B98" s="574"/>
      <c r="C98" s="574"/>
      <c r="D98" s="574"/>
      <c r="E98" s="574"/>
      <c r="F98" s="574"/>
      <c r="G98" s="575"/>
      <c r="H98" s="208">
        <f>SUMIF(G12:G89,"SB(P)",H12:H89)</f>
        <v>182721</v>
      </c>
      <c r="I98" s="208">
        <f>SUMIF(G12:G89,"SB(P)",I12:I89)</f>
        <v>0</v>
      </c>
      <c r="J98" s="208">
        <f>SUMIF(G12:G89,"SB(P)",J12:J89)</f>
        <v>25516</v>
      </c>
      <c r="K98" s="95"/>
      <c r="L98" s="10"/>
      <c r="M98" s="10"/>
    </row>
    <row r="99" spans="1:15">
      <c r="A99" s="573" t="s">
        <v>136</v>
      </c>
      <c r="B99" s="576"/>
      <c r="C99" s="576"/>
      <c r="D99" s="576"/>
      <c r="E99" s="576"/>
      <c r="F99" s="576"/>
      <c r="G99" s="577"/>
      <c r="H99" s="208">
        <f>SUMIF(G13:G89,"SB(VB)",H13:H89)</f>
        <v>93962</v>
      </c>
      <c r="I99" s="208"/>
      <c r="J99" s="208"/>
      <c r="K99" s="95"/>
      <c r="L99" s="10"/>
      <c r="M99" s="10"/>
    </row>
    <row r="100" spans="1:15" ht="26.25" customHeight="1">
      <c r="A100" s="567" t="s">
        <v>21</v>
      </c>
      <c r="B100" s="568"/>
      <c r="C100" s="568"/>
      <c r="D100" s="568"/>
      <c r="E100" s="568"/>
      <c r="F100" s="568"/>
      <c r="G100" s="569"/>
      <c r="H100" s="206">
        <f>SUMIF(G14:G89,"SB(AAL)",H14:H89)</f>
        <v>52837</v>
      </c>
      <c r="I100" s="206">
        <f>SUMIF(G14:G89,"SB(AAL)",I14:I89)</f>
        <v>0</v>
      </c>
      <c r="J100" s="206">
        <f ca="1">SUMIF(G17:G93,"SB(X110AAL)",J17:J89)</f>
        <v>0</v>
      </c>
      <c r="K100" s="95"/>
      <c r="L100" s="10"/>
      <c r="M100" s="10"/>
      <c r="O100" s="53"/>
    </row>
    <row r="101" spans="1:15" ht="15.75" customHeight="1">
      <c r="A101" s="567" t="s">
        <v>79</v>
      </c>
      <c r="B101" s="568"/>
      <c r="C101" s="568"/>
      <c r="D101" s="568"/>
      <c r="E101" s="568"/>
      <c r="F101" s="568"/>
      <c r="G101" s="569"/>
      <c r="H101" s="206">
        <f>SUMIF(G12:G87,"SB(VRL)",H12:H89)</f>
        <v>1206580</v>
      </c>
      <c r="I101" s="206">
        <f>SUMIF(G14:G89,"SB(VRL)",I14:I89)</f>
        <v>477931</v>
      </c>
      <c r="J101" s="206">
        <f>SUMIF(G14:G89,"SB(VRL)",J14:J89)</f>
        <v>477931</v>
      </c>
      <c r="K101" s="5"/>
    </row>
    <row r="102" spans="1:15">
      <c r="A102" s="570" t="s">
        <v>15</v>
      </c>
      <c r="B102" s="571"/>
      <c r="C102" s="571"/>
      <c r="D102" s="571"/>
      <c r="E102" s="571"/>
      <c r="F102" s="571"/>
      <c r="G102" s="572"/>
      <c r="H102" s="267">
        <f>H103+H104+H105</f>
        <v>1230215</v>
      </c>
      <c r="I102" s="267">
        <f>I103+I104+I105</f>
        <v>0</v>
      </c>
      <c r="J102" s="267">
        <f>J103+J104+J105</f>
        <v>314673</v>
      </c>
      <c r="K102" s="96"/>
      <c r="L102" s="17"/>
      <c r="M102" s="17"/>
    </row>
    <row r="103" spans="1:15">
      <c r="A103" s="564" t="s">
        <v>23</v>
      </c>
      <c r="B103" s="565"/>
      <c r="C103" s="565"/>
      <c r="D103" s="565"/>
      <c r="E103" s="565"/>
      <c r="F103" s="565"/>
      <c r="G103" s="566"/>
      <c r="H103" s="208">
        <f>SUMIF(G12:G89,"ES",H12:H89)</f>
        <v>1055317</v>
      </c>
      <c r="I103" s="208">
        <f>SUMIF(G12:G89,"ES",I12:I89)</f>
        <v>0</v>
      </c>
      <c r="J103" s="208">
        <f>SUMIF(G12:G89,"ES",J12:J89)</f>
        <v>289157</v>
      </c>
      <c r="K103" s="5"/>
    </row>
    <row r="104" spans="1:15">
      <c r="A104" s="527" t="s">
        <v>24</v>
      </c>
      <c r="B104" s="528"/>
      <c r="C104" s="528"/>
      <c r="D104" s="528"/>
      <c r="E104" s="528"/>
      <c r="F104" s="528"/>
      <c r="G104" s="529"/>
      <c r="H104" s="208">
        <f>SUMIF(G14:G89,"LRVB",H14:H89)</f>
        <v>57631</v>
      </c>
      <c r="I104" s="208">
        <f>SUMIF(G14:G89,"LRVB",I14:I89)</f>
        <v>0</v>
      </c>
      <c r="J104" s="208">
        <f>SUMIF(G14:G89,"LRVB",J14:J89)</f>
        <v>25516</v>
      </c>
      <c r="K104" s="5"/>
    </row>
    <row r="105" spans="1:15">
      <c r="A105" s="527" t="s">
        <v>69</v>
      </c>
      <c r="B105" s="528"/>
      <c r="C105" s="528"/>
      <c r="D105" s="528"/>
      <c r="E105" s="528"/>
      <c r="F105" s="528"/>
      <c r="G105" s="529"/>
      <c r="H105" s="208">
        <f>SUMIF(G12:G89,"Kt",H12:H89)</f>
        <v>117267</v>
      </c>
      <c r="I105" s="208">
        <f>SUMIF(G12:G89,"Kt",I12:I89)</f>
        <v>0</v>
      </c>
      <c r="J105" s="208">
        <f>SUMIF(G12:G89,"Kt",J12:J89)</f>
        <v>0</v>
      </c>
      <c r="K105" s="5"/>
    </row>
    <row r="106" spans="1:15" ht="13.5" thickBot="1">
      <c r="A106" s="561" t="s">
        <v>16</v>
      </c>
      <c r="B106" s="562"/>
      <c r="C106" s="562"/>
      <c r="D106" s="562"/>
      <c r="E106" s="562"/>
      <c r="F106" s="562"/>
      <c r="G106" s="563"/>
      <c r="H106" s="268">
        <f>H102+H93</f>
        <v>8066072</v>
      </c>
      <c r="I106" s="268">
        <f>I102+I93</f>
        <v>5865442</v>
      </c>
      <c r="J106" s="268">
        <f ca="1">J102+J93</f>
        <v>6176380</v>
      </c>
      <c r="K106" s="48"/>
      <c r="L106" s="2"/>
      <c r="M106" s="2"/>
      <c r="N106" s="19"/>
    </row>
    <row r="109" spans="1:15">
      <c r="A109" s="2"/>
      <c r="B109" s="2"/>
      <c r="C109" s="2"/>
      <c r="D109" s="2"/>
      <c r="E109" s="2"/>
      <c r="F109" s="2"/>
      <c r="G109" s="2"/>
      <c r="H109" s="66"/>
      <c r="I109" s="66"/>
      <c r="J109" s="66"/>
      <c r="K109" s="2"/>
      <c r="L109" s="2"/>
      <c r="M109" s="2"/>
      <c r="N109" s="2"/>
    </row>
    <row r="111" spans="1:15">
      <c r="A111" s="2"/>
      <c r="B111" s="2"/>
      <c r="C111" s="2"/>
      <c r="D111" s="2"/>
      <c r="E111" s="2"/>
      <c r="F111" s="2"/>
      <c r="G111" s="2"/>
      <c r="H111" s="66"/>
      <c r="K111" s="2"/>
      <c r="L111" s="2"/>
      <c r="M111" s="2"/>
      <c r="N111" s="2"/>
    </row>
  </sheetData>
  <mergeCells count="146">
    <mergeCell ref="A1:N1"/>
    <mergeCell ref="A2:N2"/>
    <mergeCell ref="A3:N3"/>
    <mergeCell ref="L4:N4"/>
    <mergeCell ref="A5:A7"/>
    <mergeCell ref="B5:B7"/>
    <mergeCell ref="C5:C7"/>
    <mergeCell ref="D5:D7"/>
    <mergeCell ref="E5:E7"/>
    <mergeCell ref="A9:N9"/>
    <mergeCell ref="B10:N10"/>
    <mergeCell ref="C11:N11"/>
    <mergeCell ref="E12:E16"/>
    <mergeCell ref="F12:F16"/>
    <mergeCell ref="K15:K16"/>
    <mergeCell ref="D15:D16"/>
    <mergeCell ref="K6:K7"/>
    <mergeCell ref="L6:N6"/>
    <mergeCell ref="A8:N8"/>
    <mergeCell ref="I5:I7"/>
    <mergeCell ref="J5:J7"/>
    <mergeCell ref="K5:N5"/>
    <mergeCell ref="F5:F7"/>
    <mergeCell ref="G5:G7"/>
    <mergeCell ref="H5:H7"/>
    <mergeCell ref="D12:D13"/>
    <mergeCell ref="F22:F23"/>
    <mergeCell ref="K22:K23"/>
    <mergeCell ref="A24:A26"/>
    <mergeCell ref="B24:B26"/>
    <mergeCell ref="C24:C26"/>
    <mergeCell ref="D24:D26"/>
    <mergeCell ref="F24:F26"/>
    <mergeCell ref="F18:F20"/>
    <mergeCell ref="A22:A23"/>
    <mergeCell ref="B22:B23"/>
    <mergeCell ref="C22:C23"/>
    <mergeCell ref="D22:D23"/>
    <mergeCell ref="E22:E23"/>
    <mergeCell ref="A18:A20"/>
    <mergeCell ref="B18:B20"/>
    <mergeCell ref="C18:C20"/>
    <mergeCell ref="D18:D19"/>
    <mergeCell ref="E18:E20"/>
    <mergeCell ref="K24:K26"/>
    <mergeCell ref="E25:E26"/>
    <mergeCell ref="A27:A29"/>
    <mergeCell ref="B27:B29"/>
    <mergeCell ref="C27:C29"/>
    <mergeCell ref="D27:D29"/>
    <mergeCell ref="E27:E29"/>
    <mergeCell ref="F27:F29"/>
    <mergeCell ref="L30:L31"/>
    <mergeCell ref="K27:K29"/>
    <mergeCell ref="A30:A31"/>
    <mergeCell ref="B30:B31"/>
    <mergeCell ref="C30:C31"/>
    <mergeCell ref="D30:D31"/>
    <mergeCell ref="E30:E31"/>
    <mergeCell ref="F30:F31"/>
    <mergeCell ref="K30:K31"/>
    <mergeCell ref="C32:G32"/>
    <mergeCell ref="C33:N33"/>
    <mergeCell ref="A34:A37"/>
    <mergeCell ref="B34:B37"/>
    <mergeCell ref="C34:C37"/>
    <mergeCell ref="D34:D37"/>
    <mergeCell ref="E34:E37"/>
    <mergeCell ref="F34:F37"/>
    <mergeCell ref="K34:K36"/>
    <mergeCell ref="D60:D63"/>
    <mergeCell ref="K61:K62"/>
    <mergeCell ref="D49:D51"/>
    <mergeCell ref="E49:E51"/>
    <mergeCell ref="D52:D53"/>
    <mergeCell ref="C40:G40"/>
    <mergeCell ref="K40:N40"/>
    <mergeCell ref="C41:N41"/>
    <mergeCell ref="E43:E47"/>
    <mergeCell ref="E60:E64"/>
    <mergeCell ref="D58:D59"/>
    <mergeCell ref="E58:E59"/>
    <mergeCell ref="D45:D46"/>
    <mergeCell ref="A38:A39"/>
    <mergeCell ref="B38:B39"/>
    <mergeCell ref="C38:C39"/>
    <mergeCell ref="D38:D39"/>
    <mergeCell ref="E38:E39"/>
    <mergeCell ref="F38:F39"/>
    <mergeCell ref="K38:K39"/>
    <mergeCell ref="D55:D57"/>
    <mergeCell ref="K55:K56"/>
    <mergeCell ref="E56:E57"/>
    <mergeCell ref="D73:D75"/>
    <mergeCell ref="E73:E75"/>
    <mergeCell ref="F73:F75"/>
    <mergeCell ref="K73:K75"/>
    <mergeCell ref="C71:G71"/>
    <mergeCell ref="K71:N71"/>
    <mergeCell ref="C72:N72"/>
    <mergeCell ref="E65:E70"/>
    <mergeCell ref="K69:K70"/>
    <mergeCell ref="D67:D70"/>
    <mergeCell ref="A106:G106"/>
    <mergeCell ref="A103:G103"/>
    <mergeCell ref="A104:G104"/>
    <mergeCell ref="A101:G101"/>
    <mergeCell ref="A102:G102"/>
    <mergeCell ref="A98:G98"/>
    <mergeCell ref="A100:G100"/>
    <mergeCell ref="A96:G96"/>
    <mergeCell ref="A97:G97"/>
    <mergeCell ref="A99:G99"/>
    <mergeCell ref="K76:K79"/>
    <mergeCell ref="A76:A79"/>
    <mergeCell ref="B76:B79"/>
    <mergeCell ref="C76:C79"/>
    <mergeCell ref="D76:D79"/>
    <mergeCell ref="E76:E79"/>
    <mergeCell ref="K80:K83"/>
    <mergeCell ref="A105:G105"/>
    <mergeCell ref="A80:A83"/>
    <mergeCell ref="B80:B83"/>
    <mergeCell ref="C80:C83"/>
    <mergeCell ref="D80:D83"/>
    <mergeCell ref="E80:E83"/>
    <mergeCell ref="F80:F83"/>
    <mergeCell ref="B89:G89"/>
    <mergeCell ref="A90:G90"/>
    <mergeCell ref="C87:G87"/>
    <mergeCell ref="A84:A86"/>
    <mergeCell ref="B84:B86"/>
    <mergeCell ref="C84:C86"/>
    <mergeCell ref="D84:D86"/>
    <mergeCell ref="E84:E86"/>
    <mergeCell ref="N80:N81"/>
    <mergeCell ref="A94:G94"/>
    <mergeCell ref="A95:G95"/>
    <mergeCell ref="A91:G91"/>
    <mergeCell ref="A92:G92"/>
    <mergeCell ref="A93:G93"/>
    <mergeCell ref="B88:G88"/>
    <mergeCell ref="F84:F86"/>
    <mergeCell ref="K88:N88"/>
    <mergeCell ref="K89:N89"/>
    <mergeCell ref="K87:N87"/>
  </mergeCells>
  <pageMargins left="0.78740157480314965" right="0.19685039370078741" top="0.39370078740157483" bottom="0.19685039370078741" header="0.31496062992125984" footer="0.31496062992125984"/>
  <pageSetup paperSize="9" scale="72" orientation="portrait" r:id="rId1"/>
  <rowBreaks count="1" manualBreakCount="1">
    <brk id="59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13"/>
  <sheetViews>
    <sheetView topLeftCell="A52" zoomScaleNormal="100" zoomScaleSheetLayoutView="100" workbookViewId="0">
      <selection activeCell="S70" sqref="S70"/>
    </sheetView>
  </sheetViews>
  <sheetFormatPr defaultRowHeight="12.75"/>
  <cols>
    <col min="1" max="3" width="2.7109375" style="3" customWidth="1"/>
    <col min="4" max="4" width="32.85546875" style="3" customWidth="1"/>
    <col min="5" max="5" width="3.5703125" style="3" customWidth="1"/>
    <col min="6" max="6" width="3.42578125" style="12" customWidth="1"/>
    <col min="7" max="7" width="7.85546875" style="7" customWidth="1"/>
    <col min="8" max="8" width="10.140625" style="21" customWidth="1"/>
    <col min="9" max="9" width="9.85546875" style="21" customWidth="1"/>
    <col min="10" max="10" width="10.28515625" style="21" customWidth="1"/>
    <col min="11" max="11" width="32.140625" style="3" customWidth="1"/>
    <col min="12" max="12" width="4.28515625" style="3" customWidth="1"/>
    <col min="13" max="13" width="4.42578125" style="3" customWidth="1"/>
    <col min="14" max="14" width="4.28515625" style="21" customWidth="1"/>
    <col min="15" max="16384" width="9.140625" style="2"/>
  </cols>
  <sheetData>
    <row r="1" spans="1:23" ht="15.75">
      <c r="K1" s="722" t="s">
        <v>129</v>
      </c>
      <c r="L1" s="723"/>
      <c r="M1" s="723"/>
    </row>
    <row r="2" spans="1:23" ht="15.75">
      <c r="A2" s="705" t="s">
        <v>115</v>
      </c>
      <c r="B2" s="705"/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</row>
    <row r="3" spans="1:23" ht="15.75">
      <c r="A3" s="706" t="s">
        <v>30</v>
      </c>
      <c r="B3" s="706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</row>
    <row r="4" spans="1:23" ht="15.75">
      <c r="A4" s="707" t="s">
        <v>17</v>
      </c>
      <c r="B4" s="707"/>
      <c r="C4" s="707"/>
      <c r="D4" s="707"/>
      <c r="E4" s="707"/>
      <c r="F4" s="707"/>
      <c r="G4" s="707"/>
      <c r="H4" s="707"/>
      <c r="I4" s="707"/>
      <c r="J4" s="707"/>
      <c r="K4" s="707"/>
      <c r="L4" s="707"/>
      <c r="M4" s="707"/>
      <c r="N4" s="707"/>
    </row>
    <row r="5" spans="1:23" ht="13.5" thickBot="1">
      <c r="L5" s="708" t="s">
        <v>121</v>
      </c>
      <c r="M5" s="709"/>
      <c r="N5" s="709"/>
    </row>
    <row r="6" spans="1:23" ht="32.25" customHeight="1">
      <c r="A6" s="710" t="s">
        <v>18</v>
      </c>
      <c r="B6" s="713" t="s">
        <v>0</v>
      </c>
      <c r="C6" s="713" t="s">
        <v>1</v>
      </c>
      <c r="D6" s="716" t="s">
        <v>12</v>
      </c>
      <c r="E6" s="719" t="s">
        <v>2</v>
      </c>
      <c r="F6" s="698" t="s">
        <v>3</v>
      </c>
      <c r="G6" s="692" t="s">
        <v>4</v>
      </c>
      <c r="H6" s="701" t="s">
        <v>86</v>
      </c>
      <c r="I6" s="724" t="s">
        <v>135</v>
      </c>
      <c r="J6" s="692" t="s">
        <v>138</v>
      </c>
      <c r="K6" s="695" t="s">
        <v>11</v>
      </c>
      <c r="L6" s="696"/>
      <c r="M6" s="696"/>
      <c r="N6" s="697"/>
    </row>
    <row r="7" spans="1:23" ht="14.25" customHeight="1">
      <c r="A7" s="711"/>
      <c r="B7" s="714"/>
      <c r="C7" s="714"/>
      <c r="D7" s="717"/>
      <c r="E7" s="720"/>
      <c r="F7" s="699"/>
      <c r="G7" s="693"/>
      <c r="H7" s="702"/>
      <c r="I7" s="725"/>
      <c r="J7" s="693"/>
      <c r="K7" s="684" t="s">
        <v>12</v>
      </c>
      <c r="L7" s="686" t="s">
        <v>122</v>
      </c>
      <c r="M7" s="687"/>
      <c r="N7" s="688"/>
    </row>
    <row r="8" spans="1:23" ht="78.75" customHeight="1" thickBot="1">
      <c r="A8" s="712"/>
      <c r="B8" s="715"/>
      <c r="C8" s="715"/>
      <c r="D8" s="718"/>
      <c r="E8" s="721"/>
      <c r="F8" s="700"/>
      <c r="G8" s="694"/>
      <c r="H8" s="703"/>
      <c r="I8" s="726"/>
      <c r="J8" s="694"/>
      <c r="K8" s="685"/>
      <c r="L8" s="111" t="s">
        <v>25</v>
      </c>
      <c r="M8" s="111" t="s">
        <v>75</v>
      </c>
      <c r="N8" s="112" t="s">
        <v>88</v>
      </c>
    </row>
    <row r="9" spans="1:23" s="13" customFormat="1">
      <c r="A9" s="689" t="s">
        <v>61</v>
      </c>
      <c r="B9" s="690"/>
      <c r="C9" s="690"/>
      <c r="D9" s="690"/>
      <c r="E9" s="690"/>
      <c r="F9" s="690"/>
      <c r="G9" s="690"/>
      <c r="H9" s="690"/>
      <c r="I9" s="690"/>
      <c r="J9" s="690"/>
      <c r="K9" s="690"/>
      <c r="L9" s="690"/>
      <c r="M9" s="690"/>
      <c r="N9" s="691"/>
    </row>
    <row r="10" spans="1:23" s="13" customFormat="1" ht="12.75" customHeight="1">
      <c r="A10" s="671" t="s">
        <v>49</v>
      </c>
      <c r="B10" s="672"/>
      <c r="C10" s="672"/>
      <c r="D10" s="672"/>
      <c r="E10" s="672"/>
      <c r="F10" s="672"/>
      <c r="G10" s="672"/>
      <c r="H10" s="672"/>
      <c r="I10" s="672"/>
      <c r="J10" s="672"/>
      <c r="K10" s="672"/>
      <c r="L10" s="672"/>
      <c r="M10" s="672"/>
      <c r="N10" s="673"/>
    </row>
    <row r="11" spans="1:23" ht="15.75" customHeight="1">
      <c r="A11" s="88" t="s">
        <v>5</v>
      </c>
      <c r="B11" s="674" t="s">
        <v>46</v>
      </c>
      <c r="C11" s="675"/>
      <c r="D11" s="675"/>
      <c r="E11" s="675"/>
      <c r="F11" s="675"/>
      <c r="G11" s="675"/>
      <c r="H11" s="675"/>
      <c r="I11" s="675"/>
      <c r="J11" s="675"/>
      <c r="K11" s="675"/>
      <c r="L11" s="675"/>
      <c r="M11" s="675"/>
      <c r="N11" s="676"/>
    </row>
    <row r="12" spans="1:23">
      <c r="A12" s="89" t="s">
        <v>5</v>
      </c>
      <c r="B12" s="32" t="s">
        <v>5</v>
      </c>
      <c r="C12" s="677" t="s">
        <v>43</v>
      </c>
      <c r="D12" s="678"/>
      <c r="E12" s="678"/>
      <c r="F12" s="678"/>
      <c r="G12" s="678"/>
      <c r="H12" s="678"/>
      <c r="I12" s="678"/>
      <c r="J12" s="678"/>
      <c r="K12" s="678"/>
      <c r="L12" s="678"/>
      <c r="M12" s="678"/>
      <c r="N12" s="679"/>
    </row>
    <row r="13" spans="1:23" ht="12.75" customHeight="1">
      <c r="A13" s="90" t="s">
        <v>5</v>
      </c>
      <c r="B13" s="8" t="s">
        <v>5</v>
      </c>
      <c r="C13" s="44" t="s">
        <v>5</v>
      </c>
      <c r="D13" s="728" t="s">
        <v>58</v>
      </c>
      <c r="E13" s="680" t="s">
        <v>62</v>
      </c>
      <c r="F13" s="649" t="s">
        <v>28</v>
      </c>
      <c r="G13" s="117" t="s">
        <v>76</v>
      </c>
      <c r="H13" s="204">
        <f>(17158.8+180-875)/3.4528*1000</f>
        <v>4768246</v>
      </c>
      <c r="I13" s="204">
        <f>(17158.8+180-875)/3.4528*1000</f>
        <v>4768246</v>
      </c>
      <c r="J13" s="193"/>
      <c r="K13" s="146"/>
      <c r="L13" s="142"/>
      <c r="M13" s="143"/>
      <c r="N13" s="144"/>
    </row>
    <row r="14" spans="1:23" ht="12.75" customHeight="1">
      <c r="A14" s="90"/>
      <c r="B14" s="8"/>
      <c r="C14" s="44"/>
      <c r="D14" s="627"/>
      <c r="E14" s="680"/>
      <c r="F14" s="649"/>
      <c r="G14" s="342" t="s">
        <v>78</v>
      </c>
      <c r="H14" s="343">
        <v>246200</v>
      </c>
      <c r="I14" s="343">
        <v>246200</v>
      </c>
      <c r="J14" s="345"/>
      <c r="K14" s="146"/>
      <c r="L14" s="142"/>
      <c r="M14" s="143"/>
      <c r="N14" s="144"/>
    </row>
    <row r="15" spans="1:23" ht="26.25" customHeight="1">
      <c r="A15" s="90"/>
      <c r="B15" s="8"/>
      <c r="C15" s="44"/>
      <c r="D15" s="145" t="s">
        <v>31</v>
      </c>
      <c r="E15" s="680"/>
      <c r="F15" s="649"/>
      <c r="G15" s="117"/>
      <c r="H15" s="204"/>
      <c r="I15" s="204"/>
      <c r="J15" s="193"/>
      <c r="K15" s="146"/>
      <c r="L15" s="142"/>
      <c r="M15" s="143"/>
      <c r="N15" s="144"/>
    </row>
    <row r="16" spans="1:23" ht="15" customHeight="1">
      <c r="A16" s="90"/>
      <c r="B16" s="8"/>
      <c r="C16" s="44"/>
      <c r="D16" s="683" t="s">
        <v>59</v>
      </c>
      <c r="E16" s="680"/>
      <c r="F16" s="649"/>
      <c r="G16" s="33"/>
      <c r="H16" s="206"/>
      <c r="I16" s="206"/>
      <c r="J16" s="208"/>
      <c r="K16" s="729"/>
      <c r="L16" s="223"/>
      <c r="M16" s="223"/>
      <c r="N16" s="224"/>
      <c r="P16" s="48"/>
      <c r="Q16" s="48"/>
      <c r="R16" s="48"/>
      <c r="S16" s="48"/>
      <c r="T16" s="48"/>
      <c r="U16" s="48"/>
      <c r="V16" s="48"/>
      <c r="W16" s="48"/>
    </row>
    <row r="17" spans="1:23" ht="15.75" customHeight="1" thickBot="1">
      <c r="A17" s="91"/>
      <c r="B17" s="9"/>
      <c r="C17" s="45"/>
      <c r="D17" s="657"/>
      <c r="E17" s="659"/>
      <c r="F17" s="615"/>
      <c r="G17" s="152" t="s">
        <v>6</v>
      </c>
      <c r="H17" s="209">
        <f>SUM(H13:H16)</f>
        <v>5014446</v>
      </c>
      <c r="I17" s="209">
        <f>SUM(I13:I16)</f>
        <v>5014446</v>
      </c>
      <c r="J17" s="209"/>
      <c r="K17" s="730"/>
      <c r="L17" s="18"/>
      <c r="M17" s="81"/>
      <c r="N17" s="74"/>
      <c r="P17" s="48"/>
      <c r="Q17" s="48"/>
      <c r="R17" s="48"/>
      <c r="S17" s="48"/>
      <c r="T17" s="48"/>
      <c r="U17" s="48"/>
      <c r="V17" s="48"/>
      <c r="W17" s="48"/>
    </row>
    <row r="18" spans="1:23" ht="38.25">
      <c r="A18" s="90" t="s">
        <v>5</v>
      </c>
      <c r="B18" s="8" t="s">
        <v>5</v>
      </c>
      <c r="C18" s="46" t="s">
        <v>7</v>
      </c>
      <c r="D18" s="97" t="s">
        <v>63</v>
      </c>
      <c r="E18" s="22" t="s">
        <v>62</v>
      </c>
      <c r="F18" s="182" t="s">
        <v>28</v>
      </c>
      <c r="G18" s="183" t="s">
        <v>36</v>
      </c>
      <c r="H18" s="210">
        <f>(254.3+58)/3.4528*1000</f>
        <v>90448</v>
      </c>
      <c r="I18" s="210">
        <f>90448</f>
        <v>90448</v>
      </c>
      <c r="J18" s="447"/>
      <c r="K18" s="365"/>
      <c r="L18" s="23"/>
      <c r="M18" s="27"/>
      <c r="N18" s="75"/>
      <c r="O18" s="323"/>
      <c r="P18" s="48"/>
      <c r="Q18" s="48"/>
      <c r="R18" s="48"/>
      <c r="S18" s="48"/>
      <c r="T18" s="48"/>
      <c r="U18" s="48"/>
      <c r="V18" s="48"/>
      <c r="W18" s="48"/>
    </row>
    <row r="19" spans="1:23">
      <c r="A19" s="642"/>
      <c r="B19" s="643"/>
      <c r="C19" s="644"/>
      <c r="D19" s="666" t="s">
        <v>84</v>
      </c>
      <c r="E19" s="668"/>
      <c r="F19" s="665"/>
      <c r="G19" s="456" t="s">
        <v>36</v>
      </c>
      <c r="H19" s="457"/>
      <c r="I19" s="457"/>
      <c r="J19" s="291"/>
      <c r="K19" s="448"/>
      <c r="L19" s="449"/>
      <c r="M19" s="450"/>
      <c r="N19" s="451"/>
      <c r="P19" s="48"/>
      <c r="Q19" s="48"/>
      <c r="R19" s="48"/>
      <c r="S19" s="48"/>
      <c r="T19" s="48"/>
      <c r="U19" s="48"/>
      <c r="V19" s="48"/>
      <c r="W19" s="48"/>
    </row>
    <row r="20" spans="1:23">
      <c r="A20" s="642"/>
      <c r="B20" s="643"/>
      <c r="C20" s="644"/>
      <c r="D20" s="727"/>
      <c r="E20" s="668"/>
      <c r="F20" s="665"/>
      <c r="G20" s="458"/>
      <c r="H20" s="459"/>
      <c r="I20" s="459"/>
      <c r="J20" s="460"/>
      <c r="K20" s="452"/>
      <c r="L20" s="453"/>
      <c r="M20" s="454"/>
      <c r="N20" s="455"/>
      <c r="P20" s="48"/>
      <c r="Q20" s="48"/>
      <c r="R20" s="48"/>
      <c r="S20" s="48"/>
      <c r="T20" s="48"/>
      <c r="U20" s="48"/>
      <c r="V20" s="48"/>
      <c r="W20" s="48"/>
    </row>
    <row r="21" spans="1:23">
      <c r="A21" s="642"/>
      <c r="B21" s="643"/>
      <c r="C21" s="644"/>
      <c r="D21" s="275" t="s">
        <v>40</v>
      </c>
      <c r="E21" s="668"/>
      <c r="F21" s="665"/>
      <c r="G21" s="186"/>
      <c r="H21" s="214"/>
      <c r="I21" s="214"/>
      <c r="J21" s="208"/>
      <c r="K21" s="476"/>
      <c r="L21" s="453"/>
      <c r="M21" s="454"/>
      <c r="N21" s="455"/>
      <c r="P21" s="48"/>
      <c r="Q21" s="48"/>
      <c r="R21" s="48"/>
      <c r="S21" s="48"/>
      <c r="T21" s="48"/>
      <c r="U21" s="48"/>
      <c r="V21" s="48"/>
      <c r="W21" s="48"/>
    </row>
    <row r="22" spans="1:23" ht="13.5" thickBot="1">
      <c r="A22" s="356"/>
      <c r="B22" s="359"/>
      <c r="C22" s="465"/>
      <c r="D22" s="26"/>
      <c r="E22" s="462"/>
      <c r="F22" s="474"/>
      <c r="G22" s="187" t="s">
        <v>6</v>
      </c>
      <c r="H22" s="215">
        <f>SUM(H18:H21)</f>
        <v>90448</v>
      </c>
      <c r="I22" s="215">
        <f>SUM(I18:I21)</f>
        <v>90448</v>
      </c>
      <c r="J22" s="215">
        <f>SUM(J18:J21)</f>
        <v>0</v>
      </c>
      <c r="K22" s="475"/>
      <c r="L22" s="70"/>
      <c r="M22" s="28"/>
      <c r="N22" s="77"/>
      <c r="P22" s="48"/>
      <c r="Q22" s="48"/>
      <c r="R22" s="48"/>
      <c r="S22" s="48"/>
      <c r="T22" s="48"/>
      <c r="U22" s="48"/>
      <c r="V22" s="48"/>
      <c r="W22" s="48"/>
    </row>
    <row r="23" spans="1:23" ht="12.75" customHeight="1">
      <c r="A23" s="604" t="s">
        <v>5</v>
      </c>
      <c r="B23" s="606" t="s">
        <v>5</v>
      </c>
      <c r="C23" s="608" t="s">
        <v>27</v>
      </c>
      <c r="D23" s="656" t="s">
        <v>54</v>
      </c>
      <c r="E23" s="658" t="s">
        <v>62</v>
      </c>
      <c r="F23" s="614" t="s">
        <v>28</v>
      </c>
      <c r="G23" s="150" t="s">
        <v>76</v>
      </c>
      <c r="H23" s="206">
        <f>161.2/3.4528*1000</f>
        <v>46687</v>
      </c>
      <c r="I23" s="206">
        <f>161.2/3.4528*1000</f>
        <v>46687</v>
      </c>
      <c r="J23" s="208"/>
      <c r="K23" s="731"/>
      <c r="L23" s="71"/>
      <c r="M23" s="49"/>
      <c r="N23" s="78"/>
      <c r="P23" s="48"/>
      <c r="Q23" s="48"/>
      <c r="R23" s="48"/>
      <c r="S23" s="48"/>
      <c r="T23" s="48"/>
      <c r="U23" s="48"/>
      <c r="V23" s="48"/>
      <c r="W23" s="48"/>
    </row>
    <row r="24" spans="1:23" ht="13.5" thickBot="1">
      <c r="A24" s="642"/>
      <c r="B24" s="607"/>
      <c r="C24" s="609"/>
      <c r="D24" s="657"/>
      <c r="E24" s="659"/>
      <c r="F24" s="615"/>
      <c r="G24" s="39" t="s">
        <v>6</v>
      </c>
      <c r="H24" s="217">
        <f t="shared" ref="H24" si="0">SUM(H23:H23)</f>
        <v>46687</v>
      </c>
      <c r="I24" s="217">
        <f t="shared" ref="I24" si="1">SUM(I23:I23)</f>
        <v>46687</v>
      </c>
      <c r="J24" s="217"/>
      <c r="K24" s="732"/>
      <c r="L24" s="72"/>
      <c r="M24" s="47"/>
      <c r="N24" s="79"/>
      <c r="P24" s="48"/>
      <c r="Q24" s="48"/>
      <c r="R24" s="48"/>
      <c r="S24" s="48"/>
      <c r="T24" s="48"/>
      <c r="U24" s="48"/>
      <c r="V24" s="48"/>
      <c r="W24" s="48"/>
    </row>
    <row r="25" spans="1:23" ht="12.75" customHeight="1">
      <c r="A25" s="604" t="s">
        <v>5</v>
      </c>
      <c r="B25" s="606" t="s">
        <v>5</v>
      </c>
      <c r="C25" s="608" t="s">
        <v>33</v>
      </c>
      <c r="D25" s="662" t="s">
        <v>117</v>
      </c>
      <c r="E25" s="468" t="s">
        <v>57</v>
      </c>
      <c r="F25" s="614" t="s">
        <v>28</v>
      </c>
      <c r="G25" s="116" t="s">
        <v>78</v>
      </c>
      <c r="H25" s="219">
        <f>(3245.3+33.4)/3.4528*1000</f>
        <v>949577</v>
      </c>
      <c r="I25" s="219">
        <f>(3245.3+33.4)/3.4528*1000</f>
        <v>949577</v>
      </c>
      <c r="J25" s="221"/>
      <c r="K25" s="524"/>
      <c r="L25" s="24"/>
      <c r="M25" s="6"/>
      <c r="N25" s="76"/>
      <c r="P25" s="48"/>
      <c r="Q25" s="48"/>
      <c r="R25" s="48"/>
      <c r="S25" s="48"/>
      <c r="T25" s="48"/>
      <c r="U25" s="48"/>
      <c r="V25" s="48"/>
      <c r="W25" s="48"/>
    </row>
    <row r="26" spans="1:23">
      <c r="A26" s="642"/>
      <c r="B26" s="643"/>
      <c r="C26" s="644"/>
      <c r="D26" s="663"/>
      <c r="E26" s="669" t="s">
        <v>81</v>
      </c>
      <c r="F26" s="649"/>
      <c r="G26" s="117" t="s">
        <v>78</v>
      </c>
      <c r="H26" s="204">
        <f>37.3/3.4528*1000</f>
        <v>10803</v>
      </c>
      <c r="I26" s="204">
        <f>37.3/3.4528*1000</f>
        <v>10803</v>
      </c>
      <c r="J26" s="208"/>
      <c r="K26" s="525"/>
      <c r="L26" s="24"/>
      <c r="M26" s="6"/>
      <c r="N26" s="76"/>
      <c r="P26" s="48"/>
      <c r="Q26" s="48"/>
      <c r="R26" s="48"/>
      <c r="S26" s="48"/>
      <c r="T26" s="48"/>
      <c r="U26" s="48"/>
      <c r="V26" s="48"/>
      <c r="W26" s="48"/>
    </row>
    <row r="27" spans="1:23" ht="13.5" thickBot="1">
      <c r="A27" s="605"/>
      <c r="B27" s="607"/>
      <c r="C27" s="609"/>
      <c r="D27" s="664"/>
      <c r="E27" s="670"/>
      <c r="F27" s="615"/>
      <c r="G27" s="39" t="s">
        <v>6</v>
      </c>
      <c r="H27" s="217">
        <f>SUM(H25:H26)</f>
        <v>960380</v>
      </c>
      <c r="I27" s="217">
        <f>SUM(I25:I26)</f>
        <v>960380</v>
      </c>
      <c r="J27" s="217"/>
      <c r="K27" s="526"/>
      <c r="L27" s="70"/>
      <c r="M27" s="28"/>
      <c r="N27" s="77"/>
      <c r="P27" s="48"/>
      <c r="Q27" s="48"/>
      <c r="R27" s="48"/>
      <c r="S27" s="48"/>
      <c r="T27" s="48"/>
      <c r="U27" s="48"/>
      <c r="V27" s="48"/>
      <c r="W27" s="48"/>
    </row>
    <row r="28" spans="1:23" ht="12.75" customHeight="1">
      <c r="A28" s="604" t="s">
        <v>5</v>
      </c>
      <c r="B28" s="606" t="s">
        <v>5</v>
      </c>
      <c r="C28" s="532" t="s">
        <v>32</v>
      </c>
      <c r="D28" s="533" t="s">
        <v>64</v>
      </c>
      <c r="E28" s="581" t="s">
        <v>57</v>
      </c>
      <c r="F28" s="614" t="s">
        <v>38</v>
      </c>
      <c r="G28" s="60" t="s">
        <v>65</v>
      </c>
      <c r="H28" s="206">
        <f>404.9/3.4528*1000</f>
        <v>117267</v>
      </c>
      <c r="I28" s="206">
        <f>404.9/3.4528*1000</f>
        <v>117267</v>
      </c>
      <c r="J28" s="208"/>
      <c r="K28" s="524"/>
      <c r="L28" s="23"/>
      <c r="M28" s="27"/>
      <c r="N28" s="75"/>
      <c r="P28" s="48"/>
      <c r="Q28" s="48"/>
      <c r="R28" s="48"/>
      <c r="S28" s="48"/>
      <c r="T28" s="48"/>
      <c r="U28" s="48"/>
      <c r="V28" s="48"/>
      <c r="W28" s="48"/>
    </row>
    <row r="29" spans="1:23">
      <c r="A29" s="642"/>
      <c r="B29" s="643"/>
      <c r="C29" s="517"/>
      <c r="D29" s="519"/>
      <c r="E29" s="582"/>
      <c r="F29" s="649"/>
      <c r="G29" s="60" t="s">
        <v>50</v>
      </c>
      <c r="H29" s="204">
        <f>3643.8/3.4528*1000</f>
        <v>1055317</v>
      </c>
      <c r="I29" s="204">
        <f>3643.8/3.4528*1000</f>
        <v>1055317</v>
      </c>
      <c r="J29" s="208"/>
      <c r="K29" s="525"/>
      <c r="L29" s="24"/>
      <c r="M29" s="6"/>
      <c r="N29" s="76"/>
    </row>
    <row r="30" spans="1:23" ht="13.5" thickBot="1">
      <c r="A30" s="605"/>
      <c r="B30" s="607"/>
      <c r="C30" s="518"/>
      <c r="D30" s="520"/>
      <c r="E30" s="583"/>
      <c r="F30" s="615"/>
      <c r="G30" s="141" t="s">
        <v>6</v>
      </c>
      <c r="H30" s="217">
        <f t="shared" ref="H30" si="2">SUM(H28:H29)</f>
        <v>1172584</v>
      </c>
      <c r="I30" s="217">
        <f t="shared" ref="I30" si="3">SUM(I28:I29)</f>
        <v>1172584</v>
      </c>
      <c r="J30" s="217"/>
      <c r="K30" s="526"/>
      <c r="L30" s="73"/>
      <c r="M30" s="20"/>
      <c r="N30" s="80"/>
    </row>
    <row r="31" spans="1:23" ht="13.5" customHeight="1">
      <c r="A31" s="604" t="s">
        <v>5</v>
      </c>
      <c r="B31" s="606" t="s">
        <v>5</v>
      </c>
      <c r="C31" s="608" t="s">
        <v>29</v>
      </c>
      <c r="D31" s="656" t="s">
        <v>104</v>
      </c>
      <c r="E31" s="658"/>
      <c r="F31" s="614" t="s">
        <v>28</v>
      </c>
      <c r="G31" s="57" t="s">
        <v>51</v>
      </c>
      <c r="H31" s="219">
        <f>164.8/3.4528*1000</f>
        <v>47729</v>
      </c>
      <c r="I31" s="219">
        <f>164.8/3.4528*1000</f>
        <v>47729</v>
      </c>
      <c r="J31" s="221"/>
      <c r="K31" s="731"/>
      <c r="L31" s="652"/>
      <c r="M31" s="49"/>
      <c r="N31" s="78"/>
      <c r="P31" s="48"/>
      <c r="Q31" s="48"/>
      <c r="R31" s="48"/>
      <c r="S31" s="48"/>
      <c r="T31" s="48"/>
      <c r="U31" s="48"/>
      <c r="V31" s="48"/>
      <c r="W31" s="48"/>
    </row>
    <row r="32" spans="1:23" ht="13.5" thickBot="1">
      <c r="A32" s="642"/>
      <c r="B32" s="607"/>
      <c r="C32" s="609"/>
      <c r="D32" s="657"/>
      <c r="E32" s="659"/>
      <c r="F32" s="615"/>
      <c r="G32" s="39" t="s">
        <v>6</v>
      </c>
      <c r="H32" s="217">
        <f>H31</f>
        <v>47729</v>
      </c>
      <c r="I32" s="217">
        <f>I31</f>
        <v>47729</v>
      </c>
      <c r="J32" s="217">
        <f t="shared" ref="J32" si="4">SUM(J31:J31)</f>
        <v>0</v>
      </c>
      <c r="K32" s="732"/>
      <c r="L32" s="733"/>
      <c r="M32" s="47"/>
      <c r="N32" s="79"/>
      <c r="P32" s="48"/>
      <c r="Q32" s="48"/>
      <c r="R32" s="48"/>
      <c r="S32" s="48"/>
      <c r="T32" s="48"/>
      <c r="U32" s="48"/>
      <c r="V32" s="48"/>
      <c r="W32" s="48"/>
    </row>
    <row r="33" spans="1:19" ht="13.5" thickBot="1">
      <c r="A33" s="92" t="s">
        <v>5</v>
      </c>
      <c r="B33" s="4" t="s">
        <v>5</v>
      </c>
      <c r="C33" s="545" t="s">
        <v>8</v>
      </c>
      <c r="D33" s="545"/>
      <c r="E33" s="545"/>
      <c r="F33" s="545"/>
      <c r="G33" s="545"/>
      <c r="H33" s="222">
        <f>H30+H27+H24+H22+H17+H32</f>
        <v>7332274</v>
      </c>
      <c r="I33" s="222">
        <f>I30+I27+I24+I22+I17+I32</f>
        <v>7332274</v>
      </c>
      <c r="J33" s="222">
        <f>J30+J27+J24+J22+J17+J32</f>
        <v>0</v>
      </c>
      <c r="K33" s="469"/>
      <c r="L33" s="469"/>
      <c r="M33" s="469"/>
      <c r="N33" s="470"/>
    </row>
    <row r="34" spans="1:19" ht="13.5" thickBot="1">
      <c r="A34" s="92" t="s">
        <v>5</v>
      </c>
      <c r="B34" s="4" t="s">
        <v>7</v>
      </c>
      <c r="C34" s="632" t="s">
        <v>47</v>
      </c>
      <c r="D34" s="633"/>
      <c r="E34" s="633"/>
      <c r="F34" s="633"/>
      <c r="G34" s="633"/>
      <c r="H34" s="633"/>
      <c r="I34" s="633"/>
      <c r="J34" s="633"/>
      <c r="K34" s="633"/>
      <c r="L34" s="633"/>
      <c r="M34" s="633"/>
      <c r="N34" s="634"/>
    </row>
    <row r="35" spans="1:19" ht="12.75" customHeight="1">
      <c r="A35" s="604" t="s">
        <v>5</v>
      </c>
      <c r="B35" s="606" t="s">
        <v>7</v>
      </c>
      <c r="C35" s="608" t="s">
        <v>5</v>
      </c>
      <c r="D35" s="610" t="s">
        <v>34</v>
      </c>
      <c r="E35" s="646" t="s">
        <v>73</v>
      </c>
      <c r="F35" s="614" t="s">
        <v>28</v>
      </c>
      <c r="G35" s="324" t="s">
        <v>36</v>
      </c>
      <c r="H35" s="225">
        <f>165/3.4528*1000</f>
        <v>47787</v>
      </c>
      <c r="I35" s="225">
        <f>165/3.4528*1000</f>
        <v>47787</v>
      </c>
      <c r="J35" s="314"/>
      <c r="K35" s="650"/>
      <c r="L35" s="82"/>
      <c r="M35" s="466"/>
      <c r="N35" s="29"/>
    </row>
    <row r="36" spans="1:19">
      <c r="A36" s="642"/>
      <c r="B36" s="643"/>
      <c r="C36" s="644"/>
      <c r="D36" s="645"/>
      <c r="E36" s="647"/>
      <c r="F36" s="649"/>
      <c r="G36" s="325"/>
      <c r="H36" s="204"/>
      <c r="I36" s="204"/>
      <c r="J36" s="233"/>
      <c r="K36" s="651"/>
      <c r="L36" s="83"/>
      <c r="M36" s="461"/>
      <c r="N36" s="34"/>
    </row>
    <row r="37" spans="1:19">
      <c r="A37" s="642"/>
      <c r="B37" s="643"/>
      <c r="C37" s="644"/>
      <c r="D37" s="645"/>
      <c r="E37" s="647"/>
      <c r="F37" s="649"/>
      <c r="G37" s="325"/>
      <c r="H37" s="206"/>
      <c r="I37" s="206"/>
      <c r="J37" s="208"/>
      <c r="K37" s="651"/>
      <c r="L37" s="83"/>
      <c r="M37" s="461"/>
      <c r="N37" s="34"/>
    </row>
    <row r="38" spans="1:19" ht="18" customHeight="1" thickBot="1">
      <c r="A38" s="605"/>
      <c r="B38" s="607"/>
      <c r="C38" s="609"/>
      <c r="D38" s="611"/>
      <c r="E38" s="648"/>
      <c r="F38" s="615"/>
      <c r="G38" s="39" t="s">
        <v>6</v>
      </c>
      <c r="H38" s="216">
        <f t="shared" ref="H38" si="5">SUM(H35:H37)</f>
        <v>47787</v>
      </c>
      <c r="I38" s="216">
        <f t="shared" ref="I38" si="6">SUM(I35:I37)</f>
        <v>47787</v>
      </c>
      <c r="J38" s="216">
        <f t="shared" ref="J38" si="7">SUM(J35:J37)</f>
        <v>0</v>
      </c>
      <c r="K38" s="58"/>
      <c r="L38" s="84"/>
      <c r="M38" s="462"/>
      <c r="N38" s="30"/>
    </row>
    <row r="39" spans="1:19" ht="12.75" customHeight="1">
      <c r="A39" s="604" t="s">
        <v>5</v>
      </c>
      <c r="B39" s="606" t="s">
        <v>7</v>
      </c>
      <c r="C39" s="608" t="s">
        <v>7</v>
      </c>
      <c r="D39" s="610" t="s">
        <v>35</v>
      </c>
      <c r="E39" s="612" t="s">
        <v>92</v>
      </c>
      <c r="F39" s="614" t="s">
        <v>28</v>
      </c>
      <c r="G39" s="116" t="s">
        <v>36</v>
      </c>
      <c r="H39" s="219">
        <f>9/3.4528*1000</f>
        <v>2607</v>
      </c>
      <c r="I39" s="219">
        <f>9/3.4528*1000</f>
        <v>2607</v>
      </c>
      <c r="J39" s="221"/>
      <c r="K39" s="524"/>
      <c r="L39" s="82"/>
      <c r="M39" s="466"/>
      <c r="N39" s="29"/>
    </row>
    <row r="40" spans="1:19" ht="13.5" thickBot="1">
      <c r="A40" s="605"/>
      <c r="B40" s="607"/>
      <c r="C40" s="609"/>
      <c r="D40" s="611"/>
      <c r="E40" s="613"/>
      <c r="F40" s="615"/>
      <c r="G40" s="39" t="s">
        <v>6</v>
      </c>
      <c r="H40" s="217">
        <f t="shared" ref="H40:J40" si="8">SUM(H39:H39)</f>
        <v>2607</v>
      </c>
      <c r="I40" s="217">
        <f t="shared" ref="I40" si="9">SUM(I39:I39)</f>
        <v>2607</v>
      </c>
      <c r="J40" s="217">
        <f t="shared" si="8"/>
        <v>0</v>
      </c>
      <c r="K40" s="616"/>
      <c r="L40" s="230"/>
      <c r="M40" s="231"/>
      <c r="N40" s="30"/>
    </row>
    <row r="41" spans="1:19" ht="13.5" thickBot="1">
      <c r="A41" s="93" t="s">
        <v>5</v>
      </c>
      <c r="B41" s="4" t="s">
        <v>7</v>
      </c>
      <c r="C41" s="545" t="s">
        <v>8</v>
      </c>
      <c r="D41" s="545"/>
      <c r="E41" s="545"/>
      <c r="F41" s="545"/>
      <c r="G41" s="545"/>
      <c r="H41" s="222">
        <f t="shared" ref="H41" si="10">H40+H38</f>
        <v>50394</v>
      </c>
      <c r="I41" s="222">
        <f t="shared" ref="I41" si="11">I40+I38</f>
        <v>50394</v>
      </c>
      <c r="J41" s="222">
        <f>J40+J38</f>
        <v>0</v>
      </c>
      <c r="K41" s="508"/>
      <c r="L41" s="508"/>
      <c r="M41" s="508"/>
      <c r="N41" s="509"/>
    </row>
    <row r="42" spans="1:19" ht="15" customHeight="1" thickBot="1">
      <c r="A42" s="92" t="s">
        <v>5</v>
      </c>
      <c r="B42" s="4" t="s">
        <v>27</v>
      </c>
      <c r="C42" s="632" t="s">
        <v>103</v>
      </c>
      <c r="D42" s="633"/>
      <c r="E42" s="633"/>
      <c r="F42" s="633"/>
      <c r="G42" s="633"/>
      <c r="H42" s="633"/>
      <c r="I42" s="633"/>
      <c r="J42" s="633"/>
      <c r="K42" s="633"/>
      <c r="L42" s="633"/>
      <c r="M42" s="633"/>
      <c r="N42" s="634"/>
    </row>
    <row r="43" spans="1:19">
      <c r="A43" s="354" t="s">
        <v>5</v>
      </c>
      <c r="B43" s="357" t="s">
        <v>27</v>
      </c>
      <c r="C43" s="463" t="s">
        <v>5</v>
      </c>
      <c r="D43" s="101" t="s">
        <v>66</v>
      </c>
      <c r="E43" s="294"/>
      <c r="F43" s="295" t="s">
        <v>28</v>
      </c>
      <c r="G43" s="385"/>
      <c r="H43" s="388"/>
      <c r="I43" s="388"/>
      <c r="J43" s="296"/>
      <c r="K43" s="298"/>
      <c r="L43" s="299"/>
      <c r="M43" s="299"/>
      <c r="N43" s="300"/>
    </row>
    <row r="44" spans="1:19" ht="24.75" customHeight="1">
      <c r="A44" s="355"/>
      <c r="B44" s="358"/>
      <c r="C44" s="464"/>
      <c r="D44" s="145" t="s">
        <v>44</v>
      </c>
      <c r="E44" s="635" t="s">
        <v>101</v>
      </c>
      <c r="F44" s="301"/>
      <c r="G44" s="113" t="s">
        <v>36</v>
      </c>
      <c r="H44" s="205">
        <f>41.6/3.4528*1000</f>
        <v>12048</v>
      </c>
      <c r="I44" s="205">
        <f>41.6/3.4528*1000</f>
        <v>12048</v>
      </c>
      <c r="J44" s="244"/>
      <c r="K44" s="302"/>
      <c r="L44" s="303"/>
      <c r="M44" s="303"/>
      <c r="N44" s="104"/>
    </row>
    <row r="45" spans="1:19" ht="30.75" customHeight="1">
      <c r="A45" s="355"/>
      <c r="B45" s="358"/>
      <c r="C45" s="464"/>
      <c r="D45" s="379" t="s">
        <v>111</v>
      </c>
      <c r="E45" s="735"/>
      <c r="F45" s="473"/>
      <c r="G45" s="386" t="s">
        <v>36</v>
      </c>
      <c r="H45" s="238">
        <f>50/3.4528*1000</f>
        <v>14481</v>
      </c>
      <c r="I45" s="238">
        <f>50/3.4528*1000</f>
        <v>14481</v>
      </c>
      <c r="J45" s="380"/>
      <c r="K45" s="100"/>
      <c r="L45" s="86"/>
      <c r="M45" s="461"/>
      <c r="N45" s="59"/>
    </row>
    <row r="46" spans="1:19" ht="14.25" customHeight="1">
      <c r="A46" s="355"/>
      <c r="B46" s="358"/>
      <c r="C46" s="464"/>
      <c r="D46" s="641" t="s">
        <v>56</v>
      </c>
      <c r="E46" s="735"/>
      <c r="F46" s="473"/>
      <c r="G46" s="384" t="s">
        <v>51</v>
      </c>
      <c r="H46" s="343">
        <v>9902</v>
      </c>
      <c r="I46" s="343">
        <v>9902</v>
      </c>
      <c r="J46" s="227"/>
      <c r="K46" s="406"/>
      <c r="L46" s="407"/>
      <c r="M46" s="85"/>
      <c r="N46" s="382"/>
    </row>
    <row r="47" spans="1:19" ht="15.75" customHeight="1">
      <c r="A47" s="355"/>
      <c r="B47" s="358"/>
      <c r="C47" s="464"/>
      <c r="D47" s="602"/>
      <c r="E47" s="735"/>
      <c r="F47" s="473"/>
      <c r="G47" s="387"/>
      <c r="H47" s="204"/>
      <c r="I47" s="204"/>
      <c r="J47" s="227"/>
      <c r="K47" s="477"/>
      <c r="L47" s="383"/>
      <c r="M47" s="461"/>
      <c r="N47" s="59"/>
    </row>
    <row r="48" spans="1:19" ht="13.5" customHeight="1" thickBot="1">
      <c r="A48" s="355"/>
      <c r="B48" s="358"/>
      <c r="C48" s="464"/>
      <c r="D48" s="67"/>
      <c r="E48" s="735"/>
      <c r="F48" s="473"/>
      <c r="G48" s="39" t="s">
        <v>6</v>
      </c>
      <c r="H48" s="217">
        <f>H45+H44+H46+H47</f>
        <v>36431</v>
      </c>
      <c r="I48" s="217">
        <f>I45+I44+I46+I47</f>
        <v>36431</v>
      </c>
      <c r="J48" s="217">
        <f t="shared" ref="J48" si="12">J45+J44+J46+J47</f>
        <v>0</v>
      </c>
      <c r="K48" s="381"/>
      <c r="L48" s="462"/>
      <c r="M48" s="462"/>
      <c r="N48" s="30"/>
      <c r="P48" s="48"/>
      <c r="Q48" s="48"/>
      <c r="R48" s="48"/>
      <c r="S48" s="48"/>
    </row>
    <row r="49" spans="1:14" ht="24.75" customHeight="1">
      <c r="A49" s="354" t="s">
        <v>5</v>
      </c>
      <c r="B49" s="357" t="s">
        <v>27</v>
      </c>
      <c r="C49" s="463" t="s">
        <v>7</v>
      </c>
      <c r="D49" s="471" t="s">
        <v>107</v>
      </c>
      <c r="E49" s="284"/>
      <c r="F49" s="472" t="s">
        <v>28</v>
      </c>
      <c r="G49" s="14"/>
      <c r="H49" s="225"/>
      <c r="I49" s="225"/>
      <c r="J49" s="226"/>
      <c r="K49" s="310"/>
      <c r="L49" s="311"/>
      <c r="M49" s="311"/>
      <c r="N49" s="300"/>
    </row>
    <row r="50" spans="1:14" ht="77.25" customHeight="1">
      <c r="A50" s="90"/>
      <c r="B50" s="8"/>
      <c r="C50" s="46"/>
      <c r="D50" s="625" t="s">
        <v>82</v>
      </c>
      <c r="E50" s="628" t="s">
        <v>128</v>
      </c>
      <c r="F50" s="289"/>
      <c r="G50" s="290" t="s">
        <v>36</v>
      </c>
      <c r="H50" s="235">
        <f>420.797/3.4528*1000</f>
        <v>121871</v>
      </c>
      <c r="I50" s="235">
        <f>420.797/3.4528*1000</f>
        <v>121871</v>
      </c>
      <c r="J50" s="291"/>
      <c r="K50" s="467"/>
      <c r="L50" s="6"/>
      <c r="M50" s="6"/>
      <c r="N50" s="34"/>
    </row>
    <row r="51" spans="1:14" ht="26.25" customHeight="1">
      <c r="A51" s="90"/>
      <c r="B51" s="8"/>
      <c r="C51" s="46"/>
      <c r="D51" s="626"/>
      <c r="E51" s="629"/>
      <c r="F51" s="473"/>
      <c r="G51" s="15"/>
      <c r="H51" s="204"/>
      <c r="I51" s="204"/>
      <c r="J51" s="283"/>
      <c r="K51" s="105"/>
      <c r="L51" s="103"/>
      <c r="M51" s="103"/>
      <c r="N51" s="104"/>
    </row>
    <row r="52" spans="1:14" ht="23.25" customHeight="1">
      <c r="A52" s="90"/>
      <c r="B52" s="8"/>
      <c r="C52" s="46"/>
      <c r="D52" s="736"/>
      <c r="E52" s="734"/>
      <c r="F52" s="292"/>
      <c r="G52" s="109"/>
      <c r="H52" s="241"/>
      <c r="I52" s="241"/>
      <c r="J52" s="242"/>
      <c r="K52" s="293"/>
      <c r="L52" s="103"/>
      <c r="M52" s="103"/>
      <c r="N52" s="104"/>
    </row>
    <row r="53" spans="1:14" ht="17.25" customHeight="1">
      <c r="A53" s="90"/>
      <c r="B53" s="8"/>
      <c r="C53" s="46"/>
      <c r="D53" s="626" t="s">
        <v>95</v>
      </c>
      <c r="E53" s="285"/>
      <c r="F53" s="166"/>
      <c r="G53" s="36" t="s">
        <v>36</v>
      </c>
      <c r="H53" s="206">
        <f>30/3.4528*1000</f>
        <v>8689</v>
      </c>
      <c r="I53" s="206">
        <f>30/3.4528*1000</f>
        <v>8689</v>
      </c>
      <c r="J53" s="207"/>
      <c r="K53" s="286"/>
      <c r="L53" s="287"/>
      <c r="M53" s="287"/>
      <c r="N53" s="288"/>
    </row>
    <row r="54" spans="1:14" ht="13.5" thickBot="1">
      <c r="A54" s="90"/>
      <c r="B54" s="8"/>
      <c r="C54" s="46"/>
      <c r="D54" s="631"/>
      <c r="E54" s="161"/>
      <c r="F54" s="164"/>
      <c r="G54" s="152" t="s">
        <v>6</v>
      </c>
      <c r="H54" s="209">
        <f>H53+H50</f>
        <v>130560</v>
      </c>
      <c r="I54" s="209">
        <f>I53+I50</f>
        <v>130560</v>
      </c>
      <c r="J54" s="209">
        <f t="shared" ref="J54" si="13">J53+J50</f>
        <v>0</v>
      </c>
      <c r="K54" s="147"/>
      <c r="L54" s="148"/>
      <c r="M54" s="87"/>
      <c r="N54" s="31"/>
    </row>
    <row r="55" spans="1:14" ht="16.5" customHeight="1">
      <c r="A55" s="374" t="s">
        <v>5</v>
      </c>
      <c r="B55" s="375" t="s">
        <v>27</v>
      </c>
      <c r="C55" s="362" t="s">
        <v>27</v>
      </c>
      <c r="D55" s="35" t="s">
        <v>112</v>
      </c>
      <c r="E55" s="162" t="s">
        <v>57</v>
      </c>
      <c r="F55" s="165" t="s">
        <v>38</v>
      </c>
      <c r="G55" s="149"/>
      <c r="H55" s="234"/>
      <c r="I55" s="234"/>
      <c r="J55" s="221"/>
      <c r="K55" s="151"/>
      <c r="L55" s="247"/>
      <c r="M55" s="247"/>
      <c r="N55" s="102"/>
    </row>
    <row r="56" spans="1:14" ht="15.75" customHeight="1">
      <c r="A56" s="355"/>
      <c r="B56" s="358"/>
      <c r="C56" s="363"/>
      <c r="D56" s="617" t="s">
        <v>83</v>
      </c>
      <c r="E56" s="163"/>
      <c r="F56" s="139"/>
      <c r="G56" s="115" t="s">
        <v>36</v>
      </c>
      <c r="H56" s="235">
        <f>80/3.4528*1000</f>
        <v>23170</v>
      </c>
      <c r="I56" s="235">
        <f>80/3.4528*1000</f>
        <v>23170</v>
      </c>
      <c r="J56" s="213"/>
      <c r="K56" s="620"/>
      <c r="L56" s="160"/>
      <c r="M56" s="160"/>
      <c r="N56" s="56"/>
    </row>
    <row r="57" spans="1:14" ht="26.25" customHeight="1">
      <c r="A57" s="355"/>
      <c r="B57" s="358"/>
      <c r="C57" s="363"/>
      <c r="D57" s="618"/>
      <c r="E57" s="621" t="s">
        <v>80</v>
      </c>
      <c r="F57" s="166"/>
      <c r="G57" s="115" t="s">
        <v>37</v>
      </c>
      <c r="H57" s="235">
        <v>26500</v>
      </c>
      <c r="I57" s="235">
        <v>26500</v>
      </c>
      <c r="J57" s="237"/>
      <c r="K57" s="620"/>
      <c r="L57" s="160"/>
      <c r="M57" s="160"/>
      <c r="N57" s="34"/>
    </row>
    <row r="58" spans="1:14" ht="15.75" customHeight="1">
      <c r="A58" s="355"/>
      <c r="B58" s="358"/>
      <c r="C58" s="363"/>
      <c r="D58" s="619"/>
      <c r="E58" s="622"/>
      <c r="F58" s="166"/>
      <c r="G58" s="150" t="s">
        <v>50</v>
      </c>
      <c r="H58" s="238"/>
      <c r="I58" s="238"/>
      <c r="J58" s="240"/>
      <c r="K58" s="367"/>
      <c r="L58" s="160"/>
      <c r="M58" s="160"/>
      <c r="N58" s="34"/>
    </row>
    <row r="59" spans="1:14" ht="27" customHeight="1">
      <c r="A59" s="355"/>
      <c r="B59" s="358"/>
      <c r="C59" s="360"/>
      <c r="D59" s="617" t="s">
        <v>126</v>
      </c>
      <c r="E59" s="640" t="s">
        <v>80</v>
      </c>
      <c r="F59" s="139"/>
      <c r="G59" s="336" t="s">
        <v>26</v>
      </c>
      <c r="H59" s="337">
        <f>58/3.4528*1000</f>
        <v>16798</v>
      </c>
      <c r="I59" s="337">
        <f>58/3.4528*1000</f>
        <v>16798</v>
      </c>
      <c r="J59" s="339"/>
      <c r="K59" s="330"/>
      <c r="L59" s="85"/>
      <c r="M59" s="331"/>
      <c r="N59" s="114"/>
    </row>
    <row r="60" spans="1:14" ht="26.25" customHeight="1">
      <c r="A60" s="403"/>
      <c r="B60" s="404"/>
      <c r="C60" s="405"/>
      <c r="D60" s="639"/>
      <c r="E60" s="622"/>
      <c r="F60" s="164"/>
      <c r="G60" s="36" t="s">
        <v>37</v>
      </c>
      <c r="H60" s="206">
        <v>994</v>
      </c>
      <c r="I60" s="206">
        <v>994</v>
      </c>
      <c r="J60" s="208"/>
      <c r="K60" s="334"/>
      <c r="L60" s="87"/>
      <c r="M60" s="335"/>
      <c r="N60" s="110"/>
    </row>
    <row r="61" spans="1:14" ht="12.75" customHeight="1">
      <c r="A61" s="355"/>
      <c r="B61" s="358"/>
      <c r="C61" s="363"/>
      <c r="D61" s="618" t="s">
        <v>74</v>
      </c>
      <c r="E61" s="621" t="s">
        <v>80</v>
      </c>
      <c r="F61" s="166"/>
      <c r="G61" s="109" t="s">
        <v>26</v>
      </c>
      <c r="H61" s="241"/>
      <c r="I61" s="241"/>
      <c r="J61" s="243"/>
      <c r="K61" s="2"/>
      <c r="L61" s="248"/>
      <c r="M61" s="248"/>
      <c r="N61" s="51"/>
    </row>
    <row r="62" spans="1:14">
      <c r="A62" s="355"/>
      <c r="B62" s="358"/>
      <c r="C62" s="363"/>
      <c r="D62" s="618"/>
      <c r="E62" s="637"/>
      <c r="F62" s="166"/>
      <c r="G62" s="115" t="s">
        <v>53</v>
      </c>
      <c r="H62" s="204"/>
      <c r="I62" s="204"/>
      <c r="J62" s="213"/>
      <c r="K62" s="623"/>
      <c r="L62" s="248"/>
      <c r="M62" s="248"/>
      <c r="N62" s="51"/>
    </row>
    <row r="63" spans="1:14">
      <c r="A63" s="355"/>
      <c r="B63" s="358"/>
      <c r="C63" s="363"/>
      <c r="D63" s="618"/>
      <c r="E63" s="637"/>
      <c r="F63" s="166"/>
      <c r="G63" s="113" t="s">
        <v>51</v>
      </c>
      <c r="H63" s="205"/>
      <c r="I63" s="205"/>
      <c r="J63" s="245"/>
      <c r="K63" s="624"/>
      <c r="L63" s="248"/>
      <c r="M63" s="248"/>
      <c r="N63" s="51"/>
    </row>
    <row r="64" spans="1:14">
      <c r="A64" s="355"/>
      <c r="B64" s="358"/>
      <c r="C64" s="360"/>
      <c r="D64" s="618"/>
      <c r="E64" s="637"/>
      <c r="F64" s="166"/>
      <c r="G64" s="36" t="s">
        <v>50</v>
      </c>
      <c r="H64" s="206"/>
      <c r="I64" s="206"/>
      <c r="J64" s="208"/>
      <c r="K64" s="438"/>
      <c r="L64" s="248"/>
      <c r="M64" s="248"/>
      <c r="N64" s="51"/>
    </row>
    <row r="65" spans="1:14" ht="14.25" customHeight="1" thickBot="1">
      <c r="A65" s="355"/>
      <c r="B65" s="358"/>
      <c r="C65" s="363"/>
      <c r="D65" s="188"/>
      <c r="E65" s="638"/>
      <c r="F65" s="166"/>
      <c r="G65" s="39" t="s">
        <v>6</v>
      </c>
      <c r="H65" s="217">
        <f>SUM(H56:H64)</f>
        <v>67462</v>
      </c>
      <c r="I65" s="217">
        <f>SUM(I56:I64)</f>
        <v>67462</v>
      </c>
      <c r="J65" s="217">
        <f>SUM(J57:J64)</f>
        <v>0</v>
      </c>
      <c r="K65" s="439"/>
      <c r="L65" s="87"/>
      <c r="M65" s="352"/>
      <c r="N65" s="56"/>
    </row>
    <row r="66" spans="1:14" ht="15.75" customHeight="1">
      <c r="A66" s="374" t="s">
        <v>5</v>
      </c>
      <c r="B66" s="375" t="s">
        <v>27</v>
      </c>
      <c r="C66" s="362" t="s">
        <v>33</v>
      </c>
      <c r="D66" s="305" t="s">
        <v>106</v>
      </c>
      <c r="E66" s="595" t="s">
        <v>108</v>
      </c>
      <c r="F66" s="197" t="s">
        <v>28</v>
      </c>
      <c r="G66" s="306"/>
      <c r="H66" s="307"/>
      <c r="I66" s="307"/>
      <c r="J66" s="308"/>
      <c r="K66" s="198"/>
      <c r="L66" s="361"/>
      <c r="M66" s="361"/>
      <c r="N66" s="29"/>
    </row>
    <row r="67" spans="1:14" ht="18.75" customHeight="1">
      <c r="A67" s="370"/>
      <c r="B67" s="372"/>
      <c r="C67" s="196"/>
      <c r="D67" s="600" t="s">
        <v>45</v>
      </c>
      <c r="E67" s="596"/>
      <c r="F67" s="199"/>
      <c r="G67" s="304" t="s">
        <v>36</v>
      </c>
      <c r="H67" s="241">
        <f>130.2/3.4528*1000</f>
        <v>37709</v>
      </c>
      <c r="I67" s="241">
        <f>130.2/3.4528*1000</f>
        <v>37709</v>
      </c>
      <c r="J67" s="242"/>
      <c r="K67" s="100"/>
      <c r="L67" s="352"/>
      <c r="M67" s="352"/>
      <c r="N67" s="200"/>
    </row>
    <row r="68" spans="1:14" ht="18" customHeight="1">
      <c r="A68" s="399"/>
      <c r="B68" s="400"/>
      <c r="C68" s="408"/>
      <c r="D68" s="737"/>
      <c r="E68" s="596"/>
      <c r="F68" s="199"/>
      <c r="G68" s="419" t="s">
        <v>51</v>
      </c>
      <c r="H68" s="241"/>
      <c r="I68" s="241"/>
      <c r="J68" s="242"/>
      <c r="K68" s="420"/>
      <c r="L68" s="421"/>
      <c r="M68" s="421"/>
      <c r="N68" s="422"/>
    </row>
    <row r="69" spans="1:14" ht="18" customHeight="1">
      <c r="A69" s="399"/>
      <c r="B69" s="400"/>
      <c r="C69" s="408"/>
      <c r="D69" s="738" t="s">
        <v>89</v>
      </c>
      <c r="E69" s="596"/>
      <c r="F69" s="199"/>
      <c r="G69" s="410" t="s">
        <v>137</v>
      </c>
      <c r="H69" s="427"/>
      <c r="I69" s="427">
        <v>93962</v>
      </c>
      <c r="J69" s="428">
        <f>I69-H69</f>
        <v>93962</v>
      </c>
      <c r="K69" s="411" t="s">
        <v>139</v>
      </c>
      <c r="L69" s="412">
        <v>1</v>
      </c>
      <c r="M69" s="402"/>
      <c r="N69" s="409"/>
    </row>
    <row r="70" spans="1:14" ht="27" customHeight="1">
      <c r="A70" s="435"/>
      <c r="B70" s="436"/>
      <c r="C70" s="408"/>
      <c r="D70" s="739"/>
      <c r="E70" s="596"/>
      <c r="F70" s="199"/>
      <c r="G70" s="410"/>
      <c r="H70" s="427"/>
      <c r="I70" s="427"/>
      <c r="J70" s="428"/>
      <c r="K70" s="411" t="s">
        <v>140</v>
      </c>
      <c r="L70" s="412">
        <v>3.5</v>
      </c>
      <c r="M70" s="437"/>
      <c r="N70" s="409"/>
    </row>
    <row r="71" spans="1:14" ht="18.75" customHeight="1">
      <c r="A71" s="399"/>
      <c r="B71" s="400"/>
      <c r="C71" s="408"/>
      <c r="D71" s="740"/>
      <c r="E71" s="596"/>
      <c r="F71" s="199"/>
      <c r="G71" s="426"/>
      <c r="H71" s="204"/>
      <c r="I71" s="204"/>
      <c r="J71" s="227"/>
      <c r="K71" s="742" t="s">
        <v>97</v>
      </c>
      <c r="L71" s="412">
        <v>14.5</v>
      </c>
      <c r="M71" s="402"/>
      <c r="N71" s="409"/>
    </row>
    <row r="72" spans="1:14" ht="13.5" thickBot="1">
      <c r="A72" s="356"/>
      <c r="B72" s="359"/>
      <c r="C72" s="140"/>
      <c r="D72" s="741"/>
      <c r="E72" s="597"/>
      <c r="F72" s="167"/>
      <c r="G72" s="41" t="s">
        <v>6</v>
      </c>
      <c r="H72" s="217">
        <f>SUM(H67:H71)</f>
        <v>37709</v>
      </c>
      <c r="I72" s="217">
        <f>SUM(I67:I71)</f>
        <v>131671</v>
      </c>
      <c r="J72" s="440">
        <f>SUM(J67:J71)</f>
        <v>93962</v>
      </c>
      <c r="K72" s="743"/>
      <c r="L72" s="413"/>
      <c r="M72" s="154"/>
      <c r="N72" s="153"/>
    </row>
    <row r="73" spans="1:14" ht="13.5" thickBot="1">
      <c r="A73" s="94" t="s">
        <v>5</v>
      </c>
      <c r="B73" s="359" t="s">
        <v>27</v>
      </c>
      <c r="C73" s="587" t="s">
        <v>8</v>
      </c>
      <c r="D73" s="587"/>
      <c r="E73" s="587"/>
      <c r="F73" s="587"/>
      <c r="G73" s="587"/>
      <c r="H73" s="246">
        <f>H72+H65+H54+H48</f>
        <v>272162</v>
      </c>
      <c r="I73" s="246">
        <f>I72+I65+I54+I48</f>
        <v>366124</v>
      </c>
      <c r="J73" s="441">
        <f>J72+J65+J54+J48</f>
        <v>93962</v>
      </c>
      <c r="K73" s="588"/>
      <c r="L73" s="589"/>
      <c r="M73" s="589"/>
      <c r="N73" s="590"/>
    </row>
    <row r="74" spans="1:14" ht="13.5" thickBot="1">
      <c r="A74" s="92" t="s">
        <v>5</v>
      </c>
      <c r="B74" s="4" t="s">
        <v>33</v>
      </c>
      <c r="C74" s="591" t="s">
        <v>127</v>
      </c>
      <c r="D74" s="592"/>
      <c r="E74" s="592"/>
      <c r="F74" s="592"/>
      <c r="G74" s="593"/>
      <c r="H74" s="593"/>
      <c r="I74" s="593"/>
      <c r="J74" s="593"/>
      <c r="K74" s="592"/>
      <c r="L74" s="592"/>
      <c r="M74" s="592"/>
      <c r="N74" s="594"/>
    </row>
    <row r="75" spans="1:14" ht="12.75" customHeight="1">
      <c r="A75" s="374" t="s">
        <v>5</v>
      </c>
      <c r="B75" s="375" t="s">
        <v>33</v>
      </c>
      <c r="C75" s="362" t="s">
        <v>5</v>
      </c>
      <c r="D75" s="578" t="s">
        <v>85</v>
      </c>
      <c r="E75" s="581" t="s">
        <v>57</v>
      </c>
      <c r="F75" s="584" t="s">
        <v>38</v>
      </c>
      <c r="G75" s="180" t="s">
        <v>36</v>
      </c>
      <c r="H75" s="249">
        <f>6.8/3.4528*1000</f>
        <v>1969</v>
      </c>
      <c r="I75" s="219">
        <f>6.8/3.4528*1000</f>
        <v>1969</v>
      </c>
      <c r="J75" s="221"/>
      <c r="K75" s="524"/>
      <c r="L75" s="82"/>
      <c r="M75" s="361"/>
      <c r="N75" s="29"/>
    </row>
    <row r="76" spans="1:14">
      <c r="A76" s="370"/>
      <c r="B76" s="372"/>
      <c r="C76" s="363"/>
      <c r="D76" s="579"/>
      <c r="E76" s="582"/>
      <c r="F76" s="585"/>
      <c r="G76" s="181" t="s">
        <v>26</v>
      </c>
      <c r="H76" s="250">
        <f>152.6/3.4528*1000</f>
        <v>44196</v>
      </c>
      <c r="I76" s="396">
        <f>152.6/3.4528*1000</f>
        <v>44196</v>
      </c>
      <c r="J76" s="232"/>
      <c r="K76" s="525"/>
      <c r="L76" s="83"/>
      <c r="M76" s="352"/>
      <c r="N76" s="34"/>
    </row>
    <row r="77" spans="1:14" ht="16.5" customHeight="1" thickBot="1">
      <c r="A77" s="371"/>
      <c r="B77" s="373"/>
      <c r="C77" s="364"/>
      <c r="D77" s="580"/>
      <c r="E77" s="583"/>
      <c r="F77" s="586"/>
      <c r="G77" s="42" t="s">
        <v>6</v>
      </c>
      <c r="H77" s="251">
        <f>H76+H75</f>
        <v>46165</v>
      </c>
      <c r="I77" s="217">
        <f>I76+I75</f>
        <v>46165</v>
      </c>
      <c r="J77" s="217"/>
      <c r="K77" s="526"/>
      <c r="L77" s="84"/>
      <c r="M77" s="353"/>
      <c r="N77" s="30"/>
    </row>
    <row r="78" spans="1:14" ht="21" customHeight="1">
      <c r="A78" s="513" t="s">
        <v>5</v>
      </c>
      <c r="B78" s="515" t="s">
        <v>33</v>
      </c>
      <c r="C78" s="517" t="s">
        <v>7</v>
      </c>
      <c r="D78" s="519" t="s">
        <v>130</v>
      </c>
      <c r="E78" s="521" t="s">
        <v>109</v>
      </c>
      <c r="F78" s="322" t="s">
        <v>38</v>
      </c>
      <c r="G78" s="52" t="s">
        <v>36</v>
      </c>
      <c r="H78" s="423">
        <f>32.4/3.4528*1000</f>
        <v>9384</v>
      </c>
      <c r="I78" s="219">
        <f>32.4/3.4528*1000</f>
        <v>9384</v>
      </c>
      <c r="J78" s="253"/>
      <c r="K78" s="510"/>
      <c r="L78" s="156"/>
      <c r="M78" s="159"/>
      <c r="N78" s="62"/>
    </row>
    <row r="79" spans="1:14" ht="16.5" customHeight="1">
      <c r="A79" s="513"/>
      <c r="B79" s="515"/>
      <c r="C79" s="517"/>
      <c r="D79" s="519"/>
      <c r="E79" s="522"/>
      <c r="F79" s="377" t="s">
        <v>28</v>
      </c>
      <c r="G79" s="347" t="s">
        <v>36</v>
      </c>
      <c r="H79" s="425">
        <f>49.9/3.4528*1000</f>
        <v>14452</v>
      </c>
      <c r="I79" s="337">
        <f>49.9/3.4528*1000</f>
        <v>14452</v>
      </c>
      <c r="J79" s="349"/>
      <c r="K79" s="511"/>
      <c r="L79" s="157"/>
      <c r="M79" s="160"/>
      <c r="N79" s="63"/>
    </row>
    <row r="80" spans="1:14" ht="16.5" customHeight="1">
      <c r="A80" s="513"/>
      <c r="B80" s="515"/>
      <c r="C80" s="517"/>
      <c r="D80" s="519"/>
      <c r="E80" s="522"/>
      <c r="F80" s="377"/>
      <c r="G80" s="350" t="s">
        <v>37</v>
      </c>
      <c r="H80" s="424">
        <v>25343</v>
      </c>
      <c r="I80" s="238">
        <v>25343</v>
      </c>
      <c r="J80" s="315"/>
      <c r="K80" s="511"/>
      <c r="L80" s="157"/>
      <c r="M80" s="160"/>
      <c r="N80" s="63"/>
    </row>
    <row r="81" spans="1:31" ht="15" customHeight="1" thickBot="1">
      <c r="A81" s="514"/>
      <c r="B81" s="516"/>
      <c r="C81" s="518"/>
      <c r="D81" s="520"/>
      <c r="E81" s="523"/>
      <c r="F81" s="378"/>
      <c r="G81" s="40" t="s">
        <v>6</v>
      </c>
      <c r="H81" s="228">
        <f>SUM(H78:H80)</f>
        <v>49179</v>
      </c>
      <c r="I81" s="216">
        <f>SUM(I78:I80)</f>
        <v>49179</v>
      </c>
      <c r="J81" s="216"/>
      <c r="K81" s="512"/>
      <c r="L81" s="158"/>
      <c r="M81" s="191"/>
      <c r="N81" s="61"/>
    </row>
    <row r="82" spans="1:31" ht="12.75" customHeight="1">
      <c r="A82" s="530" t="s">
        <v>5</v>
      </c>
      <c r="B82" s="531" t="s">
        <v>33</v>
      </c>
      <c r="C82" s="532" t="s">
        <v>27</v>
      </c>
      <c r="D82" s="533" t="s">
        <v>67</v>
      </c>
      <c r="E82" s="534" t="s">
        <v>57</v>
      </c>
      <c r="F82" s="537" t="s">
        <v>38</v>
      </c>
      <c r="G82" s="155" t="s">
        <v>26</v>
      </c>
      <c r="H82" s="313">
        <f>135.4/3.4528*1000</f>
        <v>39215</v>
      </c>
      <c r="I82" s="205">
        <f>135.4/3.4528*1000</f>
        <v>39215</v>
      </c>
      <c r="J82" s="211"/>
      <c r="K82" s="524"/>
      <c r="L82" s="82"/>
      <c r="M82" s="361"/>
      <c r="N82" s="484"/>
    </row>
    <row r="83" spans="1:31">
      <c r="A83" s="513"/>
      <c r="B83" s="515"/>
      <c r="C83" s="517"/>
      <c r="D83" s="519"/>
      <c r="E83" s="535"/>
      <c r="F83" s="538"/>
      <c r="G83" s="155" t="s">
        <v>53</v>
      </c>
      <c r="H83" s="313">
        <f>630.9/3.4528*1000</f>
        <v>182721</v>
      </c>
      <c r="I83" s="205">
        <f>630.9/3.4528*1000</f>
        <v>182721</v>
      </c>
      <c r="J83" s="245"/>
      <c r="K83" s="525"/>
      <c r="L83" s="83"/>
      <c r="M83" s="352"/>
      <c r="N83" s="485"/>
    </row>
    <row r="84" spans="1:31">
      <c r="A84" s="513"/>
      <c r="B84" s="515"/>
      <c r="C84" s="517"/>
      <c r="D84" s="519"/>
      <c r="E84" s="535"/>
      <c r="F84" s="538"/>
      <c r="G84" s="318"/>
      <c r="H84" s="319"/>
      <c r="I84" s="204"/>
      <c r="J84" s="213"/>
      <c r="K84" s="525"/>
      <c r="L84" s="83"/>
      <c r="M84" s="352"/>
      <c r="N84" s="376"/>
    </row>
    <row r="85" spans="1:31" ht="13.5" thickBot="1">
      <c r="A85" s="514"/>
      <c r="B85" s="516"/>
      <c r="C85" s="518"/>
      <c r="D85" s="520"/>
      <c r="E85" s="536"/>
      <c r="F85" s="539"/>
      <c r="G85" s="39" t="s">
        <v>6</v>
      </c>
      <c r="H85" s="218">
        <f>SUM(H82:H84)</f>
        <v>221936</v>
      </c>
      <c r="I85" s="217">
        <f>SUM(I82:I84)</f>
        <v>221936</v>
      </c>
      <c r="J85" s="217"/>
      <c r="K85" s="526"/>
      <c r="L85" s="84"/>
      <c r="M85" s="353"/>
      <c r="N85" s="30"/>
    </row>
    <row r="86" spans="1:31" ht="12.75" customHeight="1">
      <c r="A86" s="546" t="s">
        <v>5</v>
      </c>
      <c r="B86" s="549" t="s">
        <v>33</v>
      </c>
      <c r="C86" s="552" t="s">
        <v>33</v>
      </c>
      <c r="D86" s="555" t="s">
        <v>98</v>
      </c>
      <c r="E86" s="558" t="s">
        <v>113</v>
      </c>
      <c r="F86" s="501" t="s">
        <v>38</v>
      </c>
      <c r="G86" s="37" t="s">
        <v>50</v>
      </c>
      <c r="H86" s="430"/>
      <c r="I86" s="255"/>
      <c r="J86" s="442"/>
      <c r="K86" s="118"/>
      <c r="L86" s="159"/>
      <c r="M86" s="159"/>
      <c r="N86" s="62"/>
    </row>
    <row r="87" spans="1:31" ht="16.5" customHeight="1">
      <c r="A87" s="547"/>
      <c r="B87" s="550"/>
      <c r="C87" s="553"/>
      <c r="D87" s="556"/>
      <c r="E87" s="559"/>
      <c r="F87" s="502"/>
      <c r="G87" s="38" t="s">
        <v>36</v>
      </c>
      <c r="H87" s="431"/>
      <c r="I87" s="258"/>
      <c r="J87" s="443"/>
      <c r="K87" s="367"/>
      <c r="L87" s="160"/>
      <c r="M87" s="160"/>
      <c r="N87" s="63"/>
    </row>
    <row r="88" spans="1:31" ht="13.5" thickBot="1">
      <c r="A88" s="548"/>
      <c r="B88" s="551"/>
      <c r="C88" s="554"/>
      <c r="D88" s="557"/>
      <c r="E88" s="560"/>
      <c r="F88" s="503"/>
      <c r="G88" s="43" t="s">
        <v>6</v>
      </c>
      <c r="H88" s="432">
        <f>H87</f>
        <v>0</v>
      </c>
      <c r="I88" s="260">
        <f>I87</f>
        <v>0</v>
      </c>
      <c r="J88" s="216"/>
      <c r="K88" s="119"/>
      <c r="L88" s="106"/>
      <c r="M88" s="106"/>
      <c r="N88" s="107"/>
    </row>
    <row r="89" spans="1:31" ht="13.5" thickBot="1">
      <c r="A89" s="356" t="s">
        <v>7</v>
      </c>
      <c r="B89" s="359" t="s">
        <v>33</v>
      </c>
      <c r="C89" s="544" t="s">
        <v>8</v>
      </c>
      <c r="D89" s="545"/>
      <c r="E89" s="545"/>
      <c r="F89" s="545"/>
      <c r="G89" s="545"/>
      <c r="H89" s="229">
        <f>H88+H81+H77+H85</f>
        <v>317280</v>
      </c>
      <c r="I89" s="222">
        <f>I88+I81+I77+I85</f>
        <v>317280</v>
      </c>
      <c r="J89" s="222">
        <f t="shared" ref="J89" si="14">J88+J81+J77+J85</f>
        <v>0</v>
      </c>
      <c r="K89" s="508"/>
      <c r="L89" s="508"/>
      <c r="M89" s="508"/>
      <c r="N89" s="509"/>
    </row>
    <row r="90" spans="1:31" ht="13.5" thickBot="1">
      <c r="A90" s="93" t="s">
        <v>5</v>
      </c>
      <c r="B90" s="499" t="s">
        <v>9</v>
      </c>
      <c r="C90" s="500"/>
      <c r="D90" s="500"/>
      <c r="E90" s="500"/>
      <c r="F90" s="500"/>
      <c r="G90" s="500"/>
      <c r="H90" s="433">
        <f>H89+H73+H41+H33</f>
        <v>7972110</v>
      </c>
      <c r="I90" s="261">
        <f>I89+I73+I41+I33</f>
        <v>8066072</v>
      </c>
      <c r="J90" s="445">
        <f>J89+J73+J41+J33</f>
        <v>93962</v>
      </c>
      <c r="K90" s="504"/>
      <c r="L90" s="504"/>
      <c r="M90" s="504"/>
      <c r="N90" s="505"/>
    </row>
    <row r="91" spans="1:31" ht="13.5" thickBot="1">
      <c r="A91" s="11" t="s">
        <v>32</v>
      </c>
      <c r="B91" s="540" t="s">
        <v>68</v>
      </c>
      <c r="C91" s="541"/>
      <c r="D91" s="541"/>
      <c r="E91" s="541"/>
      <c r="F91" s="541"/>
      <c r="G91" s="541"/>
      <c r="H91" s="434">
        <f>H90</f>
        <v>7972110</v>
      </c>
      <c r="I91" s="263">
        <f>I90</f>
        <v>8066072</v>
      </c>
      <c r="J91" s="446">
        <f>J90</f>
        <v>93962</v>
      </c>
      <c r="K91" s="506"/>
      <c r="L91" s="506"/>
      <c r="M91" s="506"/>
      <c r="N91" s="507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</row>
    <row r="92" spans="1:31" s="16" customFormat="1" ht="12.75" customHeight="1">
      <c r="A92" s="542"/>
      <c r="B92" s="543"/>
      <c r="C92" s="543"/>
      <c r="D92" s="543"/>
      <c r="E92" s="543"/>
      <c r="F92" s="543"/>
      <c r="G92" s="543"/>
      <c r="H92" s="64"/>
      <c r="I92" s="64"/>
      <c r="J92" s="65"/>
      <c r="K92" s="25"/>
      <c r="L92" s="25"/>
      <c r="M92" s="25"/>
      <c r="N92" s="25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</row>
    <row r="93" spans="1:31" s="16" customFormat="1" ht="16.5" customHeight="1" thickBot="1">
      <c r="A93" s="492" t="s">
        <v>13</v>
      </c>
      <c r="B93" s="492"/>
      <c r="C93" s="492"/>
      <c r="D93" s="492"/>
      <c r="E93" s="492"/>
      <c r="F93" s="492"/>
      <c r="G93" s="492"/>
      <c r="H93" s="68"/>
      <c r="I93" s="68"/>
      <c r="J93" s="68"/>
      <c r="K93" s="69"/>
      <c r="L93" s="1"/>
      <c r="M93" s="1"/>
      <c r="N93" s="1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</row>
    <row r="94" spans="1:31" ht="53.25" customHeight="1" thickBot="1">
      <c r="A94" s="493" t="s">
        <v>10</v>
      </c>
      <c r="B94" s="494"/>
      <c r="C94" s="494"/>
      <c r="D94" s="494"/>
      <c r="E94" s="494"/>
      <c r="F94" s="494"/>
      <c r="G94" s="495"/>
      <c r="H94" s="269" t="s">
        <v>86</v>
      </c>
      <c r="I94" s="54" t="s">
        <v>135</v>
      </c>
      <c r="J94" s="54" t="s">
        <v>138</v>
      </c>
      <c r="N94" s="3"/>
    </row>
    <row r="95" spans="1:31">
      <c r="A95" s="496" t="s">
        <v>14</v>
      </c>
      <c r="B95" s="497"/>
      <c r="C95" s="497"/>
      <c r="D95" s="497"/>
      <c r="E95" s="497"/>
      <c r="F95" s="497"/>
      <c r="G95" s="498"/>
      <c r="H95" s="265">
        <f>H96+H102+H103</f>
        <v>6741895</v>
      </c>
      <c r="I95" s="265">
        <f>I96+I102+I103</f>
        <v>6835857</v>
      </c>
      <c r="J95" s="265">
        <f>J96+J102+J103</f>
        <v>93962</v>
      </c>
      <c r="K95" s="5"/>
    </row>
    <row r="96" spans="1:31" ht="12.75" customHeight="1">
      <c r="A96" s="486" t="s">
        <v>110</v>
      </c>
      <c r="B96" s="487"/>
      <c r="C96" s="487"/>
      <c r="D96" s="487"/>
      <c r="E96" s="487"/>
      <c r="F96" s="487"/>
      <c r="G96" s="488"/>
      <c r="H96" s="266">
        <f>H97+H98+H99+H100</f>
        <v>5482478</v>
      </c>
      <c r="I96" s="266">
        <f>I97+I98+I99+I100+I101</f>
        <v>5576440</v>
      </c>
      <c r="J96" s="266">
        <f>J97+J98+J99+J100+J101</f>
        <v>93962</v>
      </c>
      <c r="K96" s="5"/>
    </row>
    <row r="97" spans="1:15">
      <c r="A97" s="489" t="s">
        <v>19</v>
      </c>
      <c r="B97" s="490"/>
      <c r="C97" s="490"/>
      <c r="D97" s="490"/>
      <c r="E97" s="490"/>
      <c r="F97" s="490"/>
      <c r="G97" s="491"/>
      <c r="H97" s="208">
        <f>SUMIF(G13:G91,"SB",H13:H91)</f>
        <v>100209</v>
      </c>
      <c r="I97" s="208">
        <f>SUMIF(G13:G91,"SB",I13:I91)</f>
        <v>100209</v>
      </c>
      <c r="J97" s="208">
        <f>SUMIF(G13:G91,"SB",J13:J91)</f>
        <v>0</v>
      </c>
      <c r="K97" s="95"/>
      <c r="L97" s="10"/>
      <c r="M97" s="10"/>
    </row>
    <row r="98" spans="1:15" ht="30" customHeight="1">
      <c r="A98" s="573" t="s">
        <v>20</v>
      </c>
      <c r="B98" s="574"/>
      <c r="C98" s="574"/>
      <c r="D98" s="574"/>
      <c r="E98" s="574"/>
      <c r="F98" s="574"/>
      <c r="G98" s="575"/>
      <c r="H98" s="208">
        <f>SUMIF(G13:G90,"SB(AA)",H13:H90)</f>
        <v>384615</v>
      </c>
      <c r="I98" s="208">
        <f>SUMIF(G13:G90,"SB(AA)",I13:I90)</f>
        <v>384615</v>
      </c>
      <c r="J98" s="429">
        <f>SUMIF(G13:G90,"SB(AA)",J13:J90)</f>
        <v>0</v>
      </c>
      <c r="K98" s="5"/>
    </row>
    <row r="99" spans="1:15">
      <c r="A99" s="573" t="s">
        <v>77</v>
      </c>
      <c r="B99" s="574"/>
      <c r="C99" s="574"/>
      <c r="D99" s="574"/>
      <c r="E99" s="574"/>
      <c r="F99" s="574"/>
      <c r="G99" s="575"/>
      <c r="H99" s="208">
        <f>SUMIF(G13:G91,"SB(VR)",H13:H91)</f>
        <v>4814933</v>
      </c>
      <c r="I99" s="208">
        <f>SUMIF(G13:G91,"SB(VR)",I13:I91)</f>
        <v>4814933</v>
      </c>
      <c r="J99" s="208">
        <f>SUMIF(G13:G91,"SB(VR)",J13:J91)</f>
        <v>0</v>
      </c>
      <c r="K99" s="95"/>
      <c r="L99" s="10"/>
      <c r="M99" s="10"/>
    </row>
    <row r="100" spans="1:15">
      <c r="A100" s="573" t="s">
        <v>22</v>
      </c>
      <c r="B100" s="574"/>
      <c r="C100" s="574"/>
      <c r="D100" s="574"/>
      <c r="E100" s="574"/>
      <c r="F100" s="574"/>
      <c r="G100" s="575"/>
      <c r="H100" s="208">
        <f>SUMIF(G13:G91,"SB(P)",H13:H91)</f>
        <v>182721</v>
      </c>
      <c r="I100" s="208">
        <f>SUMIF(G13:G91,"SB(P)",I13:I91)</f>
        <v>182721</v>
      </c>
      <c r="J100" s="208">
        <f>SUMIF(G13:G91,"SB(P)",J13:J91)</f>
        <v>0</v>
      </c>
      <c r="K100" s="95"/>
      <c r="L100" s="10"/>
      <c r="M100" s="10"/>
    </row>
    <row r="101" spans="1:15" ht="15" customHeight="1">
      <c r="A101" s="573" t="s">
        <v>136</v>
      </c>
      <c r="B101" s="576"/>
      <c r="C101" s="576"/>
      <c r="D101" s="576"/>
      <c r="E101" s="576"/>
      <c r="F101" s="576"/>
      <c r="G101" s="577"/>
      <c r="H101" s="208"/>
      <c r="I101" s="429">
        <f>SUMIF(G13:G91,"SB(VB)",I13:I91)</f>
        <v>93962</v>
      </c>
      <c r="J101" s="429">
        <f>SUMIF(G13:G91,"SB(VB)",J13:J91)</f>
        <v>93962</v>
      </c>
      <c r="K101" s="95"/>
      <c r="L101" s="10"/>
      <c r="M101" s="10"/>
    </row>
    <row r="102" spans="1:15" ht="26.25" customHeight="1">
      <c r="A102" s="567" t="s">
        <v>21</v>
      </c>
      <c r="B102" s="568"/>
      <c r="C102" s="568"/>
      <c r="D102" s="568"/>
      <c r="E102" s="568"/>
      <c r="F102" s="568"/>
      <c r="G102" s="569"/>
      <c r="H102" s="206">
        <f>SUMIF(G15:G91,"SB(AAL)",H15:H91)</f>
        <v>52837</v>
      </c>
      <c r="I102" s="206">
        <f>SUMIF(G15:G91,"SB(AAL)",I15:I91)</f>
        <v>52837</v>
      </c>
      <c r="J102" s="206">
        <f>SUMIF(G15:G91,"SB(AAL)",J15:J91)</f>
        <v>0</v>
      </c>
      <c r="K102" s="95"/>
      <c r="L102" s="10"/>
      <c r="M102" s="10"/>
      <c r="O102" s="53"/>
    </row>
    <row r="103" spans="1:15" ht="15.75" customHeight="1">
      <c r="A103" s="567" t="s">
        <v>79</v>
      </c>
      <c r="B103" s="568"/>
      <c r="C103" s="568"/>
      <c r="D103" s="568"/>
      <c r="E103" s="568"/>
      <c r="F103" s="568"/>
      <c r="G103" s="569"/>
      <c r="H103" s="206">
        <f>SUMIF(G13:G89,"SB(VRL)",H13:H91)</f>
        <v>1206580</v>
      </c>
      <c r="I103" s="206">
        <f>SUMIF(G13:G91,"SB(VRL)",I13:I91)</f>
        <v>1206580</v>
      </c>
      <c r="J103" s="206">
        <f>SUMIF(G15:G91,"SB(VRL)",J15:J91)</f>
        <v>0</v>
      </c>
      <c r="K103" s="5"/>
    </row>
    <row r="104" spans="1:15">
      <c r="A104" s="570" t="s">
        <v>15</v>
      </c>
      <c r="B104" s="571"/>
      <c r="C104" s="571"/>
      <c r="D104" s="571"/>
      <c r="E104" s="571"/>
      <c r="F104" s="571"/>
      <c r="G104" s="572"/>
      <c r="H104" s="267">
        <f>H105+H106+H107</f>
        <v>1230215</v>
      </c>
      <c r="I104" s="267">
        <f>I105+I106+I107</f>
        <v>1230215</v>
      </c>
      <c r="J104" s="267">
        <f>J105+J106+J107</f>
        <v>0</v>
      </c>
      <c r="K104" s="96"/>
      <c r="L104" s="17"/>
      <c r="M104" s="17"/>
    </row>
    <row r="105" spans="1:15">
      <c r="A105" s="564" t="s">
        <v>23</v>
      </c>
      <c r="B105" s="565"/>
      <c r="C105" s="565"/>
      <c r="D105" s="565"/>
      <c r="E105" s="565"/>
      <c r="F105" s="565"/>
      <c r="G105" s="566"/>
      <c r="H105" s="208">
        <f>SUMIF(G13:G91,"ES",H13:H91)</f>
        <v>1055317</v>
      </c>
      <c r="I105" s="208">
        <f>SUMIF(G13:G91,"ES",I13:I91)</f>
        <v>1055317</v>
      </c>
      <c r="J105" s="208">
        <f>SUMIF(G13:G91,"ES",J13:J91)</f>
        <v>0</v>
      </c>
      <c r="K105" s="5"/>
    </row>
    <row r="106" spans="1:15">
      <c r="A106" s="527" t="s">
        <v>24</v>
      </c>
      <c r="B106" s="528"/>
      <c r="C106" s="528"/>
      <c r="D106" s="528"/>
      <c r="E106" s="528"/>
      <c r="F106" s="528"/>
      <c r="G106" s="529"/>
      <c r="H106" s="208">
        <f>SUMIF(G15:G91,"LRVB",H15:H91)</f>
        <v>57631</v>
      </c>
      <c r="I106" s="208">
        <f>SUMIF(G15:G91,"LRVB",I15:I91)</f>
        <v>57631</v>
      </c>
      <c r="J106" s="208">
        <f>SUMIF(G15:G91,"LRVB",J15:J91)</f>
        <v>0</v>
      </c>
      <c r="K106" s="5"/>
    </row>
    <row r="107" spans="1:15">
      <c r="A107" s="527" t="s">
        <v>69</v>
      </c>
      <c r="B107" s="528"/>
      <c r="C107" s="528"/>
      <c r="D107" s="528"/>
      <c r="E107" s="528"/>
      <c r="F107" s="528"/>
      <c r="G107" s="529"/>
      <c r="H107" s="208">
        <f>SUMIF(G13:G91,"Kt",H13:H91)</f>
        <v>117267</v>
      </c>
      <c r="I107" s="208">
        <f>SUMIF(G13:G91,"Kt",I13:I91)</f>
        <v>117267</v>
      </c>
      <c r="J107" s="208">
        <f>SUMIF(G13:G91,"Kt",J13:J91)</f>
        <v>0</v>
      </c>
      <c r="K107" s="5"/>
    </row>
    <row r="108" spans="1:15" ht="13.5" thickBot="1">
      <c r="A108" s="561" t="s">
        <v>16</v>
      </c>
      <c r="B108" s="562"/>
      <c r="C108" s="562"/>
      <c r="D108" s="562"/>
      <c r="E108" s="562"/>
      <c r="F108" s="562"/>
      <c r="G108" s="563"/>
      <c r="H108" s="268">
        <f>H104+H95</f>
        <v>7972110</v>
      </c>
      <c r="I108" s="268">
        <f>I104+I95</f>
        <v>8066072</v>
      </c>
      <c r="J108" s="444">
        <f>J104+J95</f>
        <v>93962</v>
      </c>
      <c r="K108" s="48"/>
      <c r="L108" s="2"/>
      <c r="M108" s="2"/>
      <c r="N108" s="19"/>
    </row>
    <row r="111" spans="1:15">
      <c r="A111" s="2"/>
      <c r="B111" s="2"/>
      <c r="C111" s="2"/>
      <c r="D111" s="2"/>
      <c r="E111" s="2"/>
      <c r="F111" s="2"/>
      <c r="G111" s="2"/>
      <c r="H111" s="66"/>
      <c r="I111" s="66"/>
      <c r="J111" s="66"/>
      <c r="K111" s="2"/>
      <c r="L111" s="2"/>
      <c r="M111" s="2"/>
      <c r="N111" s="2"/>
    </row>
    <row r="113" spans="1:14">
      <c r="A113" s="2"/>
      <c r="B113" s="2"/>
      <c r="C113" s="2"/>
      <c r="D113" s="2"/>
      <c r="E113" s="2"/>
      <c r="F113" s="2"/>
      <c r="G113" s="2"/>
      <c r="H113" s="66"/>
      <c r="I113" s="66"/>
      <c r="K113" s="2"/>
      <c r="L113" s="2"/>
      <c r="M113" s="2"/>
      <c r="N113" s="2"/>
    </row>
  </sheetData>
  <mergeCells count="148">
    <mergeCell ref="C78:C81"/>
    <mergeCell ref="D78:D81"/>
    <mergeCell ref="E78:E81"/>
    <mergeCell ref="K78:K81"/>
    <mergeCell ref="C73:G73"/>
    <mergeCell ref="K73:N73"/>
    <mergeCell ref="C74:N74"/>
    <mergeCell ref="A101:G101"/>
    <mergeCell ref="A105:G105"/>
    <mergeCell ref="A92:G92"/>
    <mergeCell ref="A93:G93"/>
    <mergeCell ref="A94:G94"/>
    <mergeCell ref="A95:G95"/>
    <mergeCell ref="A96:G96"/>
    <mergeCell ref="A97:G97"/>
    <mergeCell ref="C89:G89"/>
    <mergeCell ref="A78:A81"/>
    <mergeCell ref="B78:B81"/>
    <mergeCell ref="K89:N89"/>
    <mergeCell ref="B90:G90"/>
    <mergeCell ref="K90:N90"/>
    <mergeCell ref="B91:G91"/>
    <mergeCell ref="K91:N91"/>
    <mergeCell ref="K82:K85"/>
    <mergeCell ref="A106:G106"/>
    <mergeCell ref="A107:G107"/>
    <mergeCell ref="A108:G108"/>
    <mergeCell ref="A98:G98"/>
    <mergeCell ref="A99:G99"/>
    <mergeCell ref="A100:G100"/>
    <mergeCell ref="A102:G102"/>
    <mergeCell ref="A103:G103"/>
    <mergeCell ref="A104:G104"/>
    <mergeCell ref="N82:N83"/>
    <mergeCell ref="A86:A88"/>
    <mergeCell ref="B86:B88"/>
    <mergeCell ref="C86:C88"/>
    <mergeCell ref="D86:D88"/>
    <mergeCell ref="E86:E88"/>
    <mergeCell ref="F86:F88"/>
    <mergeCell ref="A82:A85"/>
    <mergeCell ref="B82:B85"/>
    <mergeCell ref="C82:C85"/>
    <mergeCell ref="D82:D85"/>
    <mergeCell ref="E82:E85"/>
    <mergeCell ref="F82:F85"/>
    <mergeCell ref="D75:D77"/>
    <mergeCell ref="E75:E77"/>
    <mergeCell ref="F75:F77"/>
    <mergeCell ref="K75:K77"/>
    <mergeCell ref="D59:D60"/>
    <mergeCell ref="E59:E60"/>
    <mergeCell ref="D61:D64"/>
    <mergeCell ref="E61:E65"/>
    <mergeCell ref="K62:K63"/>
    <mergeCell ref="E66:E72"/>
    <mergeCell ref="D67:D68"/>
    <mergeCell ref="D69:D72"/>
    <mergeCell ref="K71:K72"/>
    <mergeCell ref="E50:E52"/>
    <mergeCell ref="D53:D54"/>
    <mergeCell ref="D56:D58"/>
    <mergeCell ref="K56:K57"/>
    <mergeCell ref="E57:E58"/>
    <mergeCell ref="K39:K40"/>
    <mergeCell ref="C41:G41"/>
    <mergeCell ref="K41:N41"/>
    <mergeCell ref="C42:N42"/>
    <mergeCell ref="E44:E48"/>
    <mergeCell ref="D50:D52"/>
    <mergeCell ref="D46:D47"/>
    <mergeCell ref="A39:A40"/>
    <mergeCell ref="B39:B40"/>
    <mergeCell ref="C39:C40"/>
    <mergeCell ref="D39:D40"/>
    <mergeCell ref="E39:E40"/>
    <mergeCell ref="F39:F40"/>
    <mergeCell ref="L31:L32"/>
    <mergeCell ref="C33:G33"/>
    <mergeCell ref="C34:N34"/>
    <mergeCell ref="A35:A38"/>
    <mergeCell ref="B35:B38"/>
    <mergeCell ref="C35:C38"/>
    <mergeCell ref="D35:D38"/>
    <mergeCell ref="E35:E38"/>
    <mergeCell ref="F35:F38"/>
    <mergeCell ref="K35:K37"/>
    <mergeCell ref="K28:K30"/>
    <mergeCell ref="A31:A32"/>
    <mergeCell ref="B31:B32"/>
    <mergeCell ref="C31:C32"/>
    <mergeCell ref="D31:D32"/>
    <mergeCell ref="E31:E32"/>
    <mergeCell ref="F31:F32"/>
    <mergeCell ref="K31:K32"/>
    <mergeCell ref="A28:A30"/>
    <mergeCell ref="B28:B30"/>
    <mergeCell ref="C28:C30"/>
    <mergeCell ref="D28:D30"/>
    <mergeCell ref="E28:E30"/>
    <mergeCell ref="F28:F30"/>
    <mergeCell ref="K23:K24"/>
    <mergeCell ref="A25:A27"/>
    <mergeCell ref="B25:B27"/>
    <mergeCell ref="C25:C27"/>
    <mergeCell ref="D25:D27"/>
    <mergeCell ref="F25:F27"/>
    <mergeCell ref="K25:K27"/>
    <mergeCell ref="E26:E27"/>
    <mergeCell ref="A23:A24"/>
    <mergeCell ref="B23:B24"/>
    <mergeCell ref="C23:C24"/>
    <mergeCell ref="D23:D24"/>
    <mergeCell ref="E23:E24"/>
    <mergeCell ref="F23:F24"/>
    <mergeCell ref="A19:A21"/>
    <mergeCell ref="B19:B21"/>
    <mergeCell ref="C19:C21"/>
    <mergeCell ref="D19:D20"/>
    <mergeCell ref="E19:E21"/>
    <mergeCell ref="F19:F21"/>
    <mergeCell ref="A9:N9"/>
    <mergeCell ref="A10:N10"/>
    <mergeCell ref="B11:N11"/>
    <mergeCell ref="C12:N12"/>
    <mergeCell ref="D13:D14"/>
    <mergeCell ref="E13:E17"/>
    <mergeCell ref="F13:F17"/>
    <mergeCell ref="D16:D17"/>
    <mergeCell ref="K16:K17"/>
    <mergeCell ref="K1:M1"/>
    <mergeCell ref="G6:G8"/>
    <mergeCell ref="H6:H8"/>
    <mergeCell ref="J6:J8"/>
    <mergeCell ref="K6:N6"/>
    <mergeCell ref="K7:K8"/>
    <mergeCell ref="L7:N7"/>
    <mergeCell ref="A2:N2"/>
    <mergeCell ref="A3:N3"/>
    <mergeCell ref="A4:N4"/>
    <mergeCell ref="L5:N5"/>
    <mergeCell ref="A6:A8"/>
    <mergeCell ref="B6:B8"/>
    <mergeCell ref="C6:C8"/>
    <mergeCell ref="D6:D8"/>
    <mergeCell ref="E6:E8"/>
    <mergeCell ref="F6:F8"/>
    <mergeCell ref="I6:I8"/>
  </mergeCells>
  <pageMargins left="0.78740157480314965" right="0.19685039370078741" top="0.39370078740157483" bottom="0.19685039370078741" header="0.31496062992125984" footer="0.31496062992125984"/>
  <pageSetup paperSize="9" scale="72" orientation="portrait" r:id="rId1"/>
  <rowBreaks count="1" manualBreakCount="1">
    <brk id="60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4</vt:i4>
      </vt:variant>
    </vt:vector>
  </HeadingPairs>
  <TitlesOfParts>
    <vt:vector size="6" baseType="lpstr">
      <vt:lpstr>5 programa</vt:lpstr>
      <vt:lpstr>Lyginamasis variantas</vt:lpstr>
      <vt:lpstr>'5 programa'!Print_Area</vt:lpstr>
      <vt:lpstr>'Lyginamasis variantas'!Print_Area</vt:lpstr>
      <vt:lpstr>'5 programa'!Print_Titles</vt:lpstr>
      <vt:lpstr>'Lyginamasis variantas'!Print_Titles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2015-05-20T08:22:30Z</cp:lastPrinted>
  <dcterms:created xsi:type="dcterms:W3CDTF">2007-07-27T10:32:34Z</dcterms:created>
  <dcterms:modified xsi:type="dcterms:W3CDTF">2015-06-11T13:53:23Z</dcterms:modified>
</cp:coreProperties>
</file>